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E:\EXT\XO\"/>
    </mc:Choice>
  </mc:AlternateContent>
  <xr:revisionPtr revIDLastSave="0" documentId="8_{BDC3D78A-5575-4904-9A47-B9D6DA3AA458}" xr6:coauthVersionLast="47" xr6:coauthVersionMax="47" xr10:uidLastSave="{00000000-0000-0000-0000-000000000000}"/>
  <workbookProtection workbookAlgorithmName="SHA-512" workbookHashValue="a2ZWUz88Bb4Vv1xvrqtqzQl5Y7XhpjCfrzFUdUeyT76bGng7e/JIkAe0pPnGTcWP5Dd28BcTsaXc0Vj2LR+yoA==" workbookSaltValue="dgNTjxgF1uxhfVmbum7iQQ==" workbookSpinCount="100000" lockStructure="1"/>
  <bookViews>
    <workbookView xWindow="-12" yWindow="-720" windowWidth="23064" windowHeight="13332" tabRatio="722" activeTab="1" xr2:uid="{B7AD4D09-F5A9-476A-9641-17A55BE2F89C}"/>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C193" i="2"/>
  <c r="C195" i="2"/>
  <c r="C196" i="2"/>
  <c r="F196" i="2" s="1"/>
  <c r="C197" i="2"/>
  <c r="F197" i="2" s="1"/>
  <c r="F198" i="2"/>
  <c r="C200" i="2"/>
  <c r="F200" i="2" s="1"/>
  <c r="AJ3" i="6" s="1"/>
  <c r="AJ5" i="6" s="1"/>
  <c r="C201" i="2"/>
  <c r="F201" i="2" s="1"/>
  <c r="C202" i="2"/>
  <c r="F202" i="2" s="1"/>
  <c r="C191" i="2"/>
  <c r="C176" i="2"/>
  <c r="C177" i="2"/>
  <c r="C178" i="2"/>
  <c r="F178" i="2" s="1"/>
  <c r="C179" i="2"/>
  <c r="C180" i="2"/>
  <c r="F180" i="2" s="1"/>
  <c r="C181" i="2"/>
  <c r="F181" i="2" s="1"/>
  <c r="F182" i="2"/>
  <c r="C184" i="2"/>
  <c r="F184" i="2" s="1"/>
  <c r="C185" i="2"/>
  <c r="C186" i="2"/>
  <c r="F186" i="2" s="1"/>
  <c r="C175" i="2"/>
  <c r="C219" i="2" s="1"/>
  <c r="F185" i="2" l="1"/>
  <c r="F192" i="2"/>
  <c r="C216" i="2"/>
  <c r="F216" i="2" s="1"/>
  <c r="F219" i="2"/>
  <c r="G37" i="1" s="1"/>
  <c r="C220" i="2"/>
  <c r="F220" i="2" s="1"/>
  <c r="C215" i="2"/>
  <c r="F215" i="2" s="1"/>
  <c r="F177" i="2"/>
  <c r="F193" i="2"/>
  <c r="F179" i="2"/>
  <c r="F175" i="2"/>
  <c r="F195" i="2"/>
  <c r="F206" i="2"/>
  <c r="F176" i="2"/>
  <c r="F191" i="2"/>
  <c r="E159" i="2"/>
  <c r="F160" i="2"/>
  <c r="C159" i="2"/>
  <c r="C158" i="2"/>
  <c r="F158" i="2" s="1"/>
  <c r="F151" i="2"/>
  <c r="C150" i="2"/>
  <c r="F150" i="2" s="1"/>
  <c r="E145" i="2"/>
  <c r="C145" i="2"/>
  <c r="C143" i="2"/>
  <c r="F143" i="2" s="1"/>
  <c r="C142" i="2"/>
  <c r="F142" i="2" s="1"/>
  <c r="E136" i="2"/>
  <c r="C137" i="2"/>
  <c r="F137" i="2" s="1"/>
  <c r="C136" i="2"/>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F136" i="2" l="1"/>
  <c r="C217" i="2"/>
  <c r="F217" i="2" s="1"/>
  <c r="AW13" i="7"/>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G99" i="1"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R87" i="7" s="1"/>
  <c r="T87" i="7" s="1"/>
  <c r="P95" i="7"/>
  <c r="P103" i="7"/>
  <c r="P111" i="7"/>
  <c r="P119" i="7"/>
  <c r="P127" i="7"/>
  <c r="P135" i="7"/>
  <c r="P20" i="7"/>
  <c r="P100" i="7"/>
  <c r="P16" i="7"/>
  <c r="P24" i="7"/>
  <c r="P32" i="7"/>
  <c r="P40" i="7"/>
  <c r="P48" i="7"/>
  <c r="P56" i="7"/>
  <c r="P64" i="7"/>
  <c r="P72" i="7"/>
  <c r="P80" i="7"/>
  <c r="P88" i="7"/>
  <c r="P96" i="7"/>
  <c r="P104" i="7"/>
  <c r="P112" i="7"/>
  <c r="P120" i="7"/>
  <c r="P128" i="7"/>
  <c r="P136" i="7"/>
  <c r="P137" i="7"/>
  <c r="P68" i="7"/>
  <c r="P124" i="7"/>
  <c r="P17" i="7"/>
  <c r="P25" i="7"/>
  <c r="R25" i="7" s="1"/>
  <c r="T25" i="7" s="1"/>
  <c r="P33" i="7"/>
  <c r="P41" i="7"/>
  <c r="P49" i="7"/>
  <c r="P57" i="7"/>
  <c r="P65" i="7"/>
  <c r="P73" i="7"/>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73" i="7" l="1"/>
  <c r="T73" i="7" s="1"/>
  <c r="R111" i="7"/>
  <c r="T111" i="7" s="1"/>
  <c r="R106" i="7"/>
  <c r="T106" i="7" s="1"/>
  <c r="R100" i="7"/>
  <c r="T100" i="7" s="1"/>
  <c r="W100" i="7" s="1"/>
  <c r="R23" i="7"/>
  <c r="T23" i="7" s="1"/>
  <c r="W23" i="7" s="1"/>
  <c r="R96" i="7"/>
  <c r="T96" i="7" s="1"/>
  <c r="V96" i="7" s="1"/>
  <c r="R13" i="7"/>
  <c r="T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45" i="7"/>
  <c r="BX78" i="7"/>
  <c r="BX86" i="7"/>
  <c r="BX94" i="7"/>
  <c r="BX102" i="7"/>
  <c r="BX110" i="7"/>
  <c r="BX118" i="7"/>
  <c r="BX126" i="7"/>
  <c r="BX134" i="7"/>
  <c r="BX47" i="7"/>
  <c r="BX63" i="7"/>
  <c r="BX80" i="7"/>
  <c r="BX96" i="7"/>
  <c r="BX104" i="7"/>
  <c r="BX120" i="7"/>
  <c r="BX136" i="7"/>
  <c r="BX14" i="7"/>
  <c r="BX22" i="7"/>
  <c r="BX30" i="7"/>
  <c r="BX38" i="7"/>
  <c r="BX46" i="7"/>
  <c r="BX54" i="7"/>
  <c r="BX62" i="7"/>
  <c r="BX71" i="7"/>
  <c r="BX87" i="7"/>
  <c r="BX95" i="7"/>
  <c r="BX103" i="7"/>
  <c r="BX111" i="7"/>
  <c r="BX119" i="7"/>
  <c r="BX127" i="7"/>
  <c r="BX135" i="7"/>
  <c r="BX23" i="7"/>
  <c r="BX39" i="7"/>
  <c r="BX55" i="7"/>
  <c r="BX88" i="7"/>
  <c r="BX112" i="7"/>
  <c r="BX128" i="7"/>
  <c r="BX15" i="7"/>
  <c r="BX16" i="7"/>
  <c r="BX24" i="7"/>
  <c r="BX32" i="7"/>
  <c r="BX40" i="7"/>
  <c r="BX48" i="7"/>
  <c r="BX64" i="7"/>
  <c r="BX73" i="7"/>
  <c r="BX81" i="7"/>
  <c r="BX89" i="7"/>
  <c r="BX97" i="7"/>
  <c r="BX105" i="7"/>
  <c r="BX113" i="7"/>
  <c r="BX121" i="7"/>
  <c r="BX129" i="7"/>
  <c r="BX137" i="7"/>
  <c r="BX34" i="7"/>
  <c r="BX42" i="7"/>
  <c r="BX50" i="7"/>
  <c r="BX75" i="7"/>
  <c r="BX91" i="7"/>
  <c r="BX107" i="7"/>
  <c r="BX131" i="7"/>
  <c r="BX17" i="7"/>
  <c r="BX25" i="7"/>
  <c r="BX33" i="7"/>
  <c r="BX41" i="7"/>
  <c r="BX57" i="7"/>
  <c r="BX65" i="7"/>
  <c r="BX74" i="7"/>
  <c r="BX82" i="7"/>
  <c r="BX90" i="7"/>
  <c r="BX98" i="7"/>
  <c r="BX106" i="7"/>
  <c r="BX114" i="7"/>
  <c r="BX122" i="7"/>
  <c r="BX130" i="7"/>
  <c r="BX138" i="7"/>
  <c r="BX26" i="7"/>
  <c r="BX83" i="7"/>
  <c r="BX99" i="7"/>
  <c r="BX115" i="7"/>
  <c r="BX123" i="7"/>
  <c r="BX12" i="7"/>
  <c r="BX18" i="7"/>
  <c r="BX19" i="7"/>
  <c r="BX27" i="7"/>
  <c r="BX35" i="7"/>
  <c r="BX43" i="7"/>
  <c r="BX51" i="7"/>
  <c r="BX59" i="7"/>
  <c r="BX76" i="7"/>
  <c r="BX84" i="7"/>
  <c r="BX92" i="7"/>
  <c r="BX100" i="7"/>
  <c r="BX108" i="7"/>
  <c r="BX116" i="7"/>
  <c r="BX124" i="7"/>
  <c r="BX132" i="7"/>
  <c r="BX20" i="7"/>
  <c r="BX28" i="7"/>
  <c r="BX36" i="7"/>
  <c r="BX44"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V32" i="7"/>
  <c r="W13" i="7"/>
  <c r="V13" i="7"/>
  <c r="W96" i="7"/>
  <c r="W106" i="7"/>
  <c r="V106" i="7"/>
  <c r="W87" i="7"/>
  <c r="V87" i="7"/>
  <c r="W111" i="7"/>
  <c r="V111" i="7"/>
  <c r="W91" i="7"/>
  <c r="V73" i="7"/>
  <c r="W73" i="7"/>
  <c r="R122" i="7"/>
  <c r="T122" i="7" s="1"/>
  <c r="V25" i="7"/>
  <c r="W25" i="7"/>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V75" i="7" l="1"/>
  <c r="V23" i="7"/>
  <c r="V64" i="7"/>
  <c r="V100"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75" i="7"/>
  <c r="AQ83" i="7"/>
  <c r="AQ91" i="7"/>
  <c r="AQ99" i="7"/>
  <c r="AQ107" i="7"/>
  <c r="AQ115" i="7"/>
  <c r="AQ123" i="7"/>
  <c r="AQ131" i="7"/>
  <c r="AQ20" i="7"/>
  <c r="AQ36" i="7"/>
  <c r="AQ44" i="7"/>
  <c r="AQ92" i="7"/>
  <c r="AQ100" i="7"/>
  <c r="AQ108" i="7"/>
  <c r="AQ116" i="7"/>
  <c r="AQ124" i="7"/>
  <c r="AQ132" i="7"/>
  <c r="AQ89" i="7"/>
  <c r="AQ18" i="7"/>
  <c r="AQ42" i="7"/>
  <c r="AQ98" i="7"/>
  <c r="AQ114" i="7"/>
  <c r="AQ12" i="7"/>
  <c r="AQ13" i="7"/>
  <c r="AQ21" i="7"/>
  <c r="AQ29" i="7"/>
  <c r="AQ37" i="7"/>
  <c r="AQ45" i="7"/>
  <c r="AQ53" i="7"/>
  <c r="AQ93" i="7"/>
  <c r="AQ101" i="7"/>
  <c r="AQ109" i="7"/>
  <c r="AQ117" i="7"/>
  <c r="AQ125" i="7"/>
  <c r="AQ133" i="7"/>
  <c r="AQ15" i="7"/>
  <c r="AQ55" i="7"/>
  <c r="AQ71" i="7"/>
  <c r="AQ103" i="7"/>
  <c r="AQ119" i="7"/>
  <c r="AQ135" i="7"/>
  <c r="AQ24" i="7"/>
  <c r="AQ56" i="7"/>
  <c r="AQ88" i="7"/>
  <c r="AQ96" i="7"/>
  <c r="AQ112" i="7"/>
  <c r="AQ128" i="7"/>
  <c r="AQ25" i="7"/>
  <c r="AQ105" i="7"/>
  <c r="AQ121" i="7"/>
  <c r="AQ137" i="7"/>
  <c r="AQ34" i="7"/>
  <c r="AQ90" i="7"/>
  <c r="AQ130" i="7"/>
  <c r="AQ14" i="7"/>
  <c r="AQ22" i="7"/>
  <c r="AQ38" i="7"/>
  <c r="AQ46" i="7"/>
  <c r="AQ54" i="7"/>
  <c r="AQ78" i="7"/>
  <c r="AQ86" i="7"/>
  <c r="AQ94" i="7"/>
  <c r="AQ110" i="7"/>
  <c r="AQ118" i="7"/>
  <c r="AQ126" i="7"/>
  <c r="AQ134" i="7"/>
  <c r="AQ23" i="7"/>
  <c r="AQ31" i="7"/>
  <c r="AQ39" i="7"/>
  <c r="AQ47" i="7"/>
  <c r="AQ79" i="7"/>
  <c r="AQ95" i="7"/>
  <c r="AQ111" i="7"/>
  <c r="AQ127" i="7"/>
  <c r="AQ16" i="7"/>
  <c r="AQ32" i="7"/>
  <c r="AQ40" i="7"/>
  <c r="AQ64" i="7"/>
  <c r="AQ104" i="7"/>
  <c r="AQ136" i="7"/>
  <c r="AQ17" i="7"/>
  <c r="AQ33" i="7"/>
  <c r="AQ41" i="7"/>
  <c r="AQ49" i="7"/>
  <c r="AQ57" i="7"/>
  <c r="AQ73" i="7"/>
  <c r="AQ97" i="7"/>
  <c r="AQ113" i="7"/>
  <c r="AQ129" i="7"/>
  <c r="AQ26"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C17" i="2"/>
  <c r="F17" i="2" s="1"/>
  <c r="C16" i="2"/>
  <c r="C15" i="2"/>
  <c r="F15" i="2" s="1"/>
  <c r="C14" i="2"/>
  <c r="F14" i="2" s="1"/>
  <c r="C13" i="2"/>
  <c r="F13" i="2" s="1"/>
  <c r="C209" i="2" l="1"/>
  <c r="F209" i="2" s="1"/>
  <c r="G146" i="1" s="1"/>
  <c r="C221" i="2"/>
  <c r="F221" i="2" s="1"/>
  <c r="G36" i="1" s="1"/>
  <c r="C152" i="2"/>
  <c r="F152" i="2" s="1"/>
  <c r="G105" i="1" s="1"/>
  <c r="C234" i="2"/>
  <c r="G152" i="1" s="1"/>
  <c r="C231" i="2"/>
  <c r="C228" i="2"/>
  <c r="D12" i="7"/>
  <c r="D19"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C22" i="2"/>
  <c r="F22" i="2" s="1"/>
  <c r="F16" i="2"/>
  <c r="A272" i="4"/>
  <c r="A368" i="4" s="1"/>
  <c r="A464" i="4" s="1"/>
  <c r="A560" i="4" s="1"/>
  <c r="A656" i="4" s="1"/>
  <c r="A752" i="4" s="1"/>
  <c r="A248" i="4"/>
  <c r="A344" i="4" s="1"/>
  <c r="A440" i="4" s="1"/>
  <c r="A536" i="4" s="1"/>
  <c r="A632" i="4" s="1"/>
  <c r="A728"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280" i="4" s="1"/>
  <c r="A376" i="4" s="1"/>
  <c r="A472" i="4" s="1"/>
  <c r="A568" i="4" s="1"/>
  <c r="A664" i="4" s="1"/>
  <c r="A760" i="4" s="1"/>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264" i="4" s="1"/>
  <c r="A360" i="4" s="1"/>
  <c r="A456" i="4" s="1"/>
  <c r="A552" i="4" s="1"/>
  <c r="A648" i="4" s="1"/>
  <c r="A744" i="4" s="1"/>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240" i="4" s="1"/>
  <c r="A336" i="4" s="1"/>
  <c r="A432" i="4" s="1"/>
  <c r="A528" i="4" s="1"/>
  <c r="A624" i="4" s="1"/>
  <c r="A720" i="4" s="1"/>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232" i="4" s="1"/>
  <c r="A328" i="4" s="1"/>
  <c r="A424" i="4" s="1"/>
  <c r="A520" i="4" s="1"/>
  <c r="A616" i="4" s="1"/>
  <c r="A712" i="4" s="1"/>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216" i="4" s="1"/>
  <c r="A312" i="4" s="1"/>
  <c r="A408" i="4" s="1"/>
  <c r="A504" i="4" s="1"/>
  <c r="A600" i="4" s="1"/>
  <c r="A696" i="4" s="1"/>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AS26" i="6" l="1"/>
  <c r="AS42" i="6"/>
  <c r="C214" i="2"/>
  <c r="F214" i="2" s="1"/>
  <c r="C54" i="2"/>
  <c r="F54" i="2" s="1"/>
  <c r="AJ7" i="6"/>
  <c r="AX98" i="6"/>
  <c r="AY98" i="6" s="1"/>
  <c r="BI98" i="6" s="1"/>
  <c r="D14" i="7"/>
  <c r="D13" i="7"/>
  <c r="D15" i="7" s="1"/>
  <c r="D16" i="7" s="1"/>
  <c r="D17" i="7" s="1"/>
  <c r="D18" i="7" s="1"/>
  <c r="G94"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Y87" i="6" s="1"/>
  <c r="BI87" i="6" s="1"/>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AT42" i="6" l="1"/>
  <c r="C63" i="2"/>
  <c r="F63" i="2" s="1"/>
  <c r="G31" i="1" s="1"/>
  <c r="C230" i="2"/>
  <c r="C232" i="2" s="1"/>
  <c r="G151" i="1" s="1"/>
  <c r="C227" i="2"/>
  <c r="C229" i="2" s="1"/>
  <c r="G150" i="1" s="1"/>
  <c r="BI112" i="6"/>
  <c r="G144" i="1"/>
  <c r="G145" i="1" s="1"/>
  <c r="AT43" i="6"/>
  <c r="C52" i="2"/>
  <c r="F52" i="2" s="1"/>
  <c r="G27" i="1" s="1"/>
  <c r="C119" i="2"/>
  <c r="F119" i="2" s="1"/>
  <c r="C89" i="2"/>
  <c r="F89" i="2" s="1"/>
  <c r="AT26" i="6"/>
  <c r="H94" i="7"/>
  <c r="H46" i="7"/>
  <c r="H64" i="7"/>
  <c r="G30" i="7"/>
  <c r="H112" i="7"/>
  <c r="H80" i="7"/>
  <c r="G32" i="7"/>
  <c r="H110" i="7"/>
  <c r="G14" i="7"/>
  <c r="H81" i="7"/>
  <c r="G49" i="7"/>
  <c r="D24" i="7"/>
  <c r="D20" i="7"/>
  <c r="H129" i="7"/>
  <c r="H111" i="7"/>
  <c r="G79" i="7"/>
  <c r="H126" i="7"/>
  <c r="G78" i="7"/>
  <c r="H62" i="7"/>
  <c r="H119" i="7"/>
  <c r="H55" i="7"/>
  <c r="H137" i="7"/>
  <c r="G38" i="7"/>
  <c r="H79" i="7"/>
  <c r="H89" i="7"/>
  <c r="H48" i="7"/>
  <c r="H127" i="7"/>
  <c r="H121" i="7"/>
  <c r="G110" i="7"/>
  <c r="H22" i="7"/>
  <c r="H32" i="7"/>
  <c r="H47" i="7"/>
  <c r="H14" i="7"/>
  <c r="H57" i="7"/>
  <c r="G93" i="7"/>
  <c r="H49" i="7"/>
  <c r="G127" i="7"/>
  <c r="H15" i="7"/>
  <c r="G109" i="7"/>
  <c r="G120" i="7"/>
  <c r="H88" i="7"/>
  <c r="G128" i="7"/>
  <c r="G111" i="7"/>
  <c r="G126" i="7"/>
  <c r="G71" i="7"/>
  <c r="G47" i="7"/>
  <c r="H24" i="7"/>
  <c r="G48" i="7"/>
  <c r="G112" i="7"/>
  <c r="G23" i="7"/>
  <c r="H41" i="7"/>
  <c r="G24" i="7"/>
  <c r="H16" i="7"/>
  <c r="G72" i="7"/>
  <c r="H136" i="7"/>
  <c r="G135" i="7"/>
  <c r="H103" i="7"/>
  <c r="H86" i="7"/>
  <c r="G28" i="7"/>
  <c r="H25" i="7"/>
  <c r="H97" i="7"/>
  <c r="G95" i="7"/>
  <c r="G54" i="7"/>
  <c r="H120" i="7"/>
  <c r="G119" i="7"/>
  <c r="H87" i="7"/>
  <c r="H54" i="7"/>
  <c r="H125" i="7"/>
  <c r="G136" i="7"/>
  <c r="H33" i="7"/>
  <c r="G55" i="7"/>
  <c r="G31" i="7"/>
  <c r="H104" i="7"/>
  <c r="G46" i="7"/>
  <c r="H71" i="7"/>
  <c r="H38" i="7"/>
  <c r="H84" i="7"/>
  <c r="H105" i="7"/>
  <c r="G104" i="7"/>
  <c r="G56" i="7"/>
  <c r="H95" i="7"/>
  <c r="H78" i="7"/>
  <c r="H72" i="7"/>
  <c r="H113" i="7"/>
  <c r="G118" i="7"/>
  <c r="G16" i="7"/>
  <c r="G88" i="7"/>
  <c r="G15" i="7"/>
  <c r="H63" i="7"/>
  <c r="H30" i="7"/>
  <c r="H56" i="7"/>
  <c r="H65" i="7"/>
  <c r="G86" i="7"/>
  <c r="G37" i="7"/>
  <c r="H73" i="7"/>
  <c r="G70" i="7"/>
  <c r="H96" i="7"/>
  <c r="H31" i="7"/>
  <c r="G125" i="7"/>
  <c r="H40" i="7"/>
  <c r="H17" i="7"/>
  <c r="G63" i="7"/>
  <c r="H133" i="7"/>
  <c r="G40" i="7"/>
  <c r="H109" i="7"/>
  <c r="G102" i="7"/>
  <c r="H70" i="7"/>
  <c r="G85" i="7"/>
  <c r="G61" i="7"/>
  <c r="G103" i="7"/>
  <c r="G96" i="7"/>
  <c r="H39" i="7"/>
  <c r="G22" i="7"/>
  <c r="G80" i="7"/>
  <c r="H93" i="7"/>
  <c r="G87" i="7"/>
  <c r="H128" i="7"/>
  <c r="H23" i="7"/>
  <c r="H134" i="7"/>
  <c r="G62" i="7"/>
  <c r="H77" i="7"/>
  <c r="D21" i="7"/>
  <c r="G64" i="7"/>
  <c r="H135" i="7"/>
  <c r="G134" i="7"/>
  <c r="H102" i="7"/>
  <c r="G39" i="7"/>
  <c r="G124" i="7"/>
  <c r="G92" i="7"/>
  <c r="G131" i="7"/>
  <c r="G12" i="7"/>
  <c r="H35" i="7"/>
  <c r="G133" i="7"/>
  <c r="G53" i="7"/>
  <c r="H61" i="7"/>
  <c r="H37" i="7"/>
  <c r="H118" i="7"/>
  <c r="G117" i="7"/>
  <c r="G29" i="7"/>
  <c r="H29" i="7"/>
  <c r="G100" i="7"/>
  <c r="G101" i="7"/>
  <c r="G77" i="7"/>
  <c r="H12" i="7"/>
  <c r="H132" i="7"/>
  <c r="H21" i="7"/>
  <c r="H124" i="7"/>
  <c r="G115" i="7"/>
  <c r="G130" i="7"/>
  <c r="G45" i="7"/>
  <c r="G132" i="7"/>
  <c r="H116" i="7"/>
  <c r="G59" i="7"/>
  <c r="H138" i="7"/>
  <c r="G108" i="7"/>
  <c r="G13" i="7"/>
  <c r="G116" i="7"/>
  <c r="H92" i="7"/>
  <c r="H20" i="7"/>
  <c r="H34" i="7"/>
  <c r="G76" i="7"/>
  <c r="H101" i="7"/>
  <c r="G52" i="7"/>
  <c r="H76" i="7"/>
  <c r="G91" i="7"/>
  <c r="G60" i="7"/>
  <c r="H85" i="7"/>
  <c r="G36" i="7"/>
  <c r="H68" i="7"/>
  <c r="G35" i="7"/>
  <c r="H45" i="7"/>
  <c r="G44" i="7"/>
  <c r="H53" i="7"/>
  <c r="G20" i="7"/>
  <c r="H60" i="7"/>
  <c r="H91" i="7"/>
  <c r="H67" i="7"/>
  <c r="H90" i="7"/>
  <c r="H27" i="7"/>
  <c r="G105" i="7"/>
  <c r="G27" i="7"/>
  <c r="G98" i="7"/>
  <c r="H131" i="7"/>
  <c r="G66" i="7"/>
  <c r="H99" i="7"/>
  <c r="G18" i="7"/>
  <c r="G90" i="7"/>
  <c r="G69" i="7"/>
  <c r="H74" i="7"/>
  <c r="G97" i="7"/>
  <c r="G99" i="7"/>
  <c r="G123" i="7"/>
  <c r="G19" i="7"/>
  <c r="H83" i="7"/>
  <c r="H19" i="7"/>
  <c r="G82" i="7"/>
  <c r="G21" i="7"/>
  <c r="H66" i="7"/>
  <c r="G65" i="7"/>
  <c r="G83" i="7"/>
  <c r="G107" i="7"/>
  <c r="H13" i="7"/>
  <c r="H75" i="7"/>
  <c r="G138" i="7"/>
  <c r="G74" i="7"/>
  <c r="H117" i="7"/>
  <c r="H42" i="7"/>
  <c r="G33" i="7"/>
  <c r="H52" i="7"/>
  <c r="G43" i="7"/>
  <c r="G75" i="7"/>
  <c r="H123" i="7"/>
  <c r="H59" i="7"/>
  <c r="G122" i="7"/>
  <c r="G58" i="7"/>
  <c r="H130" i="7"/>
  <c r="H26" i="7"/>
  <c r="G84" i="7"/>
  <c r="H108" i="7"/>
  <c r="H44" i="7"/>
  <c r="G67" i="7"/>
  <c r="H115" i="7"/>
  <c r="H51" i="7"/>
  <c r="G114" i="7"/>
  <c r="G50" i="7"/>
  <c r="H106" i="7"/>
  <c r="G137" i="7"/>
  <c r="H69" i="7"/>
  <c r="G68" i="7"/>
  <c r="H100" i="7"/>
  <c r="H28" i="7"/>
  <c r="H36" i="7"/>
  <c r="G51" i="7"/>
  <c r="H107" i="7"/>
  <c r="H43" i="7"/>
  <c r="G106" i="7"/>
  <c r="G42" i="7"/>
  <c r="H98" i="7"/>
  <c r="G129" i="7"/>
  <c r="G41" i="7"/>
  <c r="G89" i="7"/>
  <c r="G25" i="7"/>
  <c r="H82" i="7"/>
  <c r="H18" i="7"/>
  <c r="G81" i="7"/>
  <c r="G17" i="7"/>
  <c r="G73" i="7"/>
  <c r="G34" i="7"/>
  <c r="H122" i="7"/>
  <c r="H58" i="7"/>
  <c r="G121" i="7"/>
  <c r="G57" i="7"/>
  <c r="G26" i="7"/>
  <c r="H114" i="7"/>
  <c r="H50" i="7"/>
  <c r="G113"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C105" i="2" l="1"/>
  <c r="F105" i="2" s="1"/>
  <c r="G66" i="1" s="1"/>
  <c r="C90" i="2"/>
  <c r="F90" i="2" s="1"/>
  <c r="G53" i="1" s="1"/>
  <c r="D22" i="7"/>
  <c r="J135" i="7" s="1"/>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AH63" i="6"/>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AH53" i="6"/>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H48" i="6"/>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AO13" i="6" l="1"/>
  <c r="J24" i="7"/>
  <c r="J101" i="7"/>
  <c r="I75" i="7"/>
  <c r="AA75" i="7" s="1"/>
  <c r="I84" i="7"/>
  <c r="AA84" i="7" s="1"/>
  <c r="J37" i="7"/>
  <c r="AB37" i="7" s="1"/>
  <c r="J72" i="7"/>
  <c r="J98" i="7"/>
  <c r="J15" i="7"/>
  <c r="J79" i="7"/>
  <c r="AB79" i="7" s="1"/>
  <c r="J97" i="7"/>
  <c r="J32" i="7"/>
  <c r="J13" i="7"/>
  <c r="AB13" i="7" s="1"/>
  <c r="J50" i="7"/>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AB31" i="7" s="1"/>
  <c r="I126" i="7"/>
  <c r="AA126" i="7" s="1"/>
  <c r="I65" i="7"/>
  <c r="AA65" i="7" s="1"/>
  <c r="J105" i="7"/>
  <c r="AB105" i="7" s="1"/>
  <c r="J104" i="7"/>
  <c r="AB104" i="7" s="1"/>
  <c r="I25" i="7"/>
  <c r="AA25" i="7" s="1"/>
  <c r="J70" i="7"/>
  <c r="AB70" i="7" s="1"/>
  <c r="J121" i="7"/>
  <c r="J20" i="7"/>
  <c r="AB20" i="7" s="1"/>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I85" i="7"/>
  <c r="AA85" i="7" s="1"/>
  <c r="I83" i="7"/>
  <c r="AA83" i="7" s="1"/>
  <c r="J94" i="7"/>
  <c r="AB94" i="7" s="1"/>
  <c r="J41" i="7"/>
  <c r="AB41" i="7" s="1"/>
  <c r="I21" i="7"/>
  <c r="AA21" i="7" s="1"/>
  <c r="I91" i="7"/>
  <c r="AA91" i="7" s="1"/>
  <c r="J102" i="7"/>
  <c r="J49" i="7"/>
  <c r="AB49" i="7" s="1"/>
  <c r="I13" i="7"/>
  <c r="AA13" i="7" s="1"/>
  <c r="J107" i="7"/>
  <c r="AB107" i="7" s="1"/>
  <c r="J57" i="7"/>
  <c r="AB57" i="7" s="1"/>
  <c r="I107" i="7"/>
  <c r="AA107" i="7" s="1"/>
  <c r="I48" i="7"/>
  <c r="AA48" i="7" s="1"/>
  <c r="J68" i="7"/>
  <c r="I49" i="7"/>
  <c r="AA49" i="7" s="1"/>
  <c r="J44" i="7"/>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AB92" i="7" s="1"/>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I113" i="7"/>
  <c r="AA113" i="7" s="1"/>
  <c r="I51" i="7"/>
  <c r="AA51" i="7" s="1"/>
  <c r="J119" i="7"/>
  <c r="AB119" i="7" s="1"/>
  <c r="J45" i="7"/>
  <c r="AB45" i="7" s="1"/>
  <c r="I62" i="7"/>
  <c r="AA62" i="7" s="1"/>
  <c r="I115" i="7"/>
  <c r="AA115" i="7" s="1"/>
  <c r="I56" i="7"/>
  <c r="AA56" i="7" s="1"/>
  <c r="J60" i="7"/>
  <c r="J30" i="7"/>
  <c r="AB30" i="7" s="1"/>
  <c r="J14" i="7"/>
  <c r="AB14" i="7" s="1"/>
  <c r="J127" i="7"/>
  <c r="AB127" i="7" s="1"/>
  <c r="AN14" i="6"/>
  <c r="J130" i="7"/>
  <c r="AB130" i="7" s="1"/>
  <c r="I39" i="7"/>
  <c r="AA39" i="7" s="1"/>
  <c r="J81" i="7"/>
  <c r="AO81" i="7" s="1"/>
  <c r="J96" i="7"/>
  <c r="J123" i="7"/>
  <c r="AB123" i="7" s="1"/>
  <c r="J110" i="7"/>
  <c r="AB110" i="7" s="1"/>
  <c r="J56" i="7"/>
  <c r="J53" i="7"/>
  <c r="AB53" i="7" s="1"/>
  <c r="J131" i="7"/>
  <c r="AB131" i="7" s="1"/>
  <c r="J126" i="7"/>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I124" i="7"/>
  <c r="AA124" i="7" s="1"/>
  <c r="J55" i="7"/>
  <c r="AB55" i="7" s="1"/>
  <c r="I137" i="7"/>
  <c r="AA137" i="7" s="1"/>
  <c r="J29" i="7"/>
  <c r="AB29" i="7" s="1"/>
  <c r="I132" i="7"/>
  <c r="AA132" i="7" s="1"/>
  <c r="J63" i="7"/>
  <c r="J88" i="7"/>
  <c r="AB88" i="7" s="1"/>
  <c r="AN13" i="6"/>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B33" i="7"/>
  <c r="BD33" i="7" s="1"/>
  <c r="BH33" i="7" s="1"/>
  <c r="BB37" i="7"/>
  <c r="BD37" i="7" s="1"/>
  <c r="BH37" i="7" s="1"/>
  <c r="BB41" i="7"/>
  <c r="BD41" i="7" s="1"/>
  <c r="BH41" i="7" s="1"/>
  <c r="BB45" i="7"/>
  <c r="BD45" i="7" s="1"/>
  <c r="BH45" i="7" s="1"/>
  <c r="BB49" i="7"/>
  <c r="BD49" i="7" s="1"/>
  <c r="BH49" i="7" s="1"/>
  <c r="BB53" i="7"/>
  <c r="BD53" i="7" s="1"/>
  <c r="BH53" i="7" s="1"/>
  <c r="BX52" i="7" s="1"/>
  <c r="BB57" i="7"/>
  <c r="BD57" i="7" s="1"/>
  <c r="BH57" i="7" s="1"/>
  <c r="BX56"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B35" i="7"/>
  <c r="BD35" i="7" s="1"/>
  <c r="BH35" i="7" s="1"/>
  <c r="BB39" i="7"/>
  <c r="BD39" i="7" s="1"/>
  <c r="BH39" i="7" s="1"/>
  <c r="BB43" i="7"/>
  <c r="BD43" i="7" s="1"/>
  <c r="BH43" i="7" s="1"/>
  <c r="BB47" i="7"/>
  <c r="BD47" i="7" s="1"/>
  <c r="BH47" i="7" s="1"/>
  <c r="BB51" i="7"/>
  <c r="BD51" i="7" s="1"/>
  <c r="BH51" i="7" s="1"/>
  <c r="BB55" i="7"/>
  <c r="BD55" i="7" s="1"/>
  <c r="BH55" i="7" s="1"/>
  <c r="BB59" i="7"/>
  <c r="BD59" i="7" s="1"/>
  <c r="BH59" i="7" s="1"/>
  <c r="BB63" i="7"/>
  <c r="BD63" i="7" s="1"/>
  <c r="BH63"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X79"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L95"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I128" i="7"/>
  <c r="AA128" i="7" s="1"/>
  <c r="I29" i="7"/>
  <c r="AA29" i="7" s="1"/>
  <c r="J66" i="7"/>
  <c r="AO65" i="7" s="1"/>
  <c r="J128" i="7"/>
  <c r="J80" i="7"/>
  <c r="AB80" i="7" s="1"/>
  <c r="I110" i="7"/>
  <c r="AA110" i="7" s="1"/>
  <c r="I12" i="7"/>
  <c r="AA12" i="7" s="1"/>
  <c r="J71" i="7"/>
  <c r="BB12" i="7"/>
  <c r="BD12" i="7" s="1"/>
  <c r="BH12" i="7" s="1"/>
  <c r="I57" i="7"/>
  <c r="AA57" i="7" s="1"/>
  <c r="I81" i="7"/>
  <c r="AA81" i="7" s="1"/>
  <c r="BC12" i="7"/>
  <c r="BE12" i="7" s="1"/>
  <c r="BI12" i="7" s="1"/>
  <c r="AB33" i="7"/>
  <c r="AO32" i="7"/>
  <c r="AB44" i="7"/>
  <c r="AB97" i="7"/>
  <c r="AB121" i="7"/>
  <c r="AB98" i="7"/>
  <c r="AB86" i="7"/>
  <c r="AB135" i="7"/>
  <c r="AB72" i="7"/>
  <c r="AB24" i="7"/>
  <c r="AB32" i="7"/>
  <c r="AB101"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AO101" i="7" l="1"/>
  <c r="AO13" i="7"/>
  <c r="AO31" i="7"/>
  <c r="BR31" i="7" s="1"/>
  <c r="BX58" i="7"/>
  <c r="AP13" i="6"/>
  <c r="AU13" i="6" s="1"/>
  <c r="BG13" i="6" s="1"/>
  <c r="AO15" i="7"/>
  <c r="AB15" i="7"/>
  <c r="AN15" i="7" s="1"/>
  <c r="AO97" i="7"/>
  <c r="AO89" i="7"/>
  <c r="AO125" i="7"/>
  <c r="AO132" i="7"/>
  <c r="AO26" i="7"/>
  <c r="AO67" i="7"/>
  <c r="BL73" i="7"/>
  <c r="BL33" i="7"/>
  <c r="AO49" i="7"/>
  <c r="AO14" i="7"/>
  <c r="BR13" i="7" s="1"/>
  <c r="AB50" i="7"/>
  <c r="AM50" i="7" s="1"/>
  <c r="AJ61" i="6"/>
  <c r="BF61" i="6" s="1"/>
  <c r="AO75" i="7"/>
  <c r="AO35" i="7"/>
  <c r="AB36" i="7"/>
  <c r="AM35" i="7" s="1"/>
  <c r="AB102" i="7"/>
  <c r="AM101" i="7" s="1"/>
  <c r="AB26" i="7"/>
  <c r="AN26" i="7" s="1"/>
  <c r="AJ65" i="6"/>
  <c r="BF65" i="6" s="1"/>
  <c r="AO23" i="7"/>
  <c r="AO109" i="7"/>
  <c r="AO43" i="7"/>
  <c r="AO99" i="7"/>
  <c r="AO118" i="7"/>
  <c r="AO36" i="7"/>
  <c r="AO42" i="7"/>
  <c r="AO112" i="7"/>
  <c r="AO34" i="7"/>
  <c r="AO30" i="7"/>
  <c r="AO78" i="7"/>
  <c r="AO25" i="7"/>
  <c r="AJ40" i="6"/>
  <c r="BF40" i="6" s="1"/>
  <c r="AO50" i="7"/>
  <c r="AO117" i="7"/>
  <c r="BR117" i="7" s="1"/>
  <c r="AO105" i="7"/>
  <c r="AO98" i="7"/>
  <c r="AO95" i="7"/>
  <c r="AO90" i="7"/>
  <c r="AO104" i="7"/>
  <c r="AO69" i="7"/>
  <c r="AO70" i="7"/>
  <c r="BX69" i="7"/>
  <c r="AO37" i="7"/>
  <c r="BX61" i="7"/>
  <c r="AB100" i="7"/>
  <c r="AM100" i="7" s="1"/>
  <c r="AO94" i="7"/>
  <c r="AO29" i="7"/>
  <c r="AO93" i="7"/>
  <c r="AO22" i="7"/>
  <c r="AO17" i="7"/>
  <c r="AB133" i="7"/>
  <c r="AM132" i="7" s="1"/>
  <c r="AO12" i="7"/>
  <c r="AO100" i="7"/>
  <c r="BR100" i="7" s="1"/>
  <c r="AO85" i="7"/>
  <c r="AO131" i="7"/>
  <c r="AB85" i="7"/>
  <c r="AM85" i="7" s="1"/>
  <c r="AO103" i="7"/>
  <c r="AO56" i="7"/>
  <c r="AO57" i="7"/>
  <c r="AO41" i="7"/>
  <c r="AB126" i="7"/>
  <c r="AM126" i="7" s="1"/>
  <c r="AO102" i="7"/>
  <c r="BR101" i="7" s="1"/>
  <c r="AO130" i="7"/>
  <c r="AO16" i="7"/>
  <c r="AO84" i="7"/>
  <c r="AO122" i="7"/>
  <c r="AB91" i="7"/>
  <c r="AM91" i="7" s="1"/>
  <c r="AO86" i="7"/>
  <c r="AO82" i="7"/>
  <c r="BR81" i="7" s="1"/>
  <c r="AO68" i="7"/>
  <c r="AO64" i="7"/>
  <c r="BR64" i="7" s="1"/>
  <c r="AO121" i="7"/>
  <c r="AO123" i="7"/>
  <c r="AO91" i="7"/>
  <c r="AO83" i="7"/>
  <c r="AO92" i="7"/>
  <c r="AB84" i="7"/>
  <c r="AO46" i="7"/>
  <c r="AO119" i="7"/>
  <c r="BR118" i="7" s="1"/>
  <c r="AO137" i="7"/>
  <c r="AO33" i="7"/>
  <c r="AO138" i="7"/>
  <c r="BR138" i="7" s="1"/>
  <c r="AB34" i="7"/>
  <c r="AN34" i="7" s="1"/>
  <c r="AB96" i="7"/>
  <c r="AB68" i="7"/>
  <c r="AM68" i="7" s="1"/>
  <c r="AO133" i="7"/>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AO18" i="7"/>
  <c r="AO24" i="7"/>
  <c r="BR23" i="7" s="1"/>
  <c r="AO62" i="7"/>
  <c r="AB137" i="7"/>
  <c r="AM137" i="7" s="1"/>
  <c r="AB47" i="7"/>
  <c r="AM47" i="7" s="1"/>
  <c r="AO47" i="7"/>
  <c r="AB81" i="7"/>
  <c r="AM81" i="7" s="1"/>
  <c r="AB63" i="7"/>
  <c r="AM62" i="7" s="1"/>
  <c r="AO72" i="7"/>
  <c r="AO114" i="7"/>
  <c r="AO113" i="7"/>
  <c r="AO126" i="7"/>
  <c r="AO58" i="7"/>
  <c r="AB124" i="7"/>
  <c r="AN123" i="7" s="1"/>
  <c r="AB67" i="7"/>
  <c r="AO59" i="7"/>
  <c r="AO96" i="7"/>
  <c r="AO63" i="7"/>
  <c r="AO124" i="7"/>
  <c r="AB25" i="7"/>
  <c r="AO52" i="7"/>
  <c r="AB60" i="7"/>
  <c r="AM59" i="7" s="1"/>
  <c r="AO87" i="7"/>
  <c r="AO51" i="7"/>
  <c r="AO136" i="7"/>
  <c r="AO135" i="7"/>
  <c r="AP12" i="6"/>
  <c r="AU12" i="6" s="1"/>
  <c r="BG12" i="6" s="1"/>
  <c r="AO28" i="7"/>
  <c r="AO120" i="7"/>
  <c r="AO48" i="7"/>
  <c r="AB120" i="7"/>
  <c r="AM119" i="7" s="1"/>
  <c r="AO21" i="7"/>
  <c r="AO39" i="7"/>
  <c r="AO55" i="7"/>
  <c r="AO54" i="7"/>
  <c r="AO38" i="7"/>
  <c r="AB56" i="7"/>
  <c r="AM55" i="7" s="1"/>
  <c r="AJ64" i="6"/>
  <c r="BF64" i="6" s="1"/>
  <c r="AJ52" i="6"/>
  <c r="BF52" i="6" s="1"/>
  <c r="AP21" i="6"/>
  <c r="AU21" i="6" s="1"/>
  <c r="BG21" i="6" s="1"/>
  <c r="AO27" i="7"/>
  <c r="AB28" i="7"/>
  <c r="AN27" i="7" s="1"/>
  <c r="AO20" i="7"/>
  <c r="BX68" i="7"/>
  <c r="AB89" i="7"/>
  <c r="AM88" i="7" s="1"/>
  <c r="AO88" i="7"/>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L109" i="7"/>
  <c r="BL126" i="7"/>
  <c r="BL94" i="7"/>
  <c r="BL62" i="7"/>
  <c r="BL30" i="7"/>
  <c r="BL35" i="7"/>
  <c r="BL124" i="7"/>
  <c r="BL107" i="7"/>
  <c r="AB71" i="7"/>
  <c r="AO71" i="7"/>
  <c r="AO66" i="7"/>
  <c r="AB75" i="7"/>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5" i="7"/>
  <c r="AM118" i="7"/>
  <c r="AN118" i="7"/>
  <c r="AM30" i="7"/>
  <c r="AN30" i="7"/>
  <c r="AM14" i="7"/>
  <c r="AM134" i="7"/>
  <c r="AN134" i="7"/>
  <c r="AM53" i="7"/>
  <c r="AM42" i="7"/>
  <c r="AN42" i="7"/>
  <c r="AM113" i="7"/>
  <c r="AN113" i="7"/>
  <c r="AM48" i="7"/>
  <c r="AN48" i="7"/>
  <c r="AM31" i="7"/>
  <c r="AN31" i="7"/>
  <c r="AM72" i="7"/>
  <c r="AM32" i="7"/>
  <c r="AN32" i="7"/>
  <c r="AM39" i="7"/>
  <c r="AN39" i="7"/>
  <c r="AN116" i="7"/>
  <c r="AM116" i="7"/>
  <c r="AM41" i="7"/>
  <c r="AN41" i="7"/>
  <c r="AN20" i="7"/>
  <c r="AM20" i="7"/>
  <c r="AN21" i="7"/>
  <c r="AM21" i="7"/>
  <c r="AN109" i="7"/>
  <c r="AM109" i="7"/>
  <c r="AM114" i="7"/>
  <c r="AN114" i="7"/>
  <c r="AM98" i="7"/>
  <c r="AN98" i="7"/>
  <c r="AM37" i="7"/>
  <c r="AN37" i="7"/>
  <c r="AM112" i="7"/>
  <c r="AN112" i="7"/>
  <c r="AM12" i="7"/>
  <c r="AN12" i="7"/>
  <c r="AN43" i="7"/>
  <c r="AM43" i="7"/>
  <c r="AM17" i="7"/>
  <c r="AN17" i="7"/>
  <c r="AN93" i="7"/>
  <c r="AM93" i="7"/>
  <c r="AM103" i="7"/>
  <c r="AN103" i="7"/>
  <c r="AM86" i="7"/>
  <c r="AM78" i="7"/>
  <c r="AM64" i="7"/>
  <c r="AN64" i="7"/>
  <c r="AN117" i="7"/>
  <c r="AM117" i="7"/>
  <c r="AM77" i="7"/>
  <c r="AN18" i="7"/>
  <c r="AM18" i="7"/>
  <c r="AM111" i="7"/>
  <c r="AN111" i="7"/>
  <c r="AN92" i="7"/>
  <c r="AM92" i="7"/>
  <c r="AN44" i="7"/>
  <c r="AM44" i="7"/>
  <c r="AM54" i="7"/>
  <c r="AM38" i="7"/>
  <c r="AN38" i="7"/>
  <c r="AM22" i="7"/>
  <c r="AN22" i="7"/>
  <c r="AM79" i="7"/>
  <c r="AM115" i="7"/>
  <c r="AN115" i="7"/>
  <c r="AM130" i="7"/>
  <c r="AN130" i="7"/>
  <c r="AM122" i="7"/>
  <c r="AN122" i="7"/>
  <c r="AM69" i="7"/>
  <c r="AM82" i="7"/>
  <c r="AN82" i="7"/>
  <c r="AN13" i="7"/>
  <c r="AM13" i="7"/>
  <c r="AM58" i="7"/>
  <c r="AN19" i="7"/>
  <c r="AM19" i="7"/>
  <c r="AM94" i="7"/>
  <c r="AN94" i="7"/>
  <c r="AM23" i="7"/>
  <c r="AN23" i="7"/>
  <c r="AM40" i="7"/>
  <c r="AN40" i="7"/>
  <c r="AM121" i="7"/>
  <c r="AN121" i="7"/>
  <c r="AM16" i="7"/>
  <c r="AN16" i="7"/>
  <c r="AM57" i="7"/>
  <c r="AN57" i="7"/>
  <c r="AM110" i="7"/>
  <c r="AN110" i="7"/>
  <c r="AM87" i="7"/>
  <c r="AM135" i="7"/>
  <c r="AN135" i="7"/>
  <c r="AM105" i="7"/>
  <c r="AN105" i="7"/>
  <c r="AM51" i="7"/>
  <c r="AM52" i="7"/>
  <c r="AM106" i="7"/>
  <c r="AN106" i="7"/>
  <c r="AN45" i="7"/>
  <c r="AM45" i="7"/>
  <c r="AM97" i="7"/>
  <c r="AN97" i="7"/>
  <c r="AM131" i="7"/>
  <c r="AN131" i="7"/>
  <c r="AM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AJ24" i="6"/>
  <c r="BF24" i="6" s="1"/>
  <c r="AJ22" i="6"/>
  <c r="AJ42" i="6"/>
  <c r="AJ51" i="6"/>
  <c r="AJ23" i="6"/>
  <c r="BF23" i="6" s="1"/>
  <c r="AJ28" i="6"/>
  <c r="BF28" i="6" s="1"/>
  <c r="AJ36" i="6"/>
  <c r="BF36" i="6" s="1"/>
  <c r="AJ33" i="6"/>
  <c r="BF33" i="6" s="1"/>
  <c r="AJ20" i="6"/>
  <c r="BF20" i="6" s="1"/>
  <c r="AJ54" i="6"/>
  <c r="BF54" i="6" s="1"/>
  <c r="AJ18"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66" i="7" l="1"/>
  <c r="BR14" i="7"/>
  <c r="BR35" i="7"/>
  <c r="BR12" i="7"/>
  <c r="BR131" i="7"/>
  <c r="AM25" i="7"/>
  <c r="AN35" i="7"/>
  <c r="AN132" i="7"/>
  <c r="BR25" i="7"/>
  <c r="BR15" i="7"/>
  <c r="BE13" i="6"/>
  <c r="AN14" i="7"/>
  <c r="AN36" i="7"/>
  <c r="BR89" i="7"/>
  <c r="BR132" i="7"/>
  <c r="AM36" i="7"/>
  <c r="BR125" i="7"/>
  <c r="AM26" i="7"/>
  <c r="BR88" i="7"/>
  <c r="BR124" i="7"/>
  <c r="AN102" i="7"/>
  <c r="AM49" i="7"/>
  <c r="AM102" i="7"/>
  <c r="AN101" i="7"/>
  <c r="BR26" i="7"/>
  <c r="BR29" i="7"/>
  <c r="BR67" i="7"/>
  <c r="BR48" i="7"/>
  <c r="BR49" i="7"/>
  <c r="BR95" i="7"/>
  <c r="BR22" i="7"/>
  <c r="BR30" i="7"/>
  <c r="BR75" i="7"/>
  <c r="BR34" i="7"/>
  <c r="BR74" i="7"/>
  <c r="BR116" i="7"/>
  <c r="BR42" i="7"/>
  <c r="BR78" i="7"/>
  <c r="BR109" i="7"/>
  <c r="BR77" i="7"/>
  <c r="BR50" i="7"/>
  <c r="AH70" i="6"/>
  <c r="BR36" i="7"/>
  <c r="BR104"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AN61" i="7"/>
  <c r="BR83" i="7"/>
  <c r="AM84" i="7"/>
  <c r="AM125" i="7"/>
  <c r="BR102" i="7"/>
  <c r="BR45" i="7"/>
  <c r="AM95" i="7"/>
  <c r="BR86" i="7"/>
  <c r="BR40" i="7"/>
  <c r="AN63" i="7"/>
  <c r="BR57" i="7"/>
  <c r="AM96" i="7"/>
  <c r="AM63" i="7"/>
  <c r="AM83" i="7"/>
  <c r="BR82" i="7"/>
  <c r="AN126" i="7"/>
  <c r="BR122" i="7"/>
  <c r="BR114" i="7"/>
  <c r="BR60" i="7"/>
  <c r="BR62" i="7"/>
  <c r="AN137" i="7"/>
  <c r="BR126" i="7"/>
  <c r="AN136" i="7"/>
  <c r="AM136" i="7"/>
  <c r="BR16" i="7"/>
  <c r="AN46" i="7"/>
  <c r="BR32" i="7"/>
  <c r="AM123" i="7"/>
  <c r="BR123" i="7"/>
  <c r="BR137" i="7"/>
  <c r="BR91" i="7"/>
  <c r="AM67" i="7"/>
  <c r="BR61" i="7"/>
  <c r="BR46" i="7"/>
  <c r="BR44" i="7"/>
  <c r="BR53" i="7"/>
  <c r="BR113" i="7"/>
  <c r="AN60" i="7"/>
  <c r="BR134" i="7"/>
  <c r="AM80" i="7"/>
  <c r="AM124" i="7"/>
  <c r="AM60" i="7"/>
  <c r="BR107" i="7"/>
  <c r="BR115" i="7"/>
  <c r="BR119" i="7"/>
  <c r="AN124" i="7"/>
  <c r="AM33" i="7"/>
  <c r="BR128" i="7"/>
  <c r="AN80" i="7"/>
  <c r="AN120" i="7"/>
  <c r="AM34" i="7"/>
  <c r="AM128" i="7"/>
  <c r="BR133" i="7"/>
  <c r="AM120" i="7"/>
  <c r="AN119" i="7"/>
  <c r="BR39" i="7"/>
  <c r="BR18" i="7"/>
  <c r="BR106" i="7"/>
  <c r="BR87" i="7"/>
  <c r="BR96" i="7"/>
  <c r="BR72" i="7"/>
  <c r="BR105" i="7"/>
  <c r="BR76" i="7"/>
  <c r="BR52" i="7"/>
  <c r="BR17" i="7"/>
  <c r="BR19" i="7"/>
  <c r="AM46" i="7"/>
  <c r="BR43" i="7"/>
  <c r="AN47" i="7"/>
  <c r="BR135" i="7"/>
  <c r="BR110" i="7"/>
  <c r="BR59" i="7"/>
  <c r="BR71" i="7"/>
  <c r="AN89" i="7"/>
  <c r="AN24" i="7"/>
  <c r="BR120" i="7"/>
  <c r="AM24" i="7"/>
  <c r="AM56" i="7"/>
  <c r="AN25" i="7"/>
  <c r="BR58" i="7"/>
  <c r="BR136" i="7"/>
  <c r="BR20" i="7"/>
  <c r="AM89" i="7"/>
  <c r="AN88" i="7"/>
  <c r="BN17" i="7"/>
  <c r="BR51" i="7"/>
  <c r="BR27" i="7"/>
  <c r="AM66" i="7"/>
  <c r="AM127" i="7"/>
  <c r="AM28" i="7"/>
  <c r="AN28" i="7"/>
  <c r="AM27" i="7"/>
  <c r="BR38" i="7"/>
  <c r="BR54" i="7"/>
  <c r="AN65" i="7"/>
  <c r="BN48" i="7"/>
  <c r="BR70" i="7"/>
  <c r="BX8"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AO8" i="7"/>
  <c r="G78" i="1" s="1"/>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P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Q8" i="7"/>
  <c r="BN78" i="7"/>
  <c r="BN90" i="7"/>
  <c r="BN86" i="7"/>
  <c r="BN93" i="7"/>
  <c r="BN58" i="7"/>
  <c r="BN60" i="7"/>
  <c r="BN128" i="7"/>
  <c r="BN47" i="7"/>
  <c r="BN45" i="7"/>
  <c r="BN18" i="7"/>
  <c r="BN20" i="7"/>
  <c r="BN88" i="7"/>
  <c r="BN41" i="7"/>
  <c r="BN98" i="7"/>
  <c r="BN70" i="7"/>
  <c r="BN81" i="7"/>
  <c r="BL8" i="7"/>
  <c r="BM7" i="7" s="1"/>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J70" i="6" l="1"/>
  <c r="AH71" i="6"/>
  <c r="AZ37" i="6"/>
  <c r="BB37" i="6" s="1"/>
  <c r="BC37" i="6" s="1"/>
  <c r="AH72" i="6"/>
  <c r="AM8" i="7"/>
  <c r="G77" i="1" s="1"/>
  <c r="BR8" i="7"/>
  <c r="BN8" i="7"/>
  <c r="BO7" i="7" s="1"/>
  <c r="BO14" i="7" s="1"/>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AJ72" i="6" l="1"/>
  <c r="BO124" i="7"/>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BM8" i="7"/>
  <c r="BM3" i="7" s="1"/>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AN49" i="7" s="1"/>
  <c r="O50" i="7"/>
  <c r="AD50" i="7" s="1"/>
  <c r="O129" i="7"/>
  <c r="AD129" i="7" s="1"/>
  <c r="N129" i="7"/>
  <c r="AC129" i="7" s="1"/>
  <c r="AE129" i="7" s="1"/>
  <c r="N65" i="7"/>
  <c r="AC65" i="7" s="1"/>
  <c r="AE65" i="7" s="1"/>
  <c r="O65" i="7"/>
  <c r="AD65" i="7" s="1"/>
  <c r="O28" i="7"/>
  <c r="AD28" i="7" s="1"/>
  <c r="N28" i="7"/>
  <c r="AC28" i="7" s="1"/>
  <c r="AE28" i="7" s="1"/>
  <c r="N80" i="7"/>
  <c r="AC80" i="7" s="1"/>
  <c r="AE80" i="7" s="1"/>
  <c r="AN79" i="7" s="1"/>
  <c r="O80" i="7"/>
  <c r="AD80" i="7" s="1"/>
  <c r="O16" i="7"/>
  <c r="AD16" i="7" s="1"/>
  <c r="N16" i="7"/>
  <c r="AC16" i="7" s="1"/>
  <c r="AE16" i="7" s="1"/>
  <c r="O95" i="7"/>
  <c r="AD95" i="7" s="1"/>
  <c r="N95" i="7"/>
  <c r="AC95" i="7" s="1"/>
  <c r="AE95" i="7" s="1"/>
  <c r="N31" i="7"/>
  <c r="AC31" i="7" s="1"/>
  <c r="AE31" i="7" s="1"/>
  <c r="AQ30"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O83" i="7"/>
  <c r="AD83" i="7" s="1"/>
  <c r="N83" i="7"/>
  <c r="AC83" i="7" s="1"/>
  <c r="AE83" i="7" s="1"/>
  <c r="O19" i="7"/>
  <c r="AD19" i="7" s="1"/>
  <c r="N19" i="7"/>
  <c r="AC19" i="7" s="1"/>
  <c r="AE19" i="7" s="1"/>
  <c r="N98" i="7"/>
  <c r="AC98" i="7" s="1"/>
  <c r="AE98" i="7" s="1"/>
  <c r="O98" i="7"/>
  <c r="AD98" i="7" s="1"/>
  <c r="N34" i="7"/>
  <c r="AC34" i="7" s="1"/>
  <c r="AE34" i="7" s="1"/>
  <c r="AN33"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N105" i="7"/>
  <c r="AC105" i="7" s="1"/>
  <c r="AE105"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AQ70"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O138" i="7"/>
  <c r="AD138" i="7" s="1"/>
  <c r="N138" i="7"/>
  <c r="AC138" i="7" s="1"/>
  <c r="AE138" i="7" s="1"/>
  <c r="N74" i="7"/>
  <c r="AC74" i="7" s="1"/>
  <c r="AE74" i="7" s="1"/>
  <c r="AN73"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AN91"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N68" i="7"/>
  <c r="AC68" i="7" s="1"/>
  <c r="AE68" i="7" s="1"/>
  <c r="O68" i="7"/>
  <c r="AD68" i="7" s="1"/>
  <c r="O81" i="7"/>
  <c r="AD81" i="7" s="1"/>
  <c r="N81" i="7"/>
  <c r="AC81" i="7" s="1"/>
  <c r="AE81" i="7" s="1"/>
  <c r="N17" i="7"/>
  <c r="AC17" i="7" s="1"/>
  <c r="AE17" i="7" s="1"/>
  <c r="O17" i="7"/>
  <c r="AD17" i="7" s="1"/>
  <c r="N96" i="7"/>
  <c r="AC96" i="7" s="1"/>
  <c r="AE96" i="7" s="1"/>
  <c r="AN95" i="7" s="1"/>
  <c r="O96" i="7"/>
  <c r="AD96" i="7" s="1"/>
  <c r="O32" i="7"/>
  <c r="AD32" i="7" s="1"/>
  <c r="N32" i="7"/>
  <c r="AC32" i="7" s="1"/>
  <c r="AE32" i="7" s="1"/>
  <c r="N111" i="7"/>
  <c r="AC111" i="7" s="1"/>
  <c r="AE111" i="7" s="1"/>
  <c r="O111" i="7"/>
  <c r="AD111" i="7" s="1"/>
  <c r="N47" i="7"/>
  <c r="AC47" i="7" s="1"/>
  <c r="AE47" i="7" s="1"/>
  <c r="O47" i="7"/>
  <c r="AD47" i="7" s="1"/>
  <c r="O126" i="7"/>
  <c r="AD126" i="7" s="1"/>
  <c r="N126" i="7"/>
  <c r="AC126" i="7" s="1"/>
  <c r="AE126" i="7" s="1"/>
  <c r="N62" i="7"/>
  <c r="AC62" i="7" s="1"/>
  <c r="AE62" i="7" s="1"/>
  <c r="AQ61" i="7" s="1"/>
  <c r="O62" i="7"/>
  <c r="AD62" i="7" s="1"/>
  <c r="O52" i="7"/>
  <c r="AD52" i="7" s="1"/>
  <c r="N52" i="7"/>
  <c r="AC52" i="7" s="1"/>
  <c r="AE52" i="7" s="1"/>
  <c r="O77" i="7"/>
  <c r="AD77" i="7" s="1"/>
  <c r="N77" i="7"/>
  <c r="AC77" i="7" s="1"/>
  <c r="AE77" i="7" s="1"/>
  <c r="O13" i="7"/>
  <c r="AD13" i="7" s="1"/>
  <c r="N13" i="7"/>
  <c r="AC13" i="7" s="1"/>
  <c r="AE13" i="7" s="1"/>
  <c r="O12" i="7"/>
  <c r="AD12" i="7" s="1"/>
  <c r="N12" i="7"/>
  <c r="AC12" i="7" s="1"/>
  <c r="AE12" i="7" s="1"/>
  <c r="N60" i="7"/>
  <c r="AC60" i="7" s="1"/>
  <c r="AE60" i="7" s="1"/>
  <c r="AQ59" i="7" s="1"/>
  <c r="O60" i="7"/>
  <c r="AD60" i="7" s="1"/>
  <c r="O48" i="7"/>
  <c r="AD48" i="7" s="1"/>
  <c r="N48" i="7"/>
  <c r="AC48" i="7" s="1"/>
  <c r="AE48"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N108" i="7"/>
  <c r="AC108" i="7" s="1"/>
  <c r="AE108" i="7" s="1"/>
  <c r="O108" i="7"/>
  <c r="AD108" i="7" s="1"/>
  <c r="O88" i="7"/>
  <c r="AD88" i="7" s="1"/>
  <c r="N88" i="7"/>
  <c r="AC88" i="7" s="1"/>
  <c r="AE88" i="7" s="1"/>
  <c r="O24" i="7"/>
  <c r="AD24" i="7" s="1"/>
  <c r="N24" i="7"/>
  <c r="AC24" i="7" s="1"/>
  <c r="AE24" i="7" s="1"/>
  <c r="N103" i="7"/>
  <c r="AC103" i="7" s="1"/>
  <c r="AE103" i="7" s="1"/>
  <c r="AQ102" i="7" s="1"/>
  <c r="O103" i="7"/>
  <c r="AD103" i="7" s="1"/>
  <c r="O39" i="7"/>
  <c r="AD39" i="7" s="1"/>
  <c r="N39" i="7"/>
  <c r="AC39" i="7" s="1"/>
  <c r="AE39" i="7" s="1"/>
  <c r="O118" i="7"/>
  <c r="AD118" i="7" s="1"/>
  <c r="N118" i="7"/>
  <c r="AC118" i="7" s="1"/>
  <c r="AE118" i="7" s="1"/>
  <c r="O54" i="7"/>
  <c r="AD54" i="7" s="1"/>
  <c r="N54" i="7"/>
  <c r="AC54" i="7" s="1"/>
  <c r="AE54" i="7" s="1"/>
  <c r="AN53" i="7" s="1"/>
  <c r="O133" i="7"/>
  <c r="AD133" i="7" s="1"/>
  <c r="N133" i="7"/>
  <c r="AC133" i="7" s="1"/>
  <c r="AE133" i="7" s="1"/>
  <c r="O69" i="7"/>
  <c r="AD69" i="7" s="1"/>
  <c r="N69" i="7"/>
  <c r="AC69" i="7" s="1"/>
  <c r="AE69" i="7" s="1"/>
  <c r="AQ68"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N50" i="7" l="1"/>
  <c r="AN51" i="7"/>
  <c r="AN104" i="7"/>
  <c r="AN52" i="7"/>
  <c r="AN58" i="7"/>
  <c r="AQ62" i="7"/>
  <c r="AN54" i="7"/>
  <c r="AN62" i="7"/>
  <c r="AQ87" i="7"/>
  <c r="AN87" i="7"/>
  <c r="AN83" i="7"/>
  <c r="AN74" i="7"/>
  <c r="AN90" i="7"/>
  <c r="AQ72" i="7"/>
  <c r="AN72" i="7"/>
  <c r="AQ60" i="7"/>
  <c r="AN81" i="7"/>
  <c r="AQ58" i="7"/>
  <c r="AN76" i="7"/>
  <c r="AQ76" i="7"/>
  <c r="AQ69" i="7"/>
  <c r="AQ63" i="7"/>
  <c r="AN71" i="7"/>
  <c r="AI82" i="7"/>
  <c r="AI123"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BO8" i="7"/>
  <c r="BR3" i="7" s="1"/>
  <c r="AN85" i="7"/>
  <c r="AI127" i="7"/>
  <c r="AI117" i="7"/>
  <c r="AI125" i="7"/>
  <c r="AI57" i="7"/>
  <c r="AI95" i="7"/>
  <c r="AI112" i="7"/>
  <c r="AI35" i="7"/>
  <c r="AI59" i="7"/>
  <c r="AN69" i="7"/>
  <c r="AI47" i="7"/>
  <c r="AI53" i="7"/>
  <c r="AI23" i="7"/>
  <c r="AI31" i="7"/>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AI18" i="7"/>
  <c r="AI120" i="7"/>
  <c r="AI66" i="7"/>
  <c r="AI15" i="7"/>
  <c r="AI128" i="7"/>
  <c r="AI98" i="7"/>
  <c r="AR53" i="7"/>
  <c r="AS53" i="7"/>
  <c r="AF54" i="7"/>
  <c r="AS23" i="7"/>
  <c r="AR23" i="7"/>
  <c r="AF24" i="7"/>
  <c r="AR106" i="7"/>
  <c r="AS106" i="7"/>
  <c r="AF107" i="7"/>
  <c r="AR12" i="7"/>
  <c r="AF12" i="7"/>
  <c r="AS31" i="7"/>
  <c r="AR31" i="7"/>
  <c r="AF32" i="7"/>
  <c r="AI67" i="7"/>
  <c r="AR89" i="7"/>
  <c r="AS89" i="7"/>
  <c r="AF90" i="7"/>
  <c r="AI69" i="7"/>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AI135" i="7"/>
  <c r="AR105" i="7"/>
  <c r="AS105" i="7"/>
  <c r="AF106" i="7"/>
  <c r="AR129" i="7"/>
  <c r="AS129" i="7"/>
  <c r="AF130" i="7"/>
  <c r="AR60" i="7"/>
  <c r="AS60" i="7"/>
  <c r="AF61" i="7"/>
  <c r="AI30" i="7"/>
  <c r="AS27" i="7"/>
  <c r="AR27" i="7"/>
  <c r="AF28" i="7"/>
  <c r="AI113" i="7"/>
  <c r="AS50" i="7"/>
  <c r="AF51" i="7"/>
  <c r="AS136" i="7"/>
  <c r="AR136" i="7"/>
  <c r="AF137" i="7"/>
  <c r="AR69" i="7"/>
  <c r="AS69" i="7"/>
  <c r="AF70" i="7"/>
  <c r="AI29" i="7"/>
  <c r="AI71" i="7"/>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AS32" i="7"/>
  <c r="AR32" i="7"/>
  <c r="AF33" i="7"/>
  <c r="AI99" i="7"/>
  <c r="AI119" i="7"/>
  <c r="AR44" i="7"/>
  <c r="AS44" i="7"/>
  <c r="AF45" i="7"/>
  <c r="AR15" i="7"/>
  <c r="AS14" i="7"/>
  <c r="AR14" i="7"/>
  <c r="AF15" i="7"/>
  <c r="AR97" i="7"/>
  <c r="AS97" i="7"/>
  <c r="AF98" i="7"/>
  <c r="AI62" i="7"/>
  <c r="AR86" i="7"/>
  <c r="AS86" i="7"/>
  <c r="AF87" i="7"/>
  <c r="AK86" i="7" s="1"/>
  <c r="AI56" i="7"/>
  <c r="AR26" i="7"/>
  <c r="AS26" i="7"/>
  <c r="AF27" i="7"/>
  <c r="AI111" i="7"/>
  <c r="AI124" i="7"/>
  <c r="AI94" i="7"/>
  <c r="AS64" i="7"/>
  <c r="AR64" i="7"/>
  <c r="AF65" i="7"/>
  <c r="AI34" i="7"/>
  <c r="AI50" i="7"/>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AK132" i="7" l="1"/>
  <c r="AK102" i="7"/>
  <c r="AK93" i="7"/>
  <c r="AK94" i="7"/>
  <c r="AK124" i="7"/>
  <c r="AK96" i="7"/>
  <c r="AK22" i="7"/>
  <c r="AK29" i="7"/>
  <c r="AK36" i="7"/>
  <c r="AK54" i="7"/>
  <c r="AK32" i="7"/>
  <c r="AK80" i="7"/>
  <c r="AK24" i="7"/>
  <c r="BV12" i="7"/>
  <c r="BV8" i="7" s="1"/>
  <c r="BU8" i="7"/>
  <c r="AK62" i="7"/>
  <c r="AK115" i="7"/>
  <c r="AK99" i="7"/>
  <c r="AH74" i="6"/>
  <c r="AK19" i="7"/>
  <c r="AK118" i="7"/>
  <c r="AK42" i="7"/>
  <c r="AK121" i="7"/>
  <c r="AK107" i="7"/>
  <c r="AK49" i="7"/>
  <c r="AK30" i="7"/>
  <c r="AK64" i="7"/>
  <c r="AK17" i="7"/>
  <c r="AK83" i="7"/>
  <c r="AK71" i="7"/>
  <c r="AN8"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S8" i="7"/>
  <c r="AK97" i="7"/>
  <c r="AK50" i="7"/>
  <c r="AK138" i="7"/>
  <c r="AK137" i="7"/>
  <c r="AK61" i="7"/>
  <c r="AK74" i="7"/>
  <c r="AK57" i="7"/>
  <c r="AK126" i="7"/>
  <c r="AK128" i="7"/>
  <c r="AK100" i="7"/>
  <c r="AK112" i="7"/>
  <c r="AK59" i="7"/>
  <c r="AK113" i="7"/>
  <c r="AK46" i="7"/>
  <c r="AK75" i="7"/>
  <c r="AK20" i="7"/>
  <c r="AK43" i="7"/>
  <c r="AK48" i="7"/>
  <c r="AR8" i="7"/>
  <c r="AK116" i="7"/>
  <c r="AK92" i="7"/>
  <c r="AK37" i="7"/>
  <c r="AK52" i="7"/>
  <c r="AK77" i="7"/>
  <c r="AK104" i="7"/>
  <c r="AK125" i="7"/>
  <c r="AQ8" i="7"/>
  <c r="BT8" i="7" s="1"/>
  <c r="AI8"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J74" i="6" l="1"/>
  <c r="BF74" i="6" s="1"/>
  <c r="AJ7" i="7"/>
  <c r="AJ79" i="7" s="1"/>
  <c r="C110" i="2"/>
  <c r="F110" i="2" s="1"/>
  <c r="G68" i="1" s="1"/>
  <c r="AH75" i="6"/>
  <c r="AK8" i="7"/>
  <c r="AL7" i="7" s="1"/>
  <c r="AL109" i="7" s="1"/>
  <c r="BL73" i="6"/>
  <c r="BE73" i="6"/>
  <c r="AV75" i="6"/>
  <c r="BH75" i="6" s="1"/>
  <c r="AP74" i="6"/>
  <c r="AU74" i="6" s="1"/>
  <c r="AO75" i="6"/>
  <c r="Z76" i="6"/>
  <c r="AA76" i="6" s="1"/>
  <c r="AB76" i="6" s="1"/>
  <c r="BJ76" i="6" s="1"/>
  <c r="AF75" i="6"/>
  <c r="L86" i="6"/>
  <c r="K86" i="6"/>
  <c r="Q76" i="6"/>
  <c r="R76" i="6" s="1"/>
  <c r="AG76" i="6" s="1"/>
  <c r="S76" i="6"/>
  <c r="AH76" i="6"/>
  <c r="O77" i="6"/>
  <c r="T75" i="6"/>
  <c r="AK76" i="6"/>
  <c r="AL76" i="6" s="1"/>
  <c r="AM76" i="6" s="1"/>
  <c r="P76" i="6"/>
  <c r="U75" i="6"/>
  <c r="W76" i="6"/>
  <c r="X76" i="6" s="1"/>
  <c r="Y76" i="6" s="1"/>
  <c r="BK76" i="6" s="1"/>
  <c r="N78" i="6"/>
  <c r="O78" i="6" s="1"/>
  <c r="AN75" i="6"/>
  <c r="AC76" i="6"/>
  <c r="AD76" i="6" s="1"/>
  <c r="AE76" i="6" s="1"/>
  <c r="V74" i="6"/>
  <c r="J79" i="6"/>
  <c r="AJ28" i="7" l="1"/>
  <c r="AJ50" i="7"/>
  <c r="AJ86"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J8" i="7" l="1"/>
  <c r="AJ3" i="7" s="1"/>
  <c r="AH77" i="6"/>
  <c r="AH78" i="6"/>
  <c r="AL8" i="7"/>
  <c r="AO3" i="7" s="1"/>
  <c r="AJ76" i="6"/>
  <c r="BF76" i="6" s="1"/>
  <c r="BL74" i="6"/>
  <c r="AP76" i="6"/>
  <c r="AU76" i="6" s="1"/>
  <c r="V76" i="6"/>
  <c r="BD76" i="6" s="1"/>
  <c r="BG75" i="6"/>
  <c r="AV77" i="6"/>
  <c r="BH77" i="6" s="1"/>
  <c r="AZ75" i="6"/>
  <c r="BB75" i="6" s="1"/>
  <c r="BC75" i="6" s="1"/>
  <c r="AO78" i="6"/>
  <c r="AO77" i="6"/>
  <c r="AN77" i="6"/>
  <c r="L88" i="6"/>
  <c r="T77" i="6"/>
  <c r="AF77" i="6"/>
  <c r="K88" i="6"/>
  <c r="U77" i="6"/>
  <c r="AN78" i="6"/>
  <c r="AF78" i="6"/>
  <c r="O79" i="6"/>
  <c r="U78" i="6"/>
  <c r="J81" i="6"/>
  <c r="X78" i="6"/>
  <c r="Y78" i="6" s="1"/>
  <c r="BK78" i="6" s="1"/>
  <c r="N80" i="6"/>
  <c r="T78" i="6"/>
  <c r="AJ78" i="6" l="1"/>
  <c r="AJ77" i="6"/>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AJ83" i="6" s="1"/>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H84" i="6" l="1"/>
  <c r="AZ81" i="6"/>
  <c r="BB81" i="6" s="1"/>
  <c r="BC81" i="6" s="1"/>
  <c r="BF83" i="6"/>
  <c r="BL81" i="6"/>
  <c r="BL80" i="6"/>
  <c r="BG82" i="6"/>
  <c r="BE82" i="6" s="1"/>
  <c r="AZ82" i="6"/>
  <c r="BB82" i="6" s="1"/>
  <c r="BC82" i="6" s="1"/>
  <c r="AP83" i="6"/>
  <c r="AF84" i="6"/>
  <c r="AO84" i="6"/>
  <c r="L94" i="6"/>
  <c r="K94" i="6"/>
  <c r="O85" i="6"/>
  <c r="AN84" i="6"/>
  <c r="V83" i="6"/>
  <c r="BD83" i="6" s="1"/>
  <c r="U84" i="6"/>
  <c r="J87" i="6"/>
  <c r="X84" i="6"/>
  <c r="Y84" i="6" s="1"/>
  <c r="BK84" i="6" s="1"/>
  <c r="N86" i="6"/>
  <c r="T84" i="6"/>
  <c r="AJ84" i="6" l="1"/>
  <c r="AU83" i="6"/>
  <c r="BG83" i="6" s="1"/>
  <c r="BF84" i="6"/>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AH93" i="6"/>
  <c r="AZ89" i="6"/>
  <c r="BB89" i="6" s="1"/>
  <c r="BC89" i="6" s="1"/>
  <c r="BL89" i="6"/>
  <c r="BG90" i="6"/>
  <c r="BF92" i="6"/>
  <c r="AP92" i="6"/>
  <c r="AU92" i="6" s="1"/>
  <c r="V91" i="6"/>
  <c r="BD91" i="6" s="1"/>
  <c r="BF91" i="6"/>
  <c r="AP91" i="6"/>
  <c r="AU91" i="6" s="1"/>
  <c r="AO93" i="6"/>
  <c r="AF93" i="6"/>
  <c r="AJ93" i="6" s="1"/>
  <c r="L103" i="6"/>
  <c r="K103" i="6"/>
  <c r="AN93" i="6"/>
  <c r="N95" i="6"/>
  <c r="T93" i="6"/>
  <c r="J96" i="6"/>
  <c r="U93" i="6"/>
  <c r="X93" i="6"/>
  <c r="Y93" i="6" s="1"/>
  <c r="BK93" i="6" s="1"/>
  <c r="O94" i="6"/>
  <c r="V92" i="6"/>
  <c r="BF93" i="6" l="1"/>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J100" i="6" l="1"/>
  <c r="AH102" i="6"/>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AJ107" i="6" s="1"/>
  <c r="U106" i="6"/>
  <c r="N109" i="6"/>
  <c r="T106" i="6"/>
  <c r="X107" i="6"/>
  <c r="Y107" i="6" s="1"/>
  <c r="BK107" i="6" s="1"/>
  <c r="J110" i="6"/>
  <c r="T107" i="6"/>
  <c r="X106" i="6"/>
  <c r="Y106" i="6" s="1"/>
  <c r="BK106" i="6" s="1"/>
  <c r="U107" i="6"/>
  <c r="AP106" i="6" l="1"/>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U110" i="6"/>
  <c r="Z111" i="6"/>
  <c r="AA111" i="6" s="1"/>
  <c r="AB111" i="6" s="1"/>
  <c r="BJ111" i="6" s="1"/>
  <c r="X110" i="6"/>
  <c r="Y110" i="6" s="1"/>
  <c r="BK110" i="6" s="1"/>
  <c r="S111" i="6"/>
  <c r="AV111" i="6" s="1"/>
  <c r="BH111" i="6" s="1"/>
  <c r="P111" i="6"/>
  <c r="Q111" i="6"/>
  <c r="R111" i="6" s="1"/>
  <c r="AG111" i="6" s="1"/>
  <c r="W111" i="6"/>
  <c r="T110" i="6"/>
  <c r="AJ109" i="6" l="1"/>
  <c r="AJ110" i="6"/>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Lee, Eric</author>
    <author>BDATSC</author>
    <author>Hegarty, Timothy</author>
  </authors>
  <commentList>
    <comment ref="A3" authorId="0" shapeId="0" xr:uid="{1CB513B5-1ABA-4879-BF60-02DEDEF940D2}">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xr:uid="{84C06EB9-070E-48D4-99B7-603D1BEB4877}">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xr:uid="{1BD5DC9C-BD11-4DC4-AC2B-755598FBF01F}">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H8" authorId="1" shapeId="0" xr:uid="{C9B1A3FF-9958-4DE0-B39C-7A4DAFAC5577}">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xr:uid="{363EB7E5-5AAF-4EDA-8D48-8B9A5F21F1C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xr:uid="{18FB2668-3EC2-4C3D-890A-80B63423B913}">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xr:uid="{65D7B9F9-2EA1-40A9-BD82-B844ACF3D6FB}">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xr:uid="{01C48FA8-218B-40AD-8918-482919AFC91C}">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xr:uid="{762BB2B0-5F31-4822-8DF6-3DB5532CD052}">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xr:uid="{6A30630D-C3C1-4303-B6E2-3B545CDB630B}">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xr:uid="{AD255626-2D78-4CC1-8EAC-67656FBC5DE3}">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xr:uid="{B0D5EEED-DB01-4F8B-AD7D-E83015873A3B}">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xr:uid="{27641AFD-53D3-41CE-A281-940865CAA1CA}">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xr:uid="{FDB31C1F-C992-4BF1-8E8B-BDF13BF328D8}">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xr:uid="{432CB175-8435-420A-977F-EEEA6366CCE9}">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xr:uid="{25FD0CDC-10E2-4ACC-84AC-5E04B14FA218}">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xr:uid="{BBF648EB-8E5D-47A8-9EAF-17121B981578}">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xr:uid="{F1C8EF98-0ACF-4810-A62B-3DE3C32A55D6}">
      <text>
        <r>
          <rPr>
            <b/>
            <u/>
            <sz val="9"/>
            <color indexed="81"/>
            <rFont val="Arial"/>
            <family val="2"/>
          </rPr>
          <t xml:space="preserve">Buck Inductance
</t>
        </r>
        <r>
          <rPr>
            <sz val="9"/>
            <color indexed="81"/>
            <rFont val="Arial"/>
            <family val="2"/>
          </rPr>
          <t xml:space="preserve">Enter the selected buck inductance. </t>
        </r>
      </text>
    </comment>
    <comment ref="H29" authorId="1" shapeId="0" xr:uid="{4B12FA59-7BF3-4412-AFDA-D42E8BB03DDA}">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xr:uid="{9C4B28CF-0C37-4EAF-A6B6-75F8ECC03F43}">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xr:uid="{E4CE0BC4-4E85-4A63-872F-DE0054ADE134}">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xr:uid="{2CE4AD9F-6E71-4356-BF0C-DA4006382F8A}">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xr:uid="{60CF62D6-440D-4096-8DFC-904CA3DF8694}">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xr:uid="{258AE06D-FF84-463D-8B3B-2B008327A5A2}">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xr:uid="{99A3E64C-75FA-4D47-B964-364A05205389}">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xr:uid="{DC2C8CD0-877B-49E3-82DD-BEE12CA68CCE}">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xr:uid="{597B59AB-7D90-4673-82DC-F0B13DE908B6}">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xr:uid="{FCBD6FE7-23B0-4316-BFF6-1812A6F0D023}">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xr:uid="{082C22F2-76FB-4318-A56D-BA3264C9EE66}">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xr:uid="{61CFB8AD-420A-4C7E-AD33-4A9B9FEEA3D7}">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xr:uid="{4F889752-A238-47DA-B2C3-3F20A056A36A}">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xr:uid="{0EFFC89D-B7CE-460D-BEF2-20BF16187727}">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xr:uid="{9022F910-0374-42B9-A2E0-09D24798C983}">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xr:uid="{90FEFAF2-0DA7-48FB-B5B8-F03BB9E09C0F}">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xr:uid="{FD24500B-3C8A-4468-ACA1-D04C4313B878}">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xr:uid="{43BEB017-521C-487F-AAAA-5BEF13D63B12}">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xr:uid="{2DDCAAED-32DD-4271-814A-F302563A9DCB}">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xr:uid="{1FF041BB-CBA4-4937-BD20-7E50AFC3B115}">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xr:uid="{9F8C7736-BAC8-48DE-AD39-4B36651ED0B9}">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xr:uid="{F268E22D-07B2-464D-A30D-A3F158578A6F}">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xr:uid="{3E73BDBC-1B18-4FCE-8861-CB9B4D60DBFB}">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xr:uid="{626C526F-212A-4D8A-801E-8F7B3FE656E2}">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xr:uid="{9EE9E275-CF24-453B-B20C-EC883D34C3D3}">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xr:uid="{EABC37AB-9EC7-4615-B2C4-2BCFD2A50664}">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xr:uid="{0D94D6D5-0743-4B3E-81BA-AAE922CFC242}">
      <text>
        <r>
          <rPr>
            <b/>
            <u/>
            <sz val="9"/>
            <color indexed="81"/>
            <rFont val="Arial"/>
            <family val="2"/>
          </rPr>
          <t>Maximum RCOMP</t>
        </r>
        <r>
          <rPr>
            <sz val="9"/>
            <color indexed="81"/>
            <rFont val="Arial"/>
            <family val="2"/>
          </rPr>
          <t xml:space="preserve">
Select RCOMP less than the desired maximum RCOMP value.</t>
        </r>
      </text>
    </comment>
    <comment ref="H81" authorId="1" shapeId="0" xr:uid="{417EF453-BC96-4218-84FF-3502B887A10C}">
      <text>
        <r>
          <rPr>
            <b/>
            <u/>
            <sz val="9"/>
            <color indexed="81"/>
            <rFont val="Arial"/>
            <family val="2"/>
          </rPr>
          <t>Minimum CCOMP</t>
        </r>
        <r>
          <rPr>
            <sz val="9"/>
            <color indexed="81"/>
            <rFont val="Arial"/>
            <family val="2"/>
          </rPr>
          <t xml:space="preserve">
Select CCOMP greater than the desired minimum CCOMP value.</t>
        </r>
      </text>
    </comment>
    <comment ref="H82" authorId="1" shapeId="0" xr:uid="{CC9788AD-C22C-49DD-B677-7DCCE3E824EF}">
      <text>
        <r>
          <rPr>
            <b/>
            <u/>
            <sz val="9"/>
            <color indexed="81"/>
            <rFont val="Arial"/>
            <family val="2"/>
          </rPr>
          <t>Desired CHF</t>
        </r>
        <r>
          <rPr>
            <sz val="9"/>
            <color indexed="81"/>
            <rFont val="Arial"/>
            <family val="2"/>
          </rPr>
          <t xml:space="preserve">
Select CHF close to the desired CHF value.</t>
        </r>
      </text>
    </comment>
    <comment ref="H86" authorId="1" shapeId="0" xr:uid="{26CA6DA2-CABF-4879-8FD9-B8DB3CAB3CBC}">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xr:uid="{C3CCA67E-9C38-4526-A7F3-8412651D74C9}">
      <text>
        <r>
          <rPr>
            <b/>
            <u/>
            <sz val="9"/>
            <color indexed="81"/>
            <rFont val="Arial"/>
            <family val="2"/>
          </rPr>
          <t xml:space="preserve">CCOMP Capacitor
</t>
        </r>
        <r>
          <rPr>
            <sz val="9"/>
            <color indexed="81"/>
            <rFont val="Arial"/>
            <family val="2"/>
          </rPr>
          <t xml:space="preserve">Use COG type capacitor or an equivalent. </t>
        </r>
      </text>
    </comment>
    <comment ref="H88" authorId="1" shapeId="0" xr:uid="{22A062AB-D904-461B-A9A4-B0B06DBE84A8}">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xr:uid="{2855273B-8F44-4F4F-BA0F-ACB3DED12533}">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xr:uid="{E44F8F21-426A-43E2-9DC9-409E802472DF}">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xr:uid="{E38970AA-2BF9-413B-ACD2-45727F72E7A8}">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xr:uid="{8A315EEC-FAC0-4722-AF65-4BCB99873862}">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xr:uid="{B830195B-149D-4164-9D0A-7FFC6989C8ED}">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xr:uid="{FCCF03BB-CA16-4CAD-932F-688F7D0E651F}">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xr:uid="{C62040D1-919C-4580-82F3-C285B78FD967}">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at every restart. </t>
        </r>
      </text>
    </comment>
    <comment ref="H101" authorId="1" shapeId="0" xr:uid="{5FCCABBF-AFBA-4939-A879-DB297E3199FA}">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xr:uid="{D55AF532-3966-4030-B075-A8839D811E3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xr:uid="{1C4E3292-0868-4C79-AA2D-4E3791009D1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xr:uid="{8EE0F9A7-35BA-4D0D-8F16-5B6B627A1A56}">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xr:uid="{9F705E92-646A-47E9-B42A-FD41A0F091A3}">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xr:uid="{D9CAFD5D-335E-4CCB-A87D-F50B10FEC70A}">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xr:uid="{7252FC37-6E73-4ECE-8AF5-7B9245635276}">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xr:uid="{9E7E6AAB-6CBD-4B42-A53E-98040A2F5773}">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xr:uid="{0A3126C6-3ACD-467F-84CE-C72577763AC0}">
      <text>
        <r>
          <rPr>
            <b/>
            <u/>
            <sz val="9"/>
            <color indexed="81"/>
            <rFont val="Arial"/>
            <family val="2"/>
          </rPr>
          <t>Inductor DCR</t>
        </r>
        <r>
          <rPr>
            <sz val="9"/>
            <color indexed="81"/>
            <rFont val="Arial"/>
            <family val="2"/>
          </rPr>
          <t xml:space="preserve">
Enter the DCR of the selected inductor.</t>
        </r>
      </text>
    </comment>
    <comment ref="G122" authorId="1" shapeId="0" xr:uid="{BD4D7286-782A-4CF4-A80B-EF44BF44AD7C}">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2" shapeId="0" xr:uid="{2946FD57-694F-4F28-B7B4-8009060B1019}">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2" shapeId="0" xr:uid="{D8F2EFB9-7F99-484F-B604-1AB65DCB3748}">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2" shapeId="0" xr:uid="{72FB8D67-B30C-4A3F-8D8C-92A173A1395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2" shapeId="0" xr:uid="{C936F149-79A2-44C5-9EF1-EFD737F6C0FC}">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2" shapeId="0" xr:uid="{4FC1FC9D-FF88-46A8-96A7-6F0FFDA3C3C6}">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2" shapeId="0" xr:uid="{2E5AE245-6221-4F7B-8982-53D997F49151}">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2" shapeId="0" xr:uid="{9A40F85A-E1BE-4D09-BB36-C6F076128B9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2" shapeId="0" xr:uid="{D1A1F8EC-1D5F-4F83-85D4-117ABCFFDE1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2" shapeId="0" xr:uid="{209FA8C3-200D-4CEE-823D-AC1D143FDFA4}">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2" shapeId="0" xr:uid="{16E89125-B5C8-4482-8B36-95749053C963}">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2" shapeId="0" xr:uid="{3919427B-ED78-4D1E-ABB8-4F4F58D5F40C}">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2" shapeId="0" xr:uid="{61A7BC07-A543-450C-8C5E-D718BB56AB86}">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2" shapeId="0" xr:uid="{3A29F377-10AB-47AF-A140-077E3AEA06B4}">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2" shapeId="0" xr:uid="{D5518F03-6895-440C-929B-2BA6865B8F85}">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2" shapeId="0" xr:uid="{B706A837-BE60-4C9C-8127-6A0F94BD45A3}">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2" shapeId="0" xr:uid="{F1D91693-B68F-4B7F-8AE5-25283EB5037D}">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2" shapeId="0" xr:uid="{FE33BF1E-A7F3-4DE0-BE4F-8BEA765D359A}">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2" shapeId="0" xr:uid="{1E7CFE2C-A9A0-4CA4-91F4-A83537F48EEE}">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2" shapeId="0" xr:uid="{09EA91B8-1FD4-4BFB-863A-F58C407AF485}">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2" shapeId="0" xr:uid="{A430B0C8-5223-42D7-A806-80D4E76142D4}">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2" shapeId="0" xr:uid="{2F3CA1DF-4948-4FDA-A9F6-9F52FD21F9E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2" shapeId="0" xr:uid="{60821B60-A875-48FF-B173-1ECA6E475D9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3" shapeId="0" xr:uid="{DF7990D1-B384-4EF4-B3F2-4CACB3919AE5}">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3" shapeId="0" xr:uid="{CF33569B-DA2C-46A5-9750-6674432585AF}">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xr:uid="{C15399B3-D957-4CBB-A856-D107A5E83BBE}">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3" shapeId="0" xr:uid="{DBB3D4AA-805B-4DC8-BF92-81B027DA67A3}">
      <text>
        <r>
          <rPr>
            <b/>
            <u/>
            <sz val="9"/>
            <color indexed="81"/>
            <rFont val="Arial"/>
            <family val="2"/>
          </rPr>
          <t>IC Power Loss</t>
        </r>
        <r>
          <rPr>
            <sz val="9"/>
            <color indexed="81"/>
            <rFont val="Arial"/>
            <family val="2"/>
          </rPr>
          <t xml:space="preserve">
IC power loss estimate based on the typical  input voltage. </t>
        </r>
      </text>
    </comment>
    <comment ref="H145" authorId="1" shapeId="0" xr:uid="{2F0F0D5E-1295-4876-B5C1-769D45432F17}">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xr:uid="{CB7C7420-D307-4EAC-A784-A49246057D4F}">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xr:uid="{A2012892-1EF9-42AD-9004-5DDBF9C7A37B}">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Eric</author>
  </authors>
  <commentList>
    <comment ref="B221" authorId="0" shapeId="0" xr:uid="{7099C626-8833-4432-854A-F26F04E99794}">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<sst xmlns="http://schemas.openxmlformats.org/spreadsheetml/2006/main" count="687" uniqueCount="544">
  <si>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</si>
  <si>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</si>
  <si>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</si>
  <si>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</si>
  <si>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</si>
  <si>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</si>
  <si>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</si>
  <si>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</si>
  <si>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</si>
  <si>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</si>
  <si>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</si>
  <si>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</si>
  <si>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</si>
  <si>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</si>
  <si>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</si>
  <si>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</si>
  <si>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</si>
  <si>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</si>
  <si>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</si>
  <si>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</si>
  <si>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</si>
  <si>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</si>
  <si>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</si>
  <si>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</si>
  <si>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</si>
  <si>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</si>
  <si>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</si>
  <si>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</si>
  <si>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</si>
  <si>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</si>
  <si>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</si>
  <si>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</si>
  <si>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</si>
  <si>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</si>
  <si>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</si>
  <si>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</si>
  <si>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</si>
  <si>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</si>
  <si>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</si>
  <si>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</si>
  <si>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</si>
  <si>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</si>
  <si>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</si>
  <si>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</si>
  <si>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</si>
  <si>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</si>
  <si>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</si>
  <si>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</si>
  <si>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</si>
  <si>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</si>
  <si>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</si>
  <si>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</si>
  <si>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</si>
  <si>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</si>
  <si>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</si>
  <si>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</si>
  <si>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</si>
  <si>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</si>
  <si>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</si>
  <si>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</si>
  <si>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</si>
  <si>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</si>
  <si>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</si>
  <si>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</si>
  <si>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</si>
  <si>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</si>
  <si>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</si>
  <si>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</si>
  <si>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</si>
  <si>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</si>
  <si>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</si>
  <si>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</si>
  <si>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</si>
  <si>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</si>
  <si>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</si>
  <si>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</si>
  <si>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</si>
  <si>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</si>
  <si>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</si>
  <si>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</si>
  <si>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</si>
  <si>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</si>
  <si>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</si>
  <si>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</si>
  <si>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</si>
  <si>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</si>
  <si>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</si>
  <si>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</si>
  <si>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</si>
  <si>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</si>
  <si>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</si>
  <si>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</si>
  <si>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</si>
  <si>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</si>
  <si>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</si>
  <si>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</si>
  <si>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</si>
  <si>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</si>
  <si>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</si>
  <si>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</si>
  <si>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</si>
  <si>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</si>
  <si>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</si>
  <si>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</si>
  <si>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</si>
  <si>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</si>
  <si>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</si>
  <si>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</si>
  <si>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</si>
  <si>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</si>
  <si>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</si>
  <si>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</si>
  <si>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</si>
  <si>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</si>
  <si>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</si>
  <si>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</si>
  <si>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</si>
  <si>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</si>
  <si>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</si>
  <si>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</si>
  <si>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</si>
  <si>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</si>
  <si>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</si>
  <si>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</si>
  <si>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</si>
  <si>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</si>
  <si>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</si>
  <si>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</si>
  <si>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</si>
  <si>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</si>
  <si>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</si>
  <si>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</si>
  <si>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</si>
  <si>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</si>
  <si>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</si>
  <si>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</si>
  <si>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</si>
  <si>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</si>
  <si>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</si>
  <si>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</si>
  <si>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</si>
  <si>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</si>
  <si>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</si>
  <si>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</si>
  <si>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</si>
  <si>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</si>
  <si>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</si>
  <si>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</si>
  <si>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</si>
  <si>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</si>
  <si>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</si>
  <si>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</si>
  <si>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</si>
  <si>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</si>
  <si>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</si>
  <si>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</si>
  <si>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</si>
  <si>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</si>
  <si>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</si>
  <si>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</si>
  <si>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</si>
  <si>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</si>
  <si>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</si>
  <si>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</si>
  <si>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</si>
  <si>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</si>
  <si>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</si>
  <si>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</si>
  <si>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</si>
  <si>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</si>
  <si>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</si>
  <si>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</si>
  <si>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</si>
  <si>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</si>
  <si>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</si>
  <si>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</si>
  <si>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</si>
  <si>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</si>
  <si>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</si>
  <si>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</si>
  <si>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</si>
  <si>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</si>
  <si>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</si>
  <si>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</si>
  <si>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</si>
  <si>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</si>
  <si>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</si>
  <si>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</si>
  <si>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</si>
  <si>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</si>
  <si>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</si>
  <si>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</si>
  <si>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</si>
  <si>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</si>
  <si>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</si>
  <si>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</si>
  <si>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</si>
  <si>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</si>
  <si>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</si>
  <si>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</si>
  <si>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</si>
  <si>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</si>
  <si>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</si>
  <si>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</si>
  <si>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</si>
  <si>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</si>
  <si>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</si>
  <si>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</si>
  <si>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</si>
  <si>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</si>
  <si>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</si>
  <si>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</si>
  <si>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</si>
  <si>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</si>
  <si>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</si>
  <si>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</si>
  <si>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</si>
  <si>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</si>
  <si>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</si>
  <si>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</si>
  <si>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</si>
  <si>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</si>
  <si>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</si>
  <si>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</si>
  <si>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</si>
  <si>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</si>
  <si>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</si>
  <si>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</si>
  <si>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</si>
  <si>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</si>
  <si>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</si>
  <si>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</si>
  <si>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</si>
  <si>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</si>
  <si>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</si>
  <si>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</si>
  <si>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</si>
  <si>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</si>
  <si>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</si>
  <si>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</si>
  <si>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</si>
  <si>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</si>
  <si>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</si>
  <si>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</si>
  <si>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</si>
  <si>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</si>
  <si>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</si>
  <si>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</si>
  <si>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</si>
  <si>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</si>
  <si>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</si>
  <si>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</si>
  <si>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</si>
  <si>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</si>
  <si>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</si>
  <si>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</si>
  <si>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</si>
  <si>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</si>
  <si>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</si>
  <si>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</si>
  <si>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</si>
  <si>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</si>
  <si>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</si>
  <si>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</si>
  <si>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</si>
  <si>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</si>
  <si>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</si>
  <si>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</si>
  <si>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</si>
  <si>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</si>
  <si>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</si>
  <si>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</si>
  <si>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</si>
  <si>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</si>
  <si>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</si>
  <si>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</si>
  <si>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</si>
  <si>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</si>
  <si>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</si>
  <si>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</si>
  <si>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</si>
  <si>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</si>
  <si>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</si>
  <si>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</si>
  <si>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</si>
  <si>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</si>
  <si>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</si>
  <si>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</si>
  <si>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</si>
  <si>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</si>
  <si>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</si>
  <si>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</si>
  <si>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</si>
  <si>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</si>
  <si>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</si>
  <si>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</si>
  <si>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</si>
  <si>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</si>
  <si>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</si>
  <si>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</si>
  <si>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</si>
  <si>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</si>
  <si>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</si>
  <si>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</si>
  <si>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</si>
  <si>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</si>
  <si>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</si>
  <si>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</si>
  <si>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</si>
  <si>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</si>
  <si>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</si>
  <si>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</si>
  <si>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</si>
  <si>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</si>
  <si>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</si>
  <si>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</si>
  <si>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</si>
  <si>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</si>
  <si>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</si>
  <si>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</si>
  <si>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</si>
  <si>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</si>
  <si>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</si>
  <si>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</si>
  <si>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</si>
  <si>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</si>
  <si>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</si>
  <si>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</si>
  <si>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</si>
  <si>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</si>
  <si>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</si>
  <si>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</si>
  <si>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</si>
  <si>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</si>
  <si>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</si>
  <si>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</si>
  <si>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</si>
  <si>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</si>
  <si>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</si>
  <si>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</si>
  <si>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</si>
  <si>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</si>
  <si>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</si>
  <si>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</si>
  <si>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</si>
  <si>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</si>
  <si>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</si>
  <si>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</si>
  <si>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</si>
  <si>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</si>
  <si>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</si>
  <si>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</si>
  <si>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</si>
  <si>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</si>
  <si>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</si>
  <si>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</si>
  <si>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</si>
  <si>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</si>
  <si>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</si>
  <si>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</si>
  <si>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</si>
  <si>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</si>
  <si>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</si>
  <si>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</si>
  <si>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</si>
  <si>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</si>
  <si>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</si>
  <si>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</si>
  <si>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</si>
  <si>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</si>
  <si>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</si>
  <si>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</si>
  <si>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</si>
  <si>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</si>
  <si>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</si>
  <si>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</si>
  <si>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</si>
  <si>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</si>
  <si>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</si>
  <si>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</si>
  <si>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</si>
  <si>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</si>
  <si>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</si>
  <si>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</si>
  <si>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</si>
  <si>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</si>
  <si>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</si>
  <si>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</si>
  <si>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</si>
  <si>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</si>
  <si>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</si>
  <si>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</si>
  <si>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</si>
  <si>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</si>
  <si>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</si>
  <si>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</si>
  <si>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</si>
  <si>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</si>
  <si>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</si>
  <si>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</si>
  <si>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</si>
  <si>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</si>
  <si>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</si>
  <si>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</si>
  <si>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</si>
  <si>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</si>
  <si>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</si>
  <si>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</si>
  <si>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</si>
  <si>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</si>
  <si>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</si>
  <si>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</si>
  <si>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</si>
  <si>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</si>
  <si>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</si>
  <si>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</si>
  <si>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</si>
  <si>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</si>
  <si>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</si>
  <si>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</si>
  <si>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</si>
  <si>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</si>
  <si>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</si>
  <si>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</si>
  <si>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</si>
  <si>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</si>
  <si>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</si>
  <si>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</si>
  <si>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</si>
  <si>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</si>
  <si>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</si>
  <si>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</si>
  <si>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</si>
  <si>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</si>
  <si>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</si>
  <si>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Calibri"/>
        <family val="2"/>
        <scheme val="minor"/>
      </rPr>
      <t>Z_ESR</t>
    </r>
  </si>
  <si>
    <r>
      <t>f</t>
    </r>
    <r>
      <rPr>
        <b/>
        <vertAlign val="subscript"/>
        <sz val="11"/>
        <color theme="1"/>
        <rFont val="Calibri"/>
        <family val="2"/>
        <scheme val="minor"/>
      </rPr>
      <t>P_COMP</t>
    </r>
  </si>
  <si>
    <r>
      <t>f</t>
    </r>
    <r>
      <rPr>
        <b/>
        <vertAlign val="subscript"/>
        <sz val="11"/>
        <color theme="1"/>
        <rFont val="Arial"/>
        <family val="2"/>
      </rPr>
      <t xml:space="preserve"> </t>
    </r>
    <r>
      <rPr>
        <b/>
        <vertAlign val="subscript"/>
        <sz val="11"/>
        <color theme="1"/>
        <rFont val="Calibri"/>
        <family val="2"/>
        <scheme val="minor"/>
      </rPr>
      <t>Z_COMP</t>
    </r>
  </si>
  <si>
    <r>
      <t>f</t>
    </r>
    <r>
      <rPr>
        <b/>
        <sz val="11"/>
        <color theme="1"/>
        <rFont val="Calibri"/>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</si>
  <si>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</si>
  <si>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</si>
  <si>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</si>
  <si>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</si>
  <si>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</si>
  <si>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</si>
  <si>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</si>
  <si>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</si>
  <si>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</si>
  <si>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</si>
  <si>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</si>
  <si>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</si>
  <si>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</si>
  <si>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</si>
  <si>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</si>
  <si>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</si>
  <si>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</si>
  <si>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</si>
  <si>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</si>
  <si>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</si>
  <si>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</si>
  <si>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</si>
  <si>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</si>
  <si>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</si>
  <si>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</si>
  <si>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</si>
  <si>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</si>
  <si>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</si>
  <si>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</si>
  <si>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</si>
  <si>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</si>
  <si>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</si>
  <si>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</si>
  <si>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</si>
  <si>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</si>
  <si>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</si>
  <si>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</si>
  <si>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</si>
  <si>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</si>
  <si>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</si>
  <si>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</si>
  <si>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</si>
  <si>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</si>
  <si>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</si>
  <si>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</si>
  <si>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</si>
  <si>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</si>
  <si>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</si>
  <si>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</si>
  <si>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</si>
  <si>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</si>
  <si>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</si>
  <si>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</si>
  <si>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</si>
  <si>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</si>
  <si>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</si>
  <si>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</si>
  <si>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</si>
  <si>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</si>
  <si>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</si>
  <si>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</si>
  <si>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</si>
  <si>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</si>
  <si>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</si>
  <si>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</si>
  <si>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</si>
  <si>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</si>
  <si>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</si>
  <si>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</si>
  <si>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</si>
  <si>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</si>
  <si>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</si>
  <si>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</si>
  <si>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</si>
  <si>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</si>
  <si>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</si>
  <si>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</si>
  <si>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</si>
  <si>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</si>
  <si>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</si>
  <si>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</si>
  <si>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</si>
  <si>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</si>
  <si>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(Super-capacitor charger. No load during the Super-cap charging)</t>
  </si>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</sst>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000"/>
    <numFmt numFmtId="166" formatCode="_(* #,##0.000000_);_(* \(#,##0.000000\);_(* &quot;-&quot;??_);_(@_)"/>
    <numFmt numFmtId="167" formatCode="0.000"/>
    <numFmt numFmtId="168" formatCode="0.000E+00"/>
    <numFmt numFmtId="169" formatCode="0.0%"/>
    <numFmt numFmtId="170" formatCode="_(* #,##0.0_);_(* \(#,##0.0\);_(* &quot;-&quot;??_);_(@_)"/>
    <numFmt numFmtId="171" formatCode="_(* #,##0.00000_);_(* \(#,##0.00000\);_(* &quot;-&quot;??_);_(@_)"/>
    <numFmt numFmtId="172" formatCode="_(* #,##0.0_);_(* \(#,##0.0\);_(* &quot;-&quot;?_);_(@_)"/>
    <numFmt numFmtId="173" formatCode="_(* #,##0_);_(* \(#,##0\);_(* &quot;-&quot;?_);_(@_)"/>
  </numFmts>
  <fonts count="48"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Calibri"/>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Calibri"/>
      <family val="2"/>
      <scheme val="minor"/>
    </font>
    <font>
      <b/>
      <sz val="11"/>
      <color theme="1"/>
      <name val="Calibri"/>
      <family val="2"/>
      <scheme val="minor"/>
    </font>
    <font>
      <sz val="20"/>
      <color rgb="FFFFFF00"/>
      <name val="Calibri"/>
      <family val="2"/>
      <scheme val="minor"/>
    </font>
    <font>
      <sz val="8"/>
      <color theme="1"/>
      <name val="Arial"/>
      <family val="2"/>
    </font>
    <font>
      <b/>
      <sz val="8"/>
      <color theme="1"/>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Calibri"/>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b/>
      <sz val="10"/>
      <color rgb="FF000000"/>
      <name val="Arial"/>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43" fontId="1" fillId="0" borderId="0" applyFont="0" applyFill="0" applyBorder="0" applyAlignment="0" applyProtection="0"/>
    <xf numFmtId="0" fontId="12" fillId="0" borderId="0"/>
  </cellStyleXfs>
  <cellXfs count="172">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64"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64" fontId="0" fillId="2" borderId="0" xfId="0" applyNumberFormat="1" applyFont="1" applyFill="1" applyBorder="1" applyProtection="1">
      <protection locked="0"/>
    </xf>
    <xf numFmtId="0" fontId="0" fillId="2" borderId="0" xfId="0" applyFont="1" applyFill="1" applyBorder="1"/>
    <xf numFmtId="164"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64"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64" fontId="2" fillId="3" borderId="0" xfId="0" applyNumberFormat="1" applyFont="1" applyFill="1" applyBorder="1" applyProtection="1">
      <protection locked="0"/>
    </xf>
    <xf numFmtId="164"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66" fontId="0" fillId="0" borderId="0" xfId="3" applyNumberFormat="1" applyFont="1"/>
    <xf numFmtId="166" fontId="0" fillId="0" borderId="0" xfId="3" applyNumberFormat="1" applyFont="1" applyFill="1" applyAlignment="1">
      <alignment wrapText="1"/>
    </xf>
    <xf numFmtId="166" fontId="0" fillId="0" borderId="0" xfId="3" applyNumberFormat="1" applyFont="1" applyFill="1"/>
    <xf numFmtId="0" fontId="12" fillId="0" borderId="0" xfId="4"/>
    <xf numFmtId="0" fontId="12" fillId="0" borderId="0" xfId="4" applyAlignment="1">
      <alignment horizontal="center"/>
    </xf>
    <xf numFmtId="167" fontId="12" fillId="0" borderId="0" xfId="4" applyNumberFormat="1"/>
    <xf numFmtId="2" fontId="12" fillId="0" borderId="0" xfId="4" applyNumberFormat="1"/>
    <xf numFmtId="165" fontId="12" fillId="0" borderId="0" xfId="4" applyNumberFormat="1"/>
    <xf numFmtId="0" fontId="12" fillId="0" borderId="0" xfId="4" applyNumberFormat="1"/>
    <xf numFmtId="10" fontId="12" fillId="0" borderId="0" xfId="4" applyNumberFormat="1"/>
    <xf numFmtId="10" fontId="28" fillId="0" borderId="0" xfId="4" applyNumberFormat="1" applyFont="1" applyAlignment="1">
      <alignment horizontal="center"/>
    </xf>
    <xf numFmtId="0" fontId="12" fillId="0" borderId="0" xfId="4" applyFont="1"/>
    <xf numFmtId="167"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67" fontId="12" fillId="0" borderId="0" xfId="4" applyNumberFormat="1" applyAlignment="1"/>
    <xf numFmtId="167" fontId="12" fillId="0" borderId="0" xfId="4" applyNumberFormat="1" applyAlignment="1">
      <alignment horizontal="right"/>
    </xf>
    <xf numFmtId="169"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67" fontId="12" fillId="3" borderId="0" xfId="4" applyNumberFormat="1" applyFill="1"/>
    <xf numFmtId="0" fontId="12" fillId="0" borderId="0" xfId="4" applyFill="1"/>
    <xf numFmtId="164" fontId="12" fillId="0" borderId="0" xfId="4" applyNumberFormat="1"/>
    <xf numFmtId="167" fontId="30" fillId="0" borderId="0" xfId="4" applyNumberFormat="1" applyFont="1"/>
    <xf numFmtId="165" fontId="0" fillId="0" borderId="0" xfId="0" applyNumberFormat="1"/>
    <xf numFmtId="2" fontId="12" fillId="0" borderId="0" xfId="4" applyNumberFormat="1" applyFill="1"/>
    <xf numFmtId="167" fontId="12" fillId="0" borderId="0" xfId="4" applyNumberFormat="1" applyFill="1"/>
    <xf numFmtId="167" fontId="12" fillId="0" borderId="0" xfId="4" applyNumberFormat="1" applyFill="1" applyAlignment="1">
      <alignment horizontal="right"/>
    </xf>
    <xf numFmtId="167" fontId="12" fillId="0" borderId="0" xfId="4" applyNumberFormat="1" applyFill="1" applyAlignment="1"/>
    <xf numFmtId="2" fontId="12" fillId="0" borderId="0" xfId="4" applyNumberFormat="1" applyFill="1" applyAlignment="1">
      <alignment horizontal="center"/>
    </xf>
    <xf numFmtId="165" fontId="12" fillId="0" borderId="0" xfId="4" applyNumberFormat="1" applyFill="1"/>
    <xf numFmtId="169"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67" fontId="30" fillId="0" borderId="0" xfId="4" applyNumberFormat="1" applyFont="1" applyFill="1"/>
    <xf numFmtId="167" fontId="30" fillId="0" borderId="0" xfId="4" applyNumberFormat="1" applyFont="1" applyFill="1" applyAlignment="1">
      <alignment horizontal="right"/>
    </xf>
    <xf numFmtId="169" fontId="30"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71"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65" fontId="12" fillId="17" borderId="1" xfId="4" applyNumberFormat="1" applyFont="1" applyFill="1" applyBorder="1" applyAlignment="1">
      <alignment horizontal="center" vertical="center" wrapText="1"/>
    </xf>
    <xf numFmtId="167"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65"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68"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67" fontId="12" fillId="16" borderId="1" xfId="4" applyNumberFormat="1" applyFont="1" applyFill="1" applyBorder="1" applyAlignment="1">
      <alignment horizontal="center" vertical="center"/>
    </xf>
    <xf numFmtId="165" fontId="12" fillId="16" borderId="1" xfId="4" applyNumberFormat="1" applyFont="1" applyFill="1" applyBorder="1" applyAlignment="1">
      <alignment horizontal="center" vertical="center" wrapText="1"/>
    </xf>
    <xf numFmtId="0" fontId="0" fillId="17" borderId="0" xfId="0" applyFill="1" applyAlignment="1">
      <alignment horizontal="right"/>
    </xf>
    <xf numFmtId="170"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43" fontId="0" fillId="0" borderId="0" xfId="0" applyNumberFormat="1"/>
    <xf numFmtId="0" fontId="2" fillId="20" borderId="0" xfId="0" applyFont="1" applyFill="1"/>
    <xf numFmtId="172" fontId="0" fillId="0" borderId="0" xfId="0" applyNumberFormat="1"/>
    <xf numFmtId="172" fontId="0" fillId="21" borderId="0" xfId="0" applyNumberFormat="1" applyFill="1"/>
    <xf numFmtId="173" fontId="0" fillId="21" borderId="0" xfId="0" applyNumberFormat="1" applyFill="1"/>
    <xf numFmtId="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1" fillId="0" borderId="5" xfId="0" applyFont="1" applyFill="1" applyBorder="1"/>
    <xf numFmtId="0" fontId="31" fillId="0" borderId="0" xfId="0" applyFont="1" applyFill="1"/>
    <xf numFmtId="0" fontId="34" fillId="3" borderId="0" xfId="0" applyFont="1" applyFill="1"/>
    <xf numFmtId="2" fontId="34"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67" fontId="2" fillId="3" borderId="0" xfId="0" applyNumberFormat="1" applyFont="1" applyFill="1" applyBorder="1" applyProtection="1">
      <protection locked="0"/>
    </xf>
    <xf numFmtId="0" fontId="0" fillId="23" borderId="0" xfId="0" applyFill="1" applyAlignment="1">
      <alignment horizontal="right"/>
    </xf>
    <xf numFmtId="0" fontId="35" fillId="2" borderId="0" xfId="0" applyFont="1" applyFill="1"/>
    <xf numFmtId="0" fontId="36"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xf>
    <xf numFmtId="0" fontId="28" fillId="2" borderId="0" xfId="0" applyFont="1" applyFill="1"/>
    <xf numFmtId="2" fontId="0" fillId="2" borderId="0" xfId="0" applyNumberFormat="1" applyFill="1"/>
    <xf numFmtId="167" fontId="0" fillId="0" borderId="0" xfId="0" applyNumberFormat="1"/>
    <xf numFmtId="164" fontId="0" fillId="2" borderId="0" xfId="0" applyNumberFormat="1" applyFont="1" applyFill="1" applyBorder="1" applyProtection="1"/>
    <xf numFmtId="2" fontId="0" fillId="2" borderId="0" xfId="0" applyNumberFormat="1" applyFont="1" applyFill="1" applyBorder="1" applyProtection="1"/>
    <xf numFmtId="164" fontId="0" fillId="2" borderId="0" xfId="0" applyNumberFormat="1" applyFont="1" applyFill="1" applyBorder="1" applyAlignment="1" applyProtection="1">
      <alignment horizontal="right"/>
    </xf>
    <xf numFmtId="1" fontId="0" fillId="2" borderId="0" xfId="0" applyNumberFormat="1" applyFont="1" applyFill="1" applyBorder="1" applyProtection="1"/>
    <xf numFmtId="164"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6" fillId="0" borderId="0" xfId="0" applyFont="1"/>
    <xf numFmtId="0" fontId="34"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68" fontId="12" fillId="11" borderId="1" xfId="4" applyNumberFormat="1" applyFont="1" applyFill="1" applyBorder="1" applyAlignment="1">
      <alignment horizontal="center"/>
    </xf>
  </cellXfs>
  <cellStyles count="5">
    <cellStyle name="Comma" xfId="3" builtinId="3"/>
    <cellStyle name="Hyperlink" xfId="1" builtinId="8"/>
    <cellStyle name="Normal" xfId="0" builtinId="0"/>
    <cellStyle name="Normal 2" xfId="2" xr:uid="{5847C10D-DD5E-4708-8BFB-B918008C1FC6}"/>
    <cellStyle name="Normal 3" xfId="4" xr:uid="{6BAEB65F-A9D5-4E14-B5F2-C0548D7B449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1.0961510312242048E-10</c:v>
                </c:pt>
                <c:pt idx="1">
                  <c:v>2.4661324898297047E-10</c:v>
                </c:pt>
                <c:pt idx="2">
                  <c:v>4.383736230093965E-10</c:v>
                </c:pt>
                <c:pt idx="3">
                  <c:v>6.8498301467005454E-10</c:v>
                </c:pt>
                <c:pt idx="4">
                  <c:v>9.863604204530916E-10</c:v>
                </c:pt>
                <c:pt idx="5">
                  <c:v>1.3425868438599846E-9</c:v>
                </c:pt>
                <c:pt idx="6">
                  <c:v>1.7535793527218782E-9</c:v>
                </c:pt>
                <c:pt idx="7">
                  <c:v>2.2193340897211333E-9</c:v>
                </c:pt>
                <c:pt idx="8">
                  <c:v>2.7399378443209027E-9</c:v>
                </c:pt>
                <c:pt idx="9">
                  <c:v>3.3153076843492323E-9</c:v>
                </c:pt>
                <c:pt idx="10">
                  <c:v>3.9455284706122561E-9</c:v>
                </c:pt>
                <c:pt idx="11">
                  <c:v>4.6305114849711606E-9</c:v>
                </c:pt>
                <c:pt idx="12">
                  <c:v>5.3702586560679207E-9</c:v>
                </c:pt>
                <c:pt idx="13">
                  <c:v>6.1648606306703354E-9</c:v>
                </c:pt>
                <c:pt idx="14">
                  <c:v>7.0142229046717042E-9</c:v>
                </c:pt>
                <c:pt idx="15">
                  <c:v>7.9184380534926692E-9</c:v>
                </c:pt>
                <c:pt idx="16">
                  <c:v>8.8774135016794034E-9</c:v>
                </c:pt>
                <c:pt idx="17">
                  <c:v>9.8911569638334925E-9</c:v>
                </c:pt>
                <c:pt idx="18">
                  <c:v>1.0959751372097779E-8</c:v>
                </c:pt>
                <c:pt idx="19">
                  <c:v>2.4659438639118212E-8</c:v>
                </c:pt>
                <c:pt idx="20">
                  <c:v>4.3838914758636422E-8</c:v>
                </c:pt>
                <c:pt idx="21">
                  <c:v>6.8498355201949873E-8</c:v>
                </c:pt>
                <c:pt idx="22">
                  <c:v>9.8637582486133509E-8</c:v>
                </c:pt>
                <c:pt idx="23">
                  <c:v>1.3425677399039534E-7</c:v>
                </c:pt>
                <c:pt idx="24">
                  <c:v>1.7535575221106827E-7</c:v>
                </c:pt>
                <c:pt idx="25">
                  <c:v>2.2193461157445555E-7</c:v>
                </c:pt>
                <c:pt idx="26">
                  <c:v>2.7399342720993809E-7</c:v>
                </c:pt>
                <c:pt idx="27">
                  <c:v>3.315320370119756E-7</c:v>
                </c:pt>
                <c:pt idx="28">
                  <c:v>3.9455051994651583E-7</c:v>
                </c:pt>
                <c:pt idx="29">
                  <c:v>4.6304879296212743E-7</c:v>
                </c:pt>
                <c:pt idx="30">
                  <c:v>5.3702703336540972E-7</c:v>
                </c:pt>
                <c:pt idx="31">
                  <c:v>6.1648515036956775E-7</c:v>
                </c:pt>
                <c:pt idx="32">
                  <c:v>7.0142305510609263E-7</c:v>
                </c:pt>
                <c:pt idx="33">
                  <c:v>7.9184092485046427E-7</c:v>
                </c:pt>
                <c:pt idx="34">
                  <c:v>8.8773858778127597E-7</c:v>
                </c:pt>
                <c:pt idx="35">
                  <c:v>9.8911612472052479E-7</c:v>
                </c:pt>
                <c:pt idx="36">
                  <c:v>1.0959735470482636E-6</c:v>
                </c:pt>
                <c:pt idx="37">
                  <c:v>2.4659404585229247E-6</c:v>
                </c:pt>
                <c:pt idx="38">
                  <c:v>4.3838941106377799E-6</c:v>
                </c:pt>
                <c:pt idx="39">
                  <c:v>6.8498344624708977E-6</c:v>
                </c:pt>
                <c:pt idx="40">
                  <c:v>9.8637615738211389E-6</c:v>
                </c:pt>
                <c:pt idx="41">
                  <c:v>1.3425675340982506E-5</c:v>
                </c:pt>
                <c:pt idx="42">
                  <c:v>1.7535575672251565E-5</c:v>
                </c:pt>
                <c:pt idx="43">
                  <c:v>2.2193462667291705E-5</c:v>
                </c:pt>
                <c:pt idx="44">
                  <c:v>2.7399336084825307E-5</c:v>
                </c:pt>
                <c:pt idx="45">
                  <c:v>3.315319605430548E-5</c:v>
                </c:pt>
                <c:pt idx="46">
                  <c:v>3.9455042358458173E-5</c:v>
                </c:pt>
                <c:pt idx="47">
                  <c:v>4.6304874977160932E-5</c:v>
                </c:pt>
                <c:pt idx="48">
                  <c:v>5.3702693896506154E-5</c:v>
                </c:pt>
                <c:pt idx="49">
                  <c:v>6.1648498944866112E-5</c:v>
                </c:pt>
                <c:pt idx="50">
                  <c:v>7.0142290136191189E-5</c:v>
                </c:pt>
                <c:pt idx="51">
                  <c:v>7.9184067237993703E-5</c:v>
                </c:pt>
                <c:pt idx="52">
                  <c:v>8.8773830288223007E-5</c:v>
                </c:pt>
                <c:pt idx="53">
                  <c:v>9.8911579082247203E-5</c:v>
                </c:pt>
                <c:pt idx="54">
                  <c:v>1.0959731351229291E-4</c:v>
                </c:pt>
                <c:pt idx="55">
                  <c:v>2.4659383960279129E-4</c:v>
                </c:pt>
                <c:pt idx="56">
                  <c:v>4.3838875979151958E-4</c:v>
                </c:pt>
                <c:pt idx="57">
                  <c:v>6.849818570348478E-4</c:v>
                </c:pt>
                <c:pt idx="58">
                  <c:v>9.8637285155248533E-4</c:v>
                </c:pt>
                <c:pt idx="59">
                  <c:v>1.3425613999104027E-3</c:v>
                </c:pt>
                <c:pt idx="60">
                  <c:v>1.7535470945496535E-3</c:v>
                </c:pt>
                <c:pt idx="61">
                  <c:v>2.2193294627217645E-3</c:v>
                </c:pt>
                <c:pt idx="62">
                  <c:v>2.7399079651973272E-3</c:v>
                </c:pt>
                <c:pt idx="63">
                  <c:v>3.315281995411238E-3</c:v>
                </c:pt>
                <c:pt idx="64">
                  <c:v>3.9454508779341218E-3</c:v>
                </c:pt>
                <c:pt idx="65">
                  <c:v>4.6304138669952116E-3</c:v>
                </c:pt>
                <c:pt idx="66">
                  <c:v>5.3701701447233848E-3</c:v>
                </c:pt>
                <c:pt idx="67">
                  <c:v>6.164718819532667E-3</c:v>
                </c:pt>
                <c:pt idx="68">
                  <c:v>7.0140589240761013E-3</c:v>
                </c:pt>
                <c:pt idx="69">
                  <c:v>7.9181894131712567E-3</c:v>
                </c:pt>
                <c:pt idx="70">
                  <c:v>8.8771091615473322E-3</c:v>
                </c:pt>
                <c:pt idx="71">
                  <c:v>9.890816961452829E-3</c:v>
                </c:pt>
                <c:pt idx="72">
                  <c:v>1.0959311520416964E-2</c:v>
                </c:pt>
                <c:pt idx="73">
                  <c:v>2.4657177913562613E-2</c:v>
                </c:pt>
                <c:pt idx="74">
                  <c:v>4.3831544936688796E-2</c:v>
                </c:pt>
                <c:pt idx="75">
                  <c:v>6.8479152986798061E-2</c:v>
                </c:pt>
                <c:pt idx="76">
                  <c:v>9.8594916791667708E-2</c:v>
                </c:pt>
                <c:pt idx="77">
                  <c:v>0.1341712233189164</c:v>
                </c:pt>
                <c:pt idx="78">
                  <c:v>0.17519703806874659</c:v>
                </c:pt>
                <c:pt idx="79">
                  <c:v>0.22165679730241211</c:v>
                </c:pt>
                <c:pt idx="80">
                  <c:v>0.27352905871072714</c:v>
                </c:pt>
                <c:pt idx="81">
                  <c:v>0.33078487753722208</c:v>
                </c:pt>
                <c:pt idx="82">
                  <c:v>0.39338586922053664</c:v>
                </c:pt>
                <c:pt idx="83">
                  <c:v>0.46128191322319428</c:v>
                </c:pt>
                <c:pt idx="84">
                  <c:v>0.53440844594937931</c:v>
                </c:pt>
                <c:pt idx="85">
                  <c:v>0.61268328367992286</c:v>
                </c:pt>
                <c:pt idx="86">
                  <c:v>0.6960029095586262</c:v>
                </c:pt>
                <c:pt idx="87">
                  <c:v>0.78423815230319616</c:v>
                </c:pt>
                <c:pt idx="88">
                  <c:v>0.87722917920807886</c:v>
                </c:pt>
                <c:pt idx="89">
                  <c:v>0.97477972317436801</c:v>
                </c:pt>
                <c:pt idx="90">
                  <c:v>1.0766504644500354</c:v>
                </c:pt>
                <c:pt idx="91">
                  <c:v>2.2316035876892233</c:v>
                </c:pt>
                <c:pt idx="92">
                  <c:v>2.8802792402188926</c:v>
                </c:pt>
                <c:pt idx="93">
                  <c:v>1.5268113700749095</c:v>
                </c:pt>
                <c:pt idx="94">
                  <c:v>-1.4135450137889309</c:v>
                </c:pt>
                <c:pt idx="95">
                  <c:v>-4.5163716584692128</c:v>
                </c:pt>
                <c:pt idx="96">
                  <c:v>-7.2886291231854541</c:v>
                </c:pt>
                <c:pt idx="97">
                  <c:v>-9.7012907182370967</c:v>
                </c:pt>
                <c:pt idx="98">
                  <c:v>-11.813922591250064</c:v>
                </c:pt>
                <c:pt idx="99">
                  <c:v>-13.6866250613012</c:v>
                </c:pt>
                <c:pt idx="100">
                  <c:v>-15.366811467347132</c:v>
                </c:pt>
                <c:pt idx="101">
                  <c:v>-16.890278732533694</c:v>
                </c:pt>
                <c:pt idx="102">
                  <c:v>-18.284082241749378</c:v>
                </c:pt>
                <c:pt idx="103">
                  <c:v>-19.568953679005922</c:v>
                </c:pt>
                <c:pt idx="104">
                  <c:v>-20.761049748456443</c:v>
                </c:pt>
                <c:pt idx="105">
                  <c:v>-21.873175377505262</c:v>
                </c:pt>
                <c:pt idx="106">
                  <c:v>-22.915639300394265</c:v>
                </c:pt>
                <c:pt idx="107">
                  <c:v>-23.896859462400002</c:v>
                </c:pt>
                <c:pt idx="108">
                  <c:v>-24.823798112888817</c:v>
                </c:pt>
                <c:pt idx="109">
                  <c:v>-32.052488190114879</c:v>
                </c:pt>
                <c:pt idx="110">
                  <c:v>-37.11495241815507</c:v>
                </c:pt>
                <c:pt idx="111">
                  <c:v>-41.021417121004035</c:v>
                </c:pt>
                <c:pt idx="112">
                  <c:v>-44.205002018608141</c:v>
                </c:pt>
                <c:pt idx="113">
                  <c:v>-46.892724307736245</c:v>
                </c:pt>
                <c:pt idx="114">
                  <c:v>-49.218796114467594</c:v>
                </c:pt>
                <c:pt idx="115">
                  <c:v>-51.269280859548012</c:v>
                </c:pt>
                <c:pt idx="116">
                  <c:v>-53.102716314423546</c:v>
                </c:pt>
                <c:pt idx="117">
                  <c:v>-54.760743930485873</c:v>
                </c:pt>
                <c:pt idx="118">
                  <c:v>-56.274051102878957</c:v>
                </c:pt>
                <c:pt idx="119">
                  <c:v>-57.665908749389999</c:v>
                </c:pt>
                <c:pt idx="120">
                  <c:v>-58.954385841855924</c:v>
                </c:pt>
                <c:pt idx="121">
                  <c:v>-60.153793944056765</c:v>
                </c:pt>
                <c:pt idx="122">
                  <c:v>-61.275662426056968</c:v>
                </c:pt>
                <c:pt idx="123">
                  <c:v>-62.329416313238902</c:v>
                </c:pt>
                <c:pt idx="124">
                  <c:v>-63.32285940147532</c:v>
                </c:pt>
                <c:pt idx="125">
                  <c:v>-64.262526166134123</c:v>
                </c:pt>
                <c:pt idx="126">
                  <c:v>-65.153943046934529</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-1.898537234069988E-4</c:v>
                </c:pt>
                <c:pt idx="1">
                  <c:v>-2.8478058511564105E-4</c:v>
                </c:pt>
                <c:pt idx="2">
                  <c:v>-3.7970744683045736E-4</c:v>
                </c:pt>
                <c:pt idx="3">
                  <c:v>-4.746343085534993E-4</c:v>
                </c:pt>
                <c:pt idx="4">
                  <c:v>-5.6956117028683119E-4</c:v>
                </c:pt>
                <c:pt idx="5">
                  <c:v>-6.6448803203249815E-4</c:v>
                </c:pt>
                <c:pt idx="6">
                  <c:v>-7.5941489379257546E-4</c:v>
                </c:pt>
                <c:pt idx="7">
                  <c:v>-8.5434175556910706E-4</c:v>
                </c:pt>
                <c:pt idx="8">
                  <c:v>-9.4926861736415846E-4</c:v>
                </c:pt>
                <c:pt idx="9">
                  <c:v>-1.0441954791797711E-3</c:v>
                </c:pt>
                <c:pt idx="10">
                  <c:v>-1.1391223410180198E-3</c:v>
                </c:pt>
                <c:pt idx="11">
                  <c:v>-1.2340492028809491E-3</c:v>
                </c:pt>
                <c:pt idx="12">
                  <c:v>-1.3289760647706337E-3</c:v>
                </c:pt>
                <c:pt idx="13">
                  <c:v>-1.4239029266891108E-3</c:v>
                </c:pt>
                <c:pt idx="14">
                  <c:v>-1.5188297886384501E-3</c:v>
                </c:pt>
                <c:pt idx="15">
                  <c:v>-1.6137566506207045E-3</c:v>
                </c:pt>
                <c:pt idx="16">
                  <c:v>-1.7086835126379292E-3</c:v>
                </c:pt>
                <c:pt idx="17">
                  <c:v>-1.803610374692192E-3</c:v>
                </c:pt>
                <c:pt idx="18">
                  <c:v>-1.8985372367855329E-3</c:v>
                </c:pt>
                <c:pt idx="19">
                  <c:v>-2.8478058603213685E-3</c:v>
                </c:pt>
                <c:pt idx="20">
                  <c:v>-3.7970744900289138E-3</c:v>
                </c:pt>
                <c:pt idx="21">
                  <c:v>-4.7463431279653528E-3</c:v>
                </c:pt>
                <c:pt idx="22">
                  <c:v>-5.6956117761879808E-3</c:v>
                </c:pt>
                <c:pt idx="23">
                  <c:v>-6.6448804367539036E-3</c:v>
                </c:pt>
                <c:pt idx="24">
                  <c:v>-7.5941491117205604E-3</c:v>
                </c:pt>
                <c:pt idx="25">
                  <c:v>-8.5434178031449735E-3</c:v>
                </c:pt>
                <c:pt idx="26">
                  <c:v>-9.4926865130843738E-3</c:v>
                </c:pt>
                <c:pt idx="27">
                  <c:v>-1.0441955243596156E-2</c:v>
                </c:pt>
                <c:pt idx="28">
                  <c:v>-1.1391223996737495E-2</c:v>
                </c:pt>
                <c:pt idx="29">
                  <c:v>-1.2340492774565615E-2</c:v>
                </c:pt>
                <c:pt idx="30">
                  <c:v>-1.3289761579137591E-2</c:v>
                </c:pt>
                <c:pt idx="31">
                  <c:v>-1.4239030412510872E-2</c:v>
                </c:pt>
                <c:pt idx="32">
                  <c:v>-1.518829927674264E-2</c:v>
                </c:pt>
                <c:pt idx="33">
                  <c:v>-1.6137568173889984E-2</c:v>
                </c:pt>
                <c:pt idx="34">
                  <c:v>-1.7086837106010312E-2</c:v>
                </c:pt>
                <c:pt idx="35">
                  <c:v>-1.8036106075160787E-2</c:v>
                </c:pt>
                <c:pt idx="36">
                  <c:v>-1.8985375083398617E-2</c:v>
                </c:pt>
                <c:pt idx="37">
                  <c:v>-2.8478067768173569E-2</c:v>
                </c:pt>
                <c:pt idx="38">
                  <c:v>-3.7970766624642334E-2</c:v>
                </c:pt>
                <c:pt idx="39">
                  <c:v>-4.746347371004133E-2</c:v>
                </c:pt>
                <c:pt idx="40">
                  <c:v>-5.6956191081610839E-2</c:v>
                </c:pt>
                <c:pt idx="41">
                  <c:v>-6.6448920796597075E-2</c:v>
                </c:pt>
                <c:pt idx="42">
                  <c:v>-7.5941664912254375E-2</c:v>
                </c:pt>
                <c:pt idx="43">
                  <c:v>-8.5434425485839557E-2</c:v>
                </c:pt>
                <c:pt idx="44">
                  <c:v>-9.4927204574626292E-2</c:v>
                </c:pt>
                <c:pt idx="45">
                  <c:v>-0.10442000423588904</c:v>
                </c:pt>
                <c:pt idx="46">
                  <c:v>-0.113912826526921</c:v>
                </c:pt>
                <c:pt idx="47">
                  <c:v>-0.12340567350502228</c:v>
                </c:pt>
                <c:pt idx="48">
                  <c:v>-0.1328985472275073</c:v>
                </c:pt>
                <c:pt idx="49">
                  <c:v>-0.14239144975170689</c:v>
                </c:pt>
                <c:pt idx="50">
                  <c:v>-0.15188438313496264</c:v>
                </c:pt>
                <c:pt idx="51">
                  <c:v>-0.16137734943463847</c:v>
                </c:pt>
                <c:pt idx="52">
                  <c:v>-0.17087035070810949</c:v>
                </c:pt>
                <c:pt idx="53">
                  <c:v>-0.18036338901277524</c:v>
                </c:pt>
                <c:pt idx="54">
                  <c:v>-0.18985646640604958</c:v>
                </c:pt>
                <c:pt idx="55">
                  <c:v>-0.28478984286013137</c:v>
                </c:pt>
                <c:pt idx="56">
                  <c:v>-0.379729391520854</c:v>
                </c:pt>
                <c:pt idx="57">
                  <c:v>-0.47467717029940626</c:v>
                </c:pt>
                <c:pt idx="58">
                  <c:v>-0.56963523754327006</c:v>
                </c:pt>
                <c:pt idx="59">
                  <c:v>-0.66460565214534628</c:v>
                </c:pt>
                <c:pt idx="60">
                  <c:v>-0.75959047365308752</c:v>
                </c:pt>
                <c:pt idx="61">
                  <c:v>-0.85459176237765277</c:v>
                </c:pt>
                <c:pt idx="62">
                  <c:v>-0.94961157950318897</c:v>
                </c:pt>
                <c:pt idx="63">
                  <c:v>-1.0446519871960063</c:v>
                </c:pt>
                <c:pt idx="64">
                  <c:v>-1.1397150487139274</c:v>
                </c:pt>
                <c:pt idx="65">
                  <c:v>-1.2348028285156334</c:v>
                </c:pt>
                <c:pt idx="66">
                  <c:v>-1.3299173923701062</c:v>
                </c:pt>
                <c:pt idx="67">
                  <c:v>-1.4250608074660984</c:v>
                </c:pt>
                <c:pt idx="68">
                  <c:v>-1.5202351425216485</c:v>
                </c:pt>
                <c:pt idx="69">
                  <c:v>-1.6154424678938029</c:v>
                </c:pt>
                <c:pt idx="70">
                  <c:v>-1.7106848556882301</c:v>
                </c:pt>
                <c:pt idx="71">
                  <c:v>-1.8059643798691163</c:v>
                </c:pt>
                <c:pt idx="72">
                  <c:v>-1.9012831163689228</c:v>
                </c:pt>
                <c:pt idx="73">
                  <c:v>-2.8570854919471267</c:v>
                </c:pt>
                <c:pt idx="74">
                  <c:v>-3.8191114894299063</c:v>
                </c:pt>
                <c:pt idx="75">
                  <c:v>-4.7894868775356771</c:v>
                </c:pt>
                <c:pt idx="76">
                  <c:v>-5.7703816480092289</c:v>
                </c:pt>
                <c:pt idx="77">
                  <c:v>-6.7640214485371191</c:v>
                </c:pt>
                <c:pt idx="78">
                  <c:v>-7.7726992433512017</c:v>
                </c:pt>
                <c:pt idx="79">
                  <c:v>-8.7987872207696824</c:v>
                </c:pt>
                <c:pt idx="80">
                  <c:v>-9.8447489491976246</c:v>
                </c:pt>
                <c:pt idx="81">
                  <c:v>-10.913151759360227</c:v>
                </c:pt>
                <c:pt idx="82">
                  <c:v>-12.006679299093879</c:v>
                </c:pt>
                <c:pt idx="83">
                  <c:v>-13.128144165758416</c:v>
                </c:pt>
                <c:pt idx="84">
                  <c:v>-14.280500467663378</c:v>
                </c:pt>
                <c:pt idx="85">
                  <c:v>-15.466856096634295</c:v>
                </c:pt>
                <c:pt idx="86">
                  <c:v>-16.690484405201943</c:v>
                </c:pt>
                <c:pt idx="87">
                  <c:v>-17.954834869459955</c:v>
                </c:pt>
                <c:pt idx="88">
                  <c:v>-19.26354217738194</c:v>
                </c:pt>
                <c:pt idx="89">
                  <c:v>-20.620433006958866</c:v>
                </c:pt>
                <c:pt idx="90">
                  <c:v>-22.029529543437597</c:v>
                </c:pt>
                <c:pt idx="91">
                  <c:v>-39.988977769003917</c:v>
                </c:pt>
                <c:pt idx="92">
                  <c:v>-67.412616738363567</c:v>
                </c:pt>
                <c:pt idx="93">
                  <c:v>-99.035727458967742</c:v>
                </c:pt>
                <c:pt idx="94">
                  <c:v>-122.35232441655168</c:v>
                </c:pt>
                <c:pt idx="95">
                  <c:v>-136.40803053677391</c:v>
                </c:pt>
                <c:pt idx="96">
                  <c:v>-145.06151732781461</c:v>
                </c:pt>
                <c:pt idx="97">
                  <c:v>-150.78900840907772</c:v>
                </c:pt>
                <c:pt idx="98">
                  <c:v>-154.8381333031723</c:v>
                </c:pt>
                <c:pt idx="99">
                  <c:v>-157.8527796120828</c:v>
                </c:pt>
                <c:pt idx="100">
                  <c:v>-160.18847568327681</c:v>
                </c:pt>
                <c:pt idx="101">
                  <c:v>-162.05509286140793</c:v>
                </c:pt>
                <c:pt idx="102">
                  <c:v>-163.58388562554862</c:v>
                </c:pt>
                <c:pt idx="103">
                  <c:v>-164.86101238133074</c:v>
                </c:pt>
                <c:pt idx="104">
                  <c:v>-165.94536270301154</c:v>
                </c:pt>
                <c:pt idx="105">
                  <c:v>-166.87857748817032</c:v>
                </c:pt>
                <c:pt idx="106">
                  <c:v>-167.69095935066289</c:v>
                </c:pt>
                <c:pt idx="107">
                  <c:v>-168.40510774704015</c:v>
                </c:pt>
                <c:pt idx="108">
                  <c:v>-169.03823737805885</c:v>
                </c:pt>
                <c:pt idx="109">
                  <c:v>-172.87139190467039</c:v>
                </c:pt>
                <c:pt idx="110">
                  <c:v>-174.69948477863329</c:v>
                </c:pt>
                <c:pt idx="111">
                  <c:v>-175.77644828116499</c:v>
                </c:pt>
                <c:pt idx="112">
                  <c:v>-176.48797466229448</c:v>
                </c:pt>
                <c:pt idx="113">
                  <c:v>-176.99361325629263</c:v>
                </c:pt>
                <c:pt idx="114">
                  <c:v>-177.37163634889529</c:v>
                </c:pt>
                <c:pt idx="115">
                  <c:v>-177.66503245987693</c:v>
                </c:pt>
                <c:pt idx="116">
                  <c:v>-177.89940240315687</c:v>
                </c:pt>
                <c:pt idx="117">
                  <c:v>-178.09095372667082</c:v>
                </c:pt>
                <c:pt idx="118">
                  <c:v>-178.25045139024979</c:v>
                </c:pt>
                <c:pt idx="119">
                  <c:v>-178.38532747525255</c:v>
                </c:pt>
                <c:pt idx="120">
                  <c:v>-178.5008793935161</c:v>
                </c:pt>
                <c:pt idx="121">
                  <c:v>-178.60098549073717</c:v>
                </c:pt>
                <c:pt idx="122">
                  <c:v>-178.68855069149299</c:v>
                </c:pt>
                <c:pt idx="123">
                  <c:v>-178.76579403559739</c:v>
                </c:pt>
                <c:pt idx="124">
                  <c:v>-178.83443992782091</c:v>
                </c:pt>
                <c:pt idx="125">
                  <c:v>-178.89584874626203</c:v>
                </c:pt>
                <c:pt idx="126">
                  <c:v>-178.95110812520176</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-2.7695226949776552</c:v>
                </c:pt>
                <c:pt idx="1">
                  <c:v>-2.7694975980389547</c:v>
                </c:pt>
                <c:pt idx="2">
                  <c:v>-2.769462463114738</c:v>
                </c:pt>
                <c:pt idx="3">
                  <c:v>-2.7694172909946153</c:v>
                </c:pt>
                <c:pt idx="4">
                  <c:v>-2.7693620826941685</c:v>
                </c:pt>
                <c:pt idx="5">
                  <c:v>-2.7692968394540132</c:v>
                </c:pt>
                <c:pt idx="6">
                  <c:v>-2.769221562740642</c:v>
                </c:pt>
                <c:pt idx="7">
                  <c:v>-2.7691362542458333</c:v>
                </c:pt>
                <c:pt idx="8">
                  <c:v>-2.7690409158863396</c:v>
                </c:pt>
                <c:pt idx="9">
                  <c:v>-2.7689355498043287</c:v>
                </c:pt>
                <c:pt idx="10">
                  <c:v>-2.7688201583670762</c:v>
                </c:pt>
                <c:pt idx="11">
                  <c:v>-2.7686947441665173</c:v>
                </c:pt>
                <c:pt idx="12">
                  <c:v>-2.7685593100193056</c:v>
                </c:pt>
                <c:pt idx="13">
                  <c:v>-2.7684138589669285</c:v>
                </c:pt>
                <c:pt idx="14">
                  <c:v>-2.768258394275148</c:v>
                </c:pt>
                <c:pt idx="15">
                  <c:v>-2.7680929194338879</c:v>
                </c:pt>
                <c:pt idx="16">
                  <c:v>-2.7679174381569194</c:v>
                </c:pt>
                <c:pt idx="17">
                  <c:v>-2.7677319543823486</c:v>
                </c:pt>
                <c:pt idx="18">
                  <c:v>-2.7675364722712095</c:v>
                </c:pt>
                <c:pt idx="19">
                  <c:v>-2.7650328174796814</c:v>
                </c:pt>
                <c:pt idx="20">
                  <c:v>-2.7615355555972276</c:v>
                </c:pt>
                <c:pt idx="21">
                  <c:v>-2.7570524870730728</c:v>
                </c:pt>
                <c:pt idx="22">
                  <c:v>-2.7515935640517686</c:v>
                </c:pt>
                <c:pt idx="23">
                  <c:v>-2.7451708337852687</c:v>
                </c:pt>
                <c:pt idx="24">
                  <c:v>-2.737798370742468</c:v>
                </c:pt>
                <c:pt idx="25">
                  <c:v>-2.7294921981407918</c:v>
                </c:pt>
                <c:pt idx="26">
                  <c:v>-2.7202701997274308</c:v>
                </c:pt>
                <c:pt idx="27">
                  <c:v>-2.7101520227258402</c:v>
                </c:pt>
                <c:pt idx="28">
                  <c:v>-2.6991589729307028</c:v>
                </c:pt>
                <c:pt idx="29">
                  <c:v>-2.6873139029957338</c:v>
                </c:pt>
                <c:pt idx="30">
                  <c:v>-2.674641094990819</c:v>
                </c:pt>
                <c:pt idx="31">
                  <c:v>-2.6611661383360405</c:v>
                </c:pt>
                <c:pt idx="32">
                  <c:v>-2.6469158042165275</c:v>
                </c:pt>
                <c:pt idx="33">
                  <c:v>-2.6319179175832388</c:v>
                </c:pt>
                <c:pt idx="34">
                  <c:v>-2.616201227815333</c:v>
                </c:pt>
                <c:pt idx="35">
                  <c:v>-2.5997952790847756</c:v>
                </c:pt>
                <c:pt idx="36">
                  <c:v>-2.5827302814150515</c:v>
                </c:pt>
                <c:pt idx="37">
                  <c:v>-2.3827099969935621</c:v>
                </c:pt>
                <c:pt idx="38">
                  <c:v>-2.1505883648624424</c:v>
                </c:pt>
                <c:pt idx="39">
                  <c:v>-1.9121485955247293</c:v>
                </c:pt>
                <c:pt idx="40">
                  <c:v>-1.6847414192222039</c:v>
                </c:pt>
                <c:pt idx="41">
                  <c:v>-1.4777143924173788</c:v>
                </c:pt>
                <c:pt idx="42">
                  <c:v>-1.2946160759041896</c:v>
                </c:pt>
                <c:pt idx="43">
                  <c:v>-1.1354732474931197</c:v>
                </c:pt>
                <c:pt idx="44">
                  <c:v>-0.99849209746754453</c:v>
                </c:pt>
                <c:pt idx="45">
                  <c:v>-0.88113297635932319</c:v>
                </c:pt>
                <c:pt idx="46">
                  <c:v>-0.78071297762435343</c:v>
                </c:pt>
                <c:pt idx="47">
                  <c:v>-0.69470615515896506</c:v>
                </c:pt>
                <c:pt idx="48">
                  <c:v>-0.62086871971622404</c:v>
                </c:pt>
                <c:pt idx="49">
                  <c:v>-0.55727089952680386</c:v>
                </c:pt>
                <c:pt idx="50">
                  <c:v>-0.50228338366639347</c:v>
                </c:pt>
                <c:pt idx="51">
                  <c:v>-0.45454470581400364</c:v>
                </c:pt>
                <c:pt idx="52">
                  <c:v>-0.41292321915526364</c:v>
                </c:pt>
                <c:pt idx="53">
                  <c:v>-0.37648021486274685</c:v>
                </c:pt>
                <c:pt idx="54">
                  <c:v>-0.34443694380996537</c:v>
                </c:pt>
                <c:pt idx="55">
                  <c:v>-0.16459342816465061</c:v>
                </c:pt>
                <c:pt idx="56">
                  <c:v>-9.4840947097493175E-2</c:v>
                </c:pt>
                <c:pt idx="57">
                  <c:v>-6.1083087267245435E-2</c:v>
                </c:pt>
                <c:pt idx="58">
                  <c:v>-4.2212038440991813E-2</c:v>
                </c:pt>
                <c:pt idx="59">
                  <c:v>-3.0531265454524115E-2</c:v>
                </c:pt>
                <c:pt idx="60">
                  <c:v>-2.2718036741181325E-2</c:v>
                </c:pt>
                <c:pt idx="61">
                  <c:v>-1.7153359007084749E-2</c:v>
                </c:pt>
                <c:pt idx="62">
                  <c:v>-1.2973547430862976E-2</c:v>
                </c:pt>
                <c:pt idx="63">
                  <c:v>-9.684271655411603E-3</c:v>
                </c:pt>
                <c:pt idx="64">
                  <c:v>-6.9862541229221342E-3</c:v>
                </c:pt>
                <c:pt idx="65">
                  <c:v>-4.6897988579343054E-3</c:v>
                </c:pt>
                <c:pt idx="66">
                  <c:v>-2.66998766498815E-3</c:v>
                </c:pt>
                <c:pt idx="67">
                  <c:v>-8.4186142276436015E-4</c:v>
                </c:pt>
                <c:pt idx="68">
                  <c:v>8.5398138847215047E-4</c:v>
                </c:pt>
                <c:pt idx="69">
                  <c:v>2.4600790340102586E-3</c:v>
                </c:pt>
                <c:pt idx="70">
                  <c:v>4.0075380175011912E-3</c:v>
                </c:pt>
                <c:pt idx="71">
                  <c:v>5.5195289619757934E-3</c:v>
                </c:pt>
                <c:pt idx="72">
                  <c:v>7.0135965231638417E-3</c:v>
                </c:pt>
                <c:pt idx="73">
                  <c:v>2.2902091006617289E-2</c:v>
                </c:pt>
                <c:pt idx="74">
                  <c:v>4.2844025556548558E-2</c:v>
                </c:pt>
                <c:pt idx="75">
                  <c:v>6.7847056716036275E-2</c:v>
                </c:pt>
                <c:pt idx="76">
                  <c:v>9.8155929404132813E-2</c:v>
                </c:pt>
                <c:pt idx="77">
                  <c:v>0.133848687953151</c:v>
                </c:pt>
                <c:pt idx="78">
                  <c:v>0.17495008996209305</c:v>
                </c:pt>
                <c:pt idx="79">
                  <c:v>0.22146167403632513</c:v>
                </c:pt>
                <c:pt idx="80">
                  <c:v>0.27337100667826808</c:v>
                </c:pt>
                <c:pt idx="81">
                  <c:v>0.33065425468553644</c:v>
                </c:pt>
                <c:pt idx="82">
                  <c:v>0.39327610888635844</c:v>
                </c:pt>
                <c:pt idx="83">
                  <c:v>0.46118838905812309</c:v>
                </c:pt>
                <c:pt idx="84">
                  <c:v>0.53432780482732845</c:v>
                </c:pt>
                <c:pt idx="85">
                  <c:v>0.61261303603001038</c:v>
                </c:pt>
                <c:pt idx="86">
                  <c:v>0.69594116826406294</c:v>
                </c:pt>
                <c:pt idx="87">
                  <c:v>0.78418346090873092</c:v>
                </c:pt>
                <c:pt idx="88">
                  <c:v>0.87718039572707263</c:v>
                </c:pt>
                <c:pt idx="89">
                  <c:v>0.97473593958067084</c:v>
                </c:pt>
                <c:pt idx="90">
                  <c:v>1.0766109496937699</c:v>
                </c:pt>
                <c:pt idx="91">
                  <c:v>2.2315860254314592</c:v>
                </c:pt>
                <c:pt idx="92">
                  <c:v>2.8802693614205466</c:v>
                </c:pt>
                <c:pt idx="93">
                  <c:v>1.5268050476355917</c:v>
                </c:pt>
                <c:pt idx="94">
                  <c:v>-1.4135494043750074</c:v>
                </c:pt>
                <c:pt idx="95">
                  <c:v>-4.5163748842072664</c:v>
                </c:pt>
                <c:pt idx="96">
                  <c:v>-7.288631592891897</c:v>
                </c:pt>
                <c:pt idx="97">
                  <c:v>-9.7012926696104351</c:v>
                </c:pt>
                <c:pt idx="98">
                  <c:v>-11.81392417186269</c:v>
                </c:pt>
                <c:pt idx="99">
                  <c:v>-13.686626367592782</c:v>
                </c:pt>
                <c:pt idx="100">
                  <c:v>-15.366812564994982</c:v>
                </c:pt>
                <c:pt idx="101">
                  <c:v>-16.89027966780764</c:v>
                </c:pt>
                <c:pt idx="102">
                  <c:v>-18.28408304818463</c:v>
                </c:pt>
                <c:pt idx="103">
                  <c:v>-19.568954381500664</c:v>
                </c:pt>
                <c:pt idx="104">
                  <c:v>-20.761050365883488</c:v>
                </c:pt>
                <c:pt idx="105">
                  <c:v>-21.873175924430274</c:v>
                </c:pt>
                <c:pt idx="106">
                  <c:v>-22.915639788237861</c:v>
                </c:pt>
                <c:pt idx="107">
                  <c:v>-23.896859900242973</c:v>
                </c:pt>
                <c:pt idx="108">
                  <c:v>-24.823798508042142</c:v>
                </c:pt>
                <c:pt idx="109">
                  <c:v>-32.052488365738569</c:v>
                </c:pt>
                <c:pt idx="110">
                  <c:v>-37.114952516943397</c:v>
                </c:pt>
                <c:pt idx="111">
                  <c:v>-41.021417184228575</c:v>
                </c:pt>
                <c:pt idx="112">
                  <c:v>-44.205002062514083</c:v>
                </c:pt>
                <c:pt idx="113">
                  <c:v>-46.892724339993656</c:v>
                </c:pt>
                <c:pt idx="114">
                  <c:v>-49.218796139164638</c:v>
                </c:pt>
                <c:pt idx="115">
                  <c:v>-51.26928087906176</c:v>
                </c:pt>
                <c:pt idx="116">
                  <c:v>-53.102716330229661</c:v>
                </c:pt>
                <c:pt idx="117">
                  <c:v>-54.760743943548782</c:v>
                </c:pt>
                <c:pt idx="118">
                  <c:v>-56.274051113855414</c:v>
                </c:pt>
                <c:pt idx="119">
                  <c:v>-57.665908758742702</c:v>
                </c:pt>
                <c:pt idx="120">
                  <c:v>-58.954385849920328</c:v>
                </c:pt>
                <c:pt idx="121">
                  <c:v>-60.153793951081767</c:v>
                </c:pt>
                <c:pt idx="122">
                  <c:v>-61.275662432231201</c:v>
                </c:pt>
                <c:pt idx="123">
                  <c:v>-62.329416318708127</c:v>
                </c:pt>
                <c:pt idx="124">
                  <c:v>-63.322859406353778</c:v>
                </c:pt>
                <c:pt idx="125">
                  <c:v>-64.26252617051253</c:v>
                </c:pt>
                <c:pt idx="126">
                  <c:v>-65.153943050886056</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4.8792516873691474E-2</c:v>
                </c:pt>
                <c:pt idx="1">
                  <c:v>7.3188098284594064E-2</c:v>
                </c:pt>
                <c:pt idx="2">
                  <c:v>9.7582867293235884E-2</c:v>
                </c:pt>
                <c:pt idx="3">
                  <c:v>0.12197655314697051</c:v>
                </c:pt>
                <c:pt idx="4">
                  <c:v>0.14636888513437721</c:v>
                </c:pt>
                <c:pt idx="5">
                  <c:v>0.170759592595565</c:v>
                </c:pt>
                <c:pt idx="6">
                  <c:v>0.19514840493247212</c:v>
                </c:pt>
                <c:pt idx="7">
                  <c:v>0.21953505161916509</c:v>
                </c:pt>
                <c:pt idx="8">
                  <c:v>0.2439192622120965</c:v>
                </c:pt>
                <c:pt idx="9">
                  <c:v>0.26830076636040823</c:v>
                </c:pt>
                <c:pt idx="10">
                  <c:v>0.29267929381621327</c:v>
                </c:pt>
                <c:pt idx="11">
                  <c:v>0.31705457444481366</c:v>
                </c:pt>
                <c:pt idx="12">
                  <c:v>0.34142633823498747</c:v>
                </c:pt>
                <c:pt idx="13">
                  <c:v>0.36579431530924811</c:v>
                </c:pt>
                <c:pt idx="14">
                  <c:v>0.39015823593405058</c:v>
                </c:pt>
                <c:pt idx="15">
                  <c:v>0.41451783053001184</c:v>
                </c:pt>
                <c:pt idx="16">
                  <c:v>0.43887282968208197</c:v>
                </c:pt>
                <c:pt idx="17">
                  <c:v>0.4632229641498507</c:v>
                </c:pt>
                <c:pt idx="18">
                  <c:v>0.48756796487760484</c:v>
                </c:pt>
                <c:pt idx="19">
                  <c:v>0.73067657659643603</c:v>
                </c:pt>
                <c:pt idx="20">
                  <c:v>0.97297761382003145</c:v>
                </c:pt>
                <c:pt idx="21">
                  <c:v>1.2142066437955861</c:v>
                </c:pt>
                <c:pt idx="22">
                  <c:v>1.4541032626709975</c:v>
                </c:pt>
                <c:pt idx="23">
                  <c:v>1.6924120410359247</c:v>
                </c:pt>
                <c:pt idx="24">
                  <c:v>1.928883429635418</c:v>
                </c:pt>
                <c:pt idx="25">
                  <c:v>2.163274618548138</c:v>
                </c:pt>
                <c:pt idx="26">
                  <c:v>2.3953503437611805</c:v>
                </c:pt>
                <c:pt idx="27">
                  <c:v>2.6248836357831715</c:v>
                </c:pt>
                <c:pt idx="28">
                  <c:v>2.8516565057017216</c:v>
                </c:pt>
                <c:pt idx="29">
                  <c:v>3.0754605648989801</c:v>
                </c:pt>
                <c:pt idx="30">
                  <c:v>3.2960975754651716</c:v>
                </c:pt>
                <c:pt idx="31">
                  <c:v>3.513379929193964</c:v>
                </c:pt>
                <c:pt idx="32">
                  <c:v>3.7271310538688032</c:v>
                </c:pt>
                <c:pt idx="33">
                  <c:v>3.9371857463700231</c:v>
                </c:pt>
                <c:pt idx="34">
                  <c:v>4.143390432907494</c:v>
                </c:pt>
                <c:pt idx="35">
                  <c:v>4.3456033574197344</c:v>
                </c:pt>
                <c:pt idx="36">
                  <c:v>4.5436946998615442</c:v>
                </c:pt>
                <c:pt idx="37">
                  <c:v>6.2778139279904233</c:v>
                </c:pt>
                <c:pt idx="38">
                  <c:v>7.5405462629170756</c:v>
                </c:pt>
                <c:pt idx="39">
                  <c:v>8.3631365573354586</c:v>
                </c:pt>
                <c:pt idx="40">
                  <c:v>8.8231382007245927</c:v>
                </c:pt>
                <c:pt idx="41">
                  <c:v>9.009118693047121</c:v>
                </c:pt>
                <c:pt idx="42">
                  <c:v>9.0008526262038657</c:v>
                </c:pt>
                <c:pt idx="43">
                  <c:v>8.8620616815850521</c:v>
                </c:pt>
                <c:pt idx="44">
                  <c:v>8.6401561615572753</c:v>
                </c:pt>
                <c:pt idx="45">
                  <c:v>8.3688300142459475</c:v>
                </c:pt>
                <c:pt idx="46">
                  <c:v>8.0712659003574316</c:v>
                </c:pt>
                <c:pt idx="47">
                  <c:v>7.7630038403501898</c:v>
                </c:pt>
                <c:pt idx="48">
                  <c:v>7.4542023447950339</c:v>
                </c:pt>
                <c:pt idx="49">
                  <c:v>7.1513087691808757</c:v>
                </c:pt>
                <c:pt idx="50">
                  <c:v>6.8582488764362628</c:v>
                </c:pt>
                <c:pt idx="51">
                  <c:v>6.5772558100700982</c:v>
                </c:pt>
                <c:pt idx="52">
                  <c:v>6.309440164798457</c:v>
                </c:pt>
                <c:pt idx="53">
                  <c:v>6.0551787005226414</c:v>
                </c:pt>
                <c:pt idx="54">
                  <c:v>5.8143778125211467</c:v>
                </c:pt>
                <c:pt idx="55">
                  <c:v>4.0193781939683957</c:v>
                </c:pt>
                <c:pt idx="56">
                  <c:v>2.9360111264642117</c:v>
                </c:pt>
                <c:pt idx="57">
                  <c:v>2.2117031618531624</c:v>
                </c:pt>
                <c:pt idx="58">
                  <c:v>1.6846223766430672</c:v>
                </c:pt>
                <c:pt idx="59">
                  <c:v>1.2757749352150036</c:v>
                </c:pt>
                <c:pt idx="60">
                  <c:v>0.9429099511493616</c:v>
                </c:pt>
                <c:pt idx="61">
                  <c:v>0.66159999176248385</c:v>
                </c:pt>
                <c:pt idx="62">
                  <c:v>0.41680706874226736</c:v>
                </c:pt>
                <c:pt idx="63">
                  <c:v>0.19879151632256575</c:v>
                </c:pt>
                <c:pt idx="64">
                  <c:v>9.7757256756891842E-4</c:v>
                </c:pt>
                <c:pt idx="65">
                  <c:v>-0.18123035956204681</c:v>
                </c:pt>
                <c:pt idx="66">
                  <c:v>-0.35113877726305709</c:v>
                </c:pt>
                <c:pt idx="67">
                  <c:v>-0.51118643428169375</c:v>
                </c:pt>
                <c:pt idx="68">
                  <c:v>-0.66321097170185905</c:v>
                </c:pt>
                <c:pt idx="69">
                  <c:v>-0.80862313677041708</c:v>
                </c:pt>
                <c:pt idx="70">
                  <c:v>-0.94852384302469139</c:v>
                </c:pt>
                <c:pt idx="71">
                  <c:v>-1.0837847779212675</c:v>
                </c:pt>
                <c:pt idx="72">
                  <c:v>-1.2151051273086857</c:v>
                </c:pt>
                <c:pt idx="73">
                  <c:v>-2.399265046497487</c:v>
                </c:pt>
                <c:pt idx="74">
                  <c:v>-3.4756493278492426</c:v>
                </c:pt>
                <c:pt idx="75">
                  <c:v>-4.5146812791558819</c:v>
                </c:pt>
                <c:pt idx="76">
                  <c:v>-5.541360742265943</c:v>
                </c:pt>
                <c:pt idx="77">
                  <c:v>-6.5677094205158406</c:v>
                </c:pt>
                <c:pt idx="78">
                  <c:v>-7.6009214511607643</c:v>
                </c:pt>
                <c:pt idx="79">
                  <c:v>-8.6460929442822536</c:v>
                </c:pt>
                <c:pt idx="80">
                  <c:v>-9.70732222973996</c:v>
                </c:pt>
                <c:pt idx="81">
                  <c:v>-10.788217119780203</c:v>
                </c:pt>
                <c:pt idx="82">
                  <c:v>-11.892155002207305</c:v>
                </c:pt>
                <c:pt idx="83">
                  <c:v>-13.022428799955481</c:v>
                </c:pt>
                <c:pt idx="84">
                  <c:v>-14.18233573507462</c:v>
                </c:pt>
                <c:pt idx="85">
                  <c:v>-15.375235329913718</c:v>
                </c:pt>
                <c:pt idx="86">
                  <c:v>-16.604589668131144</c:v>
                </c:pt>
                <c:pt idx="87">
                  <c:v>-17.873992554723237</c:v>
                </c:pt>
                <c:pt idx="88">
                  <c:v>-19.187190936733529</c:v>
                </c:pt>
                <c:pt idx="89">
                  <c:v>-20.548100119873475</c:v>
                </c:pt>
                <c:pt idx="90">
                  <c:v>-21.960813193003165</c:v>
                </c:pt>
                <c:pt idx="91">
                  <c:v>-39.943166499471772</c:v>
                </c:pt>
                <c:pt idx="92">
                  <c:v>-67.37825818928718</c:v>
                </c:pt>
                <c:pt idx="93">
                  <c:v>-99.008240583815578</c:v>
                </c:pt>
                <c:pt idx="94">
                  <c:v>-122.32941867101128</c:v>
                </c:pt>
                <c:pt idx="95">
                  <c:v>-136.38839703219963</c:v>
                </c:pt>
                <c:pt idx="96">
                  <c:v>-145.04433800654326</c:v>
                </c:pt>
                <c:pt idx="97">
                  <c:v>-150.77373789837489</c:v>
                </c:pt>
                <c:pt idx="98">
                  <c:v>-154.82438984166893</c:v>
                </c:pt>
                <c:pt idx="99">
                  <c:v>-157.84028555491224</c:v>
                </c:pt>
                <c:pt idx="100">
                  <c:v>-160.17702279665977</c:v>
                </c:pt>
                <c:pt idx="101">
                  <c:v>-162.04452096543883</c:v>
                </c:pt>
                <c:pt idx="102">
                  <c:v>-163.57406886454154</c:v>
                </c:pt>
                <c:pt idx="103">
                  <c:v>-164.85185007070783</c:v>
                </c:pt>
                <c:pt idx="104">
                  <c:v>-165.93677303653428</c:v>
                </c:pt>
                <c:pt idx="105">
                  <c:v>-166.87049309598243</c:v>
                </c:pt>
                <c:pt idx="106">
                  <c:v>-167.6833240912087</c:v>
                </c:pt>
                <c:pt idx="107">
                  <c:v>-168.39787434321391</c:v>
                </c:pt>
                <c:pt idx="108">
                  <c:v>-169.03136564431622</c:v>
                </c:pt>
                <c:pt idx="109">
                  <c:v>-172.86681074847272</c:v>
                </c:pt>
                <c:pt idx="110">
                  <c:v>-174.69604891138812</c:v>
                </c:pt>
                <c:pt idx="111">
                  <c:v>-175.77369958733294</c:v>
                </c:pt>
                <c:pt idx="112">
                  <c:v>-176.48568408408488</c:v>
                </c:pt>
                <c:pt idx="113">
                  <c:v>-176.99164990353316</c:v>
                </c:pt>
                <c:pt idx="114">
                  <c:v>-177.36991841522595</c:v>
                </c:pt>
                <c:pt idx="115">
                  <c:v>-177.66350540772351</c:v>
                </c:pt>
                <c:pt idx="116">
                  <c:v>-177.89802805621693</c:v>
                </c:pt>
                <c:pt idx="117">
                  <c:v>-178.08970432036054</c:v>
                </c:pt>
                <c:pt idx="118">
                  <c:v>-178.24930610113114</c:v>
                </c:pt>
                <c:pt idx="119">
                  <c:v>-178.38427028529625</c:v>
                </c:pt>
                <c:pt idx="120">
                  <c:v>-178.49989771712765</c:v>
                </c:pt>
                <c:pt idx="121">
                  <c:v>-178.60006925944091</c:v>
                </c:pt>
                <c:pt idx="122">
                  <c:v>-178.6876917246525</c:v>
                </c:pt>
                <c:pt idx="123">
                  <c:v>-178.76498559621788</c:v>
                </c:pt>
                <c:pt idx="124">
                  <c:v>-178.83367640174009</c:v>
                </c:pt>
                <c:pt idx="125">
                  <c:v>-178.8951254057643</c:v>
                </c:pt>
                <c:pt idx="126">
                  <c:v>-178.9504209517288</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96.69516302842959</c:v>
                </c:pt>
                <c:pt idx="1">
                  <c:v>93.214892879723138</c:v>
                </c:pt>
                <c:pt idx="2">
                  <c:v>90.730742717860494</c:v>
                </c:pt>
                <c:pt idx="3">
                  <c:v>88.799312715666929</c:v>
                </c:pt>
                <c:pt idx="4">
                  <c:v>87.219353395747774</c:v>
                </c:pt>
                <c:pt idx="5">
                  <c:v>85.882612142131805</c:v>
                </c:pt>
                <c:pt idx="6">
                  <c:v>84.724180404684915</c:v>
                </c:pt>
                <c:pt idx="7">
                  <c:v>83.702076841822588</c:v>
                </c:pt>
                <c:pt idx="8">
                  <c:v>82.787585971006422</c:v>
                </c:pt>
                <c:pt idx="9">
                  <c:v>81.96020110717464</c:v>
                </c:pt>
                <c:pt idx="10">
                  <c:v>81.204767514743665</c:v>
                </c:pt>
                <c:pt idx="11">
                  <c:v>80.50976896248342</c:v>
                </c:pt>
                <c:pt idx="12">
                  <c:v>79.866249205129861</c:v>
                </c:pt>
                <c:pt idx="13">
                  <c:v>79.26710552927517</c:v>
                </c:pt>
                <c:pt idx="14">
                  <c:v>78.706610274124003</c:v>
                </c:pt>
                <c:pt idx="15">
                  <c:v>78.180077394386032</c:v>
                </c:pt>
                <c:pt idx="16">
                  <c:v>77.683624319117897</c:v>
                </c:pt>
                <c:pt idx="17">
                  <c:v>77.213998190039064</c:v>
                </c:pt>
                <c:pt idx="18">
                  <c:v>76.768446664683097</c:v>
                </c:pt>
                <c:pt idx="19">
                  <c:v>73.245690458299663</c:v>
                </c:pt>
                <c:pt idx="20">
                  <c:v>70.7451712091963</c:v>
                </c:pt>
                <c:pt idx="21">
                  <c:v>68.804608185431462</c:v>
                </c:pt>
                <c:pt idx="22">
                  <c:v>67.218051283519898</c:v>
                </c:pt>
                <c:pt idx="23">
                  <c:v>65.87563201285856</c:v>
                </c:pt>
                <c:pt idx="24">
                  <c:v>64.711766474003213</c:v>
                </c:pt>
                <c:pt idx="25">
                  <c:v>63.684151320232147</c:v>
                </c:pt>
                <c:pt idx="26">
                  <c:v>62.763902385819407</c:v>
                </c:pt>
                <c:pt idx="27">
                  <c:v>61.930418302263817</c:v>
                </c:pt>
                <c:pt idx="28">
                  <c:v>61.168488436295888</c:v>
                </c:pt>
                <c:pt idx="29">
                  <c:v>60.466562382469398</c:v>
                </c:pt>
                <c:pt idx="30">
                  <c:v>59.815662577534084</c:v>
                </c:pt>
                <c:pt idx="31">
                  <c:v>59.208672965180284</c:v>
                </c:pt>
                <c:pt idx="32">
                  <c:v>58.639857697183025</c:v>
                </c:pt>
                <c:pt idx="33">
                  <c:v>58.104525999180595</c:v>
                </c:pt>
                <c:pt idx="34">
                  <c:v>57.598792970981613</c:v>
                </c:pt>
                <c:pt idx="35">
                  <c:v>57.119405143614856</c:v>
                </c:pt>
                <c:pt idx="36">
                  <c:v>56.663610831562288</c:v>
                </c:pt>
                <c:pt idx="37">
                  <c:v>53.012603674698717</c:v>
                </c:pt>
                <c:pt idx="38">
                  <c:v>50.340200251983475</c:v>
                </c:pt>
                <c:pt idx="39">
                  <c:v>48.190129485233967</c:v>
                </c:pt>
                <c:pt idx="40">
                  <c:v>46.363169112565046</c:v>
                </c:pt>
                <c:pt idx="41">
                  <c:v>44.756245572993244</c:v>
                </c:pt>
                <c:pt idx="42">
                  <c:v>43.310203863672456</c:v>
                </c:pt>
                <c:pt idx="43">
                  <c:v>41.988530561298212</c:v>
                </c:pt>
                <c:pt idx="44">
                  <c:v>40.767354453033988</c:v>
                </c:pt>
                <c:pt idx="45">
                  <c:v>39.630274883379244</c:v>
                </c:pt>
                <c:pt idx="46">
                  <c:v>38.565503423327748</c:v>
                </c:pt>
                <c:pt idx="47">
                  <c:v>37.564207011812449</c:v>
                </c:pt>
                <c:pt idx="48">
                  <c:v>36.619512329449222</c:v>
                </c:pt>
                <c:pt idx="49">
                  <c:v>35.725889762667563</c:v>
                </c:pt>
                <c:pt idx="50">
                  <c:v>34.878762278200277</c:v>
                </c:pt>
                <c:pt idx="51">
                  <c:v>34.074250922036242</c:v>
                </c:pt>
                <c:pt idx="52">
                  <c:v>33.309005075883057</c:v>
                </c:pt>
                <c:pt idx="53">
                  <c:v>32.580086308479224</c:v>
                </c:pt>
                <c:pt idx="54">
                  <c:v>31.884886751273221</c:v>
                </c:pt>
                <c:pt idx="55">
                  <c:v>26.365156230432234</c:v>
                </c:pt>
                <c:pt idx="56">
                  <c:v>22.578467032128245</c:v>
                </c:pt>
                <c:pt idx="57">
                  <c:v>19.800831964092406</c:v>
                </c:pt>
                <c:pt idx="58">
                  <c:v>17.654139799980747</c:v>
                </c:pt>
                <c:pt idx="59">
                  <c:v>15.925334318372995</c:v>
                </c:pt>
                <c:pt idx="60">
                  <c:v>14.487200106483865</c:v>
                </c:pt>
                <c:pt idx="61">
                  <c:v>13.259899295121762</c:v>
                </c:pt>
                <c:pt idx="62">
                  <c:v>12.191071535352021</c:v>
                </c:pt>
                <c:pt idx="63">
                  <c:v>11.245012156871706</c:v>
                </c:pt>
                <c:pt idx="64">
                  <c:v>10.396523549309855</c:v>
                </c:pt>
                <c:pt idx="65">
                  <c:v>9.6272793661184757</c:v>
                </c:pt>
                <c:pt idx="66">
                  <c:v>8.9235944934193956</c:v>
                </c:pt>
                <c:pt idx="67">
                  <c:v>8.2750107934190105</c:v>
                </c:pt>
                <c:pt idx="68">
                  <c:v>7.6733725469619252</c:v>
                </c:pt>
                <c:pt idx="69">
                  <c:v>7.1122051610331027</c:v>
                </c:pt>
                <c:pt idx="70">
                  <c:v>6.5862871301751564</c:v>
                </c:pt>
                <c:pt idx="71">
                  <c:v>6.0913484113139624</c:v>
                </c:pt>
                <c:pt idx="72">
                  <c:v>5.6238534901750779</c:v>
                </c:pt>
                <c:pt idx="73">
                  <c:v>1.9780463768223129</c:v>
                </c:pt>
                <c:pt idx="74">
                  <c:v>-0.58086753493888921</c:v>
                </c:pt>
                <c:pt idx="75">
                  <c:v>-2.5644769435470192</c:v>
                </c:pt>
                <c:pt idx="76">
                  <c:v>-4.1911668588612798</c:v>
                </c:pt>
                <c:pt idx="77">
                  <c:v>-5.5750412112577088</c:v>
                </c:pt>
                <c:pt idx="78">
                  <c:v>-6.783386481820731</c:v>
                </c:pt>
                <c:pt idx="79">
                  <c:v>-7.8592440940256854</c:v>
                </c:pt>
                <c:pt idx="80">
                  <c:v>-8.8318099967396293</c:v>
                </c:pt>
                <c:pt idx="81">
                  <c:v>-9.7217861857426371</c:v>
                </c:pt>
                <c:pt idx="82">
                  <c:v>-10.544369410691157</c:v>
                </c:pt>
                <c:pt idx="83">
                  <c:v>-11.311029438922304</c:v>
                </c:pt>
                <c:pt idx="84">
                  <c:v>-12.030622067778813</c:v>
                </c:pt>
                <c:pt idx="85">
                  <c:v>-12.710115277554731</c:v>
                </c:pt>
                <c:pt idx="86">
                  <c:v>-13.355079712121766</c:v>
                </c:pt>
                <c:pt idx="87">
                  <c:v>-13.970029877602457</c:v>
                </c:pt>
                <c:pt idx="88">
                  <c:v>-14.558667582451237</c:v>
                </c:pt>
                <c:pt idx="89">
                  <c:v>-15.124059491935586</c:v>
                </c:pt>
                <c:pt idx="90">
                  <c:v>-15.668769147934913</c:v>
                </c:pt>
                <c:pt idx="91">
                  <c:v>-20.329522803718728</c:v>
                </c:pt>
                <c:pt idx="92">
                  <c:v>-24.126476361967793</c:v>
                </c:pt>
                <c:pt idx="93">
                  <c:v>-27.415129333974125</c:v>
                </c:pt>
                <c:pt idx="94">
                  <c:v>-30.343963985523324</c:v>
                </c:pt>
                <c:pt idx="95">
                  <c:v>-32.994960279233879</c:v>
                </c:pt>
                <c:pt idx="96">
                  <c:v>-35.421292633715588</c:v>
                </c:pt>
                <c:pt idx="97">
                  <c:v>-37.660559745937732</c:v>
                </c:pt>
                <c:pt idx="98">
                  <c:v>-39.740731241175283</c:v>
                </c:pt>
                <c:pt idx="99">
                  <c:v>-41.683361400830819</c:v>
                </c:pt>
                <c:pt idx="100">
                  <c:v>-43.50552874346176</c:v>
                </c:pt>
                <c:pt idx="101">
                  <c:v>-45.221081244104752</c:v>
                </c:pt>
                <c:pt idx="102">
                  <c:v>-46.841466972962372</c:v>
                </c:pt>
                <c:pt idx="103">
                  <c:v>-48.376304433970631</c:v>
                </c:pt>
                <c:pt idx="104">
                  <c:v>-49.833784377026689</c:v>
                </c:pt>
                <c:pt idx="105">
                  <c:v>-51.220959947506906</c:v>
                </c:pt>
                <c:pt idx="106">
                  <c:v>-52.543961271491753</c:v>
                </c:pt>
                <c:pt idx="107">
                  <c:v>-53.808157809652521</c:v>
                </c:pt>
                <c:pt idx="108">
                  <c:v>-55.018283814351875</c:v>
                </c:pt>
                <c:pt idx="109">
                  <c:v>-64.884990538574598</c:v>
                </c:pt>
                <c:pt idx="110">
                  <c:v>-72.114645141007244</c:v>
                </c:pt>
                <c:pt idx="111">
                  <c:v>-77.801332223082255</c:v>
                </c:pt>
                <c:pt idx="112">
                  <c:v>-82.48145786266457</c:v>
                </c:pt>
                <c:pt idx="113">
                  <c:v>-86.455161224878609</c:v>
                </c:pt>
                <c:pt idx="114">
                  <c:v>-89.906519477704592</c:v>
                </c:pt>
                <c:pt idx="115">
                  <c:v>-92.956281414942339</c:v>
                </c:pt>
                <c:pt idx="116">
                  <c:v>-95.687819443408628</c:v>
                </c:pt>
                <c:pt idx="117">
                  <c:v>-98.161064845851172</c:v>
                </c:pt>
                <c:pt idx="118">
                  <c:v>-100.42051948278387</c:v>
                </c:pt>
                <c:pt idx="119">
                  <c:v>-102.50012184079861</c:v>
                </c:pt>
                <c:pt idx="120">
                  <c:v>-104.42633870668487</c:v>
                </c:pt>
                <c:pt idx="121">
                  <c:v>-106.22020478472173</c:v>
                </c:pt>
                <c:pt idx="122">
                  <c:v>-107.8987118411213</c:v>
                </c:pt>
                <c:pt idx="123">
                  <c:v>-109.47578105786221</c:v>
                </c:pt>
                <c:pt idx="124">
                  <c:v>-110.96295998576052</c:v>
                </c:pt>
                <c:pt idx="125">
                  <c:v>-112.36993258239809</c:v>
                </c:pt>
                <c:pt idx="126">
                  <c:v>-113.70489936965461</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-82.544688280211275</c:v>
                </c:pt>
                <c:pt idx="1">
                  <c:v>-85.071127000236828</c:v>
                </c:pt>
                <c:pt idx="2">
                  <c:v>-86.359356167119557</c:v>
                </c:pt>
                <c:pt idx="3">
                  <c:v>-87.147886310366246</c:v>
                </c:pt>
                <c:pt idx="4">
                  <c:v>-87.685649034419328</c:v>
                </c:pt>
                <c:pt idx="5">
                  <c:v>-88.079845141042441</c:v>
                </c:pt>
                <c:pt idx="6">
                  <c:v>-88.384212714642018</c:v>
                </c:pt>
                <c:pt idx="7">
                  <c:v>-88.628652210184669</c:v>
                </c:pt>
                <c:pt idx="8">
                  <c:v>-88.831121826646822</c:v>
                </c:pt>
                <c:pt idx="9">
                  <c:v>-89.003057351810199</c:v>
                </c:pt>
                <c:pt idx="10">
                  <c:v>-89.152086393022159</c:v>
                </c:pt>
                <c:pt idx="11">
                  <c:v>-89.283491523087108</c:v>
                </c:pt>
                <c:pt idx="12">
                  <c:v>-89.401047050041754</c:v>
                </c:pt>
                <c:pt idx="13">
                  <c:v>-89.507521390681916</c:v>
                </c:pt>
                <c:pt idx="14">
                  <c:v>-89.604991205150483</c:v>
                </c:pt>
                <c:pt idx="15">
                  <c:v>-89.695044737958213</c:v>
                </c:pt>
                <c:pt idx="16">
                  <c:v>-89.778917420292913</c:v>
                </c:pt>
                <c:pt idx="17">
                  <c:v>-89.85758467385233</c:v>
                </c:pt>
                <c:pt idx="18">
                  <c:v>-89.931826887050278</c:v>
                </c:pt>
                <c:pt idx="19">
                  <c:v>-90.528168776379374</c:v>
                </c:pt>
                <c:pt idx="20">
                  <c:v>-90.998219507460163</c:v>
                </c:pt>
                <c:pt idx="21">
                  <c:v>-91.417576369858338</c:v>
                </c:pt>
                <c:pt idx="22">
                  <c:v>-91.811400435458637</c:v>
                </c:pt>
                <c:pt idx="23">
                  <c:v>-92.190440715777527</c:v>
                </c:pt>
                <c:pt idx="24">
                  <c:v>-92.560041587709208</c:v>
                </c:pt>
                <c:pt idx="25">
                  <c:v>-92.923145507318011</c:v>
                </c:pt>
                <c:pt idx="26">
                  <c:v>-93.281494169810699</c:v>
                </c:pt>
                <c:pt idx="27">
                  <c:v>-93.636174529726915</c:v>
                </c:pt>
                <c:pt idx="28">
                  <c:v>-93.987891838116269</c:v>
                </c:pt>
                <c:pt idx="29">
                  <c:v>-94.337116684637124</c:v>
                </c:pt>
                <c:pt idx="30">
                  <c:v>-94.684169040713016</c:v>
                </c:pt>
                <c:pt idx="31">
                  <c:v>-95.029268702354599</c:v>
                </c:pt>
                <c:pt idx="32">
                  <c:v>-95.372566832085283</c:v>
                </c:pt>
                <c:pt idx="33">
                  <c:v>-95.714166382061478</c:v>
                </c:pt>
                <c:pt idx="34">
                  <c:v>-96.054135721777257</c:v>
                </c:pt>
                <c:pt idx="35">
                  <c:v>-96.392517973354785</c:v>
                </c:pt>
                <c:pt idx="36">
                  <c:v>-96.729337556213054</c:v>
                </c:pt>
                <c:pt idx="37">
                  <c:v>-100.01016646547274</c:v>
                </c:pt>
                <c:pt idx="38">
                  <c:v>-103.11456546153937</c:v>
                </c:pt>
                <c:pt idx="39">
                  <c:v>-106.01389848839648</c:v>
                </c:pt>
                <c:pt idx="40">
                  <c:v>-108.68630610188515</c:v>
                </c:pt>
                <c:pt idx="41">
                  <c:v>-111.11968249338227</c:v>
                </c:pt>
                <c:pt idx="42">
                  <c:v>-113.31100799653106</c:v>
                </c:pt>
                <c:pt idx="43">
                  <c:v>-115.26463063193128</c:v>
                </c:pt>
                <c:pt idx="44">
                  <c:v>-116.9903158828904</c:v>
                </c:pt>
                <c:pt idx="45">
                  <c:v>-118.50143643901983</c:v>
                </c:pt>
                <c:pt idx="46">
                  <c:v>-119.81346456840475</c:v>
                </c:pt>
                <c:pt idx="47">
                  <c:v>-120.94280969717644</c:v>
                </c:pt>
                <c:pt idx="48">
                  <c:v>-121.90597829259184</c:v>
                </c:pt>
                <c:pt idx="49">
                  <c:v>-122.7190038970669</c:v>
                </c:pt>
                <c:pt idx="50">
                  <c:v>-123.39708795096409</c:v>
                </c:pt>
                <c:pt idx="51">
                  <c:v>-123.95439642381831</c:v>
                </c:pt>
                <c:pt idx="52">
                  <c:v>-124.40396645800131</c:v>
                </c:pt>
                <c:pt idx="53">
                  <c:v>-124.7576873495708</c:v>
                </c:pt>
                <c:pt idx="54">
                  <c:v>-125.02632936831969</c:v>
                </c:pt>
                <c:pt idx="55">
                  <c:v>-124.74297258585125</c:v>
                </c:pt>
                <c:pt idx="56">
                  <c:v>-122.16083270455727</c:v>
                </c:pt>
                <c:pt idx="57">
                  <c:v>-119.22585291327005</c:v>
                </c:pt>
                <c:pt idx="58">
                  <c:v>-116.52306464085825</c:v>
                </c:pt>
                <c:pt idx="59">
                  <c:v>-114.19149308463561</c:v>
                </c:pt>
                <c:pt idx="60">
                  <c:v>-112.22606957240387</c:v>
                </c:pt>
                <c:pt idx="61">
                  <c:v>-110.58077469071716</c:v>
                </c:pt>
                <c:pt idx="62">
                  <c:v>-109.20369839570465</c:v>
                </c:pt>
                <c:pt idx="63">
                  <c:v>-108.04805533594143</c:v>
                </c:pt>
                <c:pt idx="64">
                  <c:v>-107.07471528174355</c:v>
                </c:pt>
                <c:pt idx="65">
                  <c:v>-106.25188711332898</c:v>
                </c:pt>
                <c:pt idx="66">
                  <c:v>-105.55400523402356</c:v>
                </c:pt>
                <c:pt idx="67">
                  <c:v>-104.96053883982546</c:v>
                </c:pt>
                <c:pt idx="68">
                  <c:v>-104.45495000539357</c:v>
                </c:pt>
                <c:pt idx="69">
                  <c:v>-104.02384632917045</c:v>
                </c:pt>
                <c:pt idx="70">
                  <c:v>-103.6563130423701</c:v>
                </c:pt>
                <c:pt idx="71">
                  <c:v>-103.34339341776244</c:v>
                </c:pt>
                <c:pt idx="72">
                  <c:v>-103.07768616773473</c:v>
                </c:pt>
                <c:pt idx="73">
                  <c:v>-102.03810691513272</c:v>
                </c:pt>
                <c:pt idx="74">
                  <c:v>-102.44880924426654</c:v>
                </c:pt>
                <c:pt idx="75">
                  <c:v>-103.45489840902489</c:v>
                </c:pt>
                <c:pt idx="76">
                  <c:v>-104.75759186173067</c:v>
                </c:pt>
                <c:pt idx="77">
                  <c:v>-106.22548477011459</c:v>
                </c:pt>
                <c:pt idx="78">
                  <c:v>-107.79145434991437</c:v>
                </c:pt>
                <c:pt idx="79">
                  <c:v>-109.41735789484092</c:v>
                </c:pt>
                <c:pt idx="80">
                  <c:v>-111.07970226969309</c:v>
                </c:pt>
                <c:pt idx="81">
                  <c:v>-112.76307173009602</c:v>
                </c:pt>
                <c:pt idx="82">
                  <c:v>-114.45682294585735</c:v>
                </c:pt>
                <c:pt idx="83">
                  <c:v>-116.15329835202864</c:v>
                </c:pt>
                <c:pt idx="84">
                  <c:v>-117.84680199173435</c:v>
                </c:pt>
                <c:pt idx="85">
                  <c:v>-119.53298303857169</c:v>
                </c:pt>
                <c:pt idx="86">
                  <c:v>-121.20844885105801</c:v>
                </c:pt>
                <c:pt idx="87">
                  <c:v>-122.87051298171275</c:v>
                </c:pt>
                <c:pt idx="88">
                  <c:v>-124.51702551695342</c:v>
                </c:pt>
                <c:pt idx="89">
                  <c:v>-126.14625527424877</c:v>
                </c:pt>
                <c:pt idx="90">
                  <c:v>-127.75680559468185</c:v>
                </c:pt>
                <c:pt idx="91">
                  <c:v>-142.67645440555341</c:v>
                </c:pt>
                <c:pt idx="92">
                  <c:v>-155.3584229943346</c:v>
                </c:pt>
                <c:pt idx="93">
                  <c:v>-166.04929207279946</c:v>
                </c:pt>
                <c:pt idx="94">
                  <c:v>-175.11008103826111</c:v>
                </c:pt>
                <c:pt idx="95">
                  <c:v>-182.86163680136877</c:v>
                </c:pt>
                <c:pt idx="96">
                  <c:v>-189.55730673209365</c:v>
                </c:pt>
                <c:pt idx="97">
                  <c:v>-195.39142304060152</c:v>
                </c:pt>
                <c:pt idx="98">
                  <c:v>-200.51349195692842</c:v>
                </c:pt>
                <c:pt idx="99">
                  <c:v>-205.04017030318147</c:v>
                </c:pt>
                <c:pt idx="100">
                  <c:v>-209.06399886940315</c:v>
                </c:pt>
                <c:pt idx="101">
                  <c:v>-212.65952484074683</c:v>
                </c:pt>
                <c:pt idx="102">
                  <c:v>-215.88759531574584</c:v>
                </c:pt>
                <c:pt idx="103">
                  <c:v>-218.79842036585848</c:v>
                </c:pt>
                <c:pt idx="104">
                  <c:v>-221.43380951955413</c:v>
                </c:pt>
                <c:pt idx="105">
                  <c:v>-223.82884366423357</c:v>
                </c:pt>
                <c:pt idx="106">
                  <c:v>-226.01315170489596</c:v>
                </c:pt>
                <c:pt idx="107">
                  <c:v>-228.01190306226425</c:v>
                </c:pt>
                <c:pt idx="108">
                  <c:v>-229.84659067022045</c:v>
                </c:pt>
                <c:pt idx="109">
                  <c:v>-242.23208282264727</c:v>
                </c:pt>
                <c:pt idx="110">
                  <c:v>-248.87841056949196</c:v>
                </c:pt>
                <c:pt idx="111">
                  <c:v>-252.98607969385239</c:v>
                </c:pt>
                <c:pt idx="112">
                  <c:v>-255.76589327865523</c:v>
                </c:pt>
                <c:pt idx="113">
                  <c:v>-257.76847886601365</c:v>
                </c:pt>
                <c:pt idx="114">
                  <c:v>-259.27828922376966</c:v>
                </c:pt>
                <c:pt idx="115">
                  <c:v>-260.45653743985571</c:v>
                </c:pt>
                <c:pt idx="116">
                  <c:v>-261.40122672434086</c:v>
                </c:pt>
                <c:pt idx="117">
                  <c:v>-262.17529126606178</c:v>
                </c:pt>
                <c:pt idx="118">
                  <c:v>-262.82096293018122</c:v>
                </c:pt>
                <c:pt idx="119">
                  <c:v>-263.36762236127186</c:v>
                </c:pt>
                <c:pt idx="120">
                  <c:v>-263.83633442315903</c:v>
                </c:pt>
                <c:pt idx="121">
                  <c:v>-264.24259202511632</c:v>
                </c:pt>
                <c:pt idx="122">
                  <c:v>-264.59804205538654</c:v>
                </c:pt>
                <c:pt idx="123">
                  <c:v>-264.9116078620707</c:v>
                </c:pt>
                <c:pt idx="124">
                  <c:v>-265.19024065458109</c:v>
                </c:pt>
                <c:pt idx="125">
                  <c:v>-265.43943535321756</c:v>
                </c:pt>
                <c:pt idx="126">
                  <c:v>-265.66359269312647</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93.925640333451938</c:v>
                </c:pt>
                <c:pt idx="1">
                  <c:v>90.445395281684185</c:v>
                </c:pt>
                <c:pt idx="2">
                  <c:v>87.961280254745759</c:v>
                </c:pt>
                <c:pt idx="3">
                  <c:v>86.029895424672318</c:v>
                </c:pt>
                <c:pt idx="4">
                  <c:v>84.449991313053602</c:v>
                </c:pt>
                <c:pt idx="5">
                  <c:v>83.11331530267779</c:v>
                </c:pt>
                <c:pt idx="6">
                  <c:v>81.954958841944276</c:v>
                </c:pt>
                <c:pt idx="7">
                  <c:v>80.932940587576752</c:v>
                </c:pt>
                <c:pt idx="8">
                  <c:v>80.018545055120086</c:v>
                </c:pt>
                <c:pt idx="9">
                  <c:v>79.191265557370315</c:v>
                </c:pt>
                <c:pt idx="10">
                  <c:v>78.435947356376587</c:v>
                </c:pt>
                <c:pt idx="11">
                  <c:v>77.741074218316896</c:v>
                </c:pt>
                <c:pt idx="12">
                  <c:v>77.097689895110562</c:v>
                </c:pt>
                <c:pt idx="13">
                  <c:v>76.498691670308247</c:v>
                </c:pt>
                <c:pt idx="14">
                  <c:v>75.938351879848852</c:v>
                </c:pt>
                <c:pt idx="15">
                  <c:v>75.411984474952149</c:v>
                </c:pt>
                <c:pt idx="16">
                  <c:v>74.915706880960983</c:v>
                </c:pt>
                <c:pt idx="17">
                  <c:v>74.446266235656708</c:v>
                </c:pt>
                <c:pt idx="18">
                  <c:v>74.000910192411894</c:v>
                </c:pt>
                <c:pt idx="19">
                  <c:v>70.480657640819985</c:v>
                </c:pt>
                <c:pt idx="20">
                  <c:v>67.983635653599066</c:v>
                </c:pt>
                <c:pt idx="21">
                  <c:v>66.047555698358394</c:v>
                </c:pt>
                <c:pt idx="22">
                  <c:v>64.466457719468124</c:v>
                </c:pt>
                <c:pt idx="23">
                  <c:v>63.130461179073293</c:v>
                </c:pt>
                <c:pt idx="24">
                  <c:v>61.973968103260745</c:v>
                </c:pt>
                <c:pt idx="25">
                  <c:v>60.954659122091357</c:v>
                </c:pt>
                <c:pt idx="26">
                  <c:v>60.043632186091976</c:v>
                </c:pt>
                <c:pt idx="27">
                  <c:v>59.220266279537974</c:v>
                </c:pt>
                <c:pt idx="28">
                  <c:v>58.469329463365185</c:v>
                </c:pt>
                <c:pt idx="29">
                  <c:v>57.779248479473665</c:v>
                </c:pt>
                <c:pt idx="30">
                  <c:v>57.141021482543266</c:v>
                </c:pt>
                <c:pt idx="31">
                  <c:v>56.547506826844241</c:v>
                </c:pt>
                <c:pt idx="32">
                  <c:v>55.992941892966499</c:v>
                </c:pt>
                <c:pt idx="33">
                  <c:v>55.472608081597357</c:v>
                </c:pt>
                <c:pt idx="34">
                  <c:v>54.982591743166282</c:v>
                </c:pt>
                <c:pt idx="35">
                  <c:v>54.519609864530082</c:v>
                </c:pt>
                <c:pt idx="36">
                  <c:v>54.080880550147235</c:v>
                </c:pt>
                <c:pt idx="37">
                  <c:v>50.629893677705155</c:v>
                </c:pt>
                <c:pt idx="38">
                  <c:v>48.189611887121032</c:v>
                </c:pt>
                <c:pt idx="39">
                  <c:v>46.277980889709241</c:v>
                </c:pt>
                <c:pt idx="40">
                  <c:v>44.67842769334284</c:v>
                </c:pt>
                <c:pt idx="41">
                  <c:v>43.278531180575868</c:v>
                </c:pt>
                <c:pt idx="42">
                  <c:v>42.015587787768268</c:v>
                </c:pt>
                <c:pt idx="43">
                  <c:v>40.853057313805095</c:v>
                </c:pt>
                <c:pt idx="44">
                  <c:v>39.768862355566441</c:v>
                </c:pt>
                <c:pt idx="45">
                  <c:v>38.749141907019919</c:v>
                </c:pt>
                <c:pt idx="46">
                  <c:v>37.784790445703393</c:v>
                </c:pt>
                <c:pt idx="47">
                  <c:v>36.869500856653481</c:v>
                </c:pt>
                <c:pt idx="48">
                  <c:v>35.998643609733001</c:v>
                </c:pt>
                <c:pt idx="49">
                  <c:v>35.168618863140757</c:v>
                </c:pt>
                <c:pt idx="50">
                  <c:v>34.376478894533882</c:v>
                </c:pt>
                <c:pt idx="51">
                  <c:v>33.619706216222241</c:v>
                </c:pt>
                <c:pt idx="52">
                  <c:v>32.896081856727797</c:v>
                </c:pt>
                <c:pt idx="53">
                  <c:v>32.203606093616479</c:v>
                </c:pt>
                <c:pt idx="54">
                  <c:v>31.540449807463254</c:v>
                </c:pt>
                <c:pt idx="55">
                  <c:v>26.200562802267584</c:v>
                </c:pt>
                <c:pt idx="56">
                  <c:v>22.483626085030753</c:v>
                </c:pt>
                <c:pt idx="57">
                  <c:v>19.739748876825161</c:v>
                </c:pt>
                <c:pt idx="58">
                  <c:v>17.611927761539757</c:v>
                </c:pt>
                <c:pt idx="59">
                  <c:v>15.894803052918471</c:v>
                </c:pt>
                <c:pt idx="60">
                  <c:v>14.464482069742683</c:v>
                </c:pt>
                <c:pt idx="61">
                  <c:v>13.242745936114678</c:v>
                </c:pt>
                <c:pt idx="62">
                  <c:v>12.178097987921159</c:v>
                </c:pt>
                <c:pt idx="63">
                  <c:v>11.235327885216295</c:v>
                </c:pt>
                <c:pt idx="64">
                  <c:v>10.389537295186933</c:v>
                </c:pt>
                <c:pt idx="65">
                  <c:v>9.6225895672605422</c:v>
                </c:pt>
                <c:pt idx="66">
                  <c:v>8.9209245057544067</c:v>
                </c:pt>
                <c:pt idx="67">
                  <c:v>8.2741689319962468</c:v>
                </c:pt>
                <c:pt idx="68">
                  <c:v>7.6742265283503972</c:v>
                </c:pt>
                <c:pt idx="69">
                  <c:v>7.1146652400671133</c:v>
                </c:pt>
                <c:pt idx="70">
                  <c:v>6.5902946681926577</c:v>
                </c:pt>
                <c:pt idx="71">
                  <c:v>6.0968679402759385</c:v>
                </c:pt>
                <c:pt idx="72">
                  <c:v>5.6308670866982418</c:v>
                </c:pt>
                <c:pt idx="73">
                  <c:v>2.00094846782893</c:v>
                </c:pt>
                <c:pt idx="74">
                  <c:v>-0.53802350938234067</c:v>
                </c:pt>
                <c:pt idx="75">
                  <c:v>-2.4966298868309829</c:v>
                </c:pt>
                <c:pt idx="76">
                  <c:v>-4.0930109294571473</c:v>
                </c:pt>
                <c:pt idx="77">
                  <c:v>-5.4411925233045579</c:v>
                </c:pt>
                <c:pt idx="78">
                  <c:v>-6.6084363918586382</c:v>
                </c:pt>
                <c:pt idx="79">
                  <c:v>-7.6377824199893602</c:v>
                </c:pt>
                <c:pt idx="80">
                  <c:v>-8.5584389900613616</c:v>
                </c:pt>
                <c:pt idx="81">
                  <c:v>-9.3911319310571013</c:v>
                </c:pt>
                <c:pt idx="82">
                  <c:v>-10.151093301804799</c:v>
                </c:pt>
                <c:pt idx="83">
                  <c:v>-10.849841049864182</c:v>
                </c:pt>
                <c:pt idx="84">
                  <c:v>-11.496294262951485</c:v>
                </c:pt>
                <c:pt idx="85">
                  <c:v>-12.097502241524721</c:v>
                </c:pt>
                <c:pt idx="86">
                  <c:v>-12.659138543857702</c:v>
                </c:pt>
                <c:pt idx="87">
                  <c:v>-13.185846416693726</c:v>
                </c:pt>
                <c:pt idx="88">
                  <c:v>-13.681487186724164</c:v>
                </c:pt>
                <c:pt idx="89">
                  <c:v>-14.149323552354916</c:v>
                </c:pt>
                <c:pt idx="90">
                  <c:v>-14.592158198241144</c:v>
                </c:pt>
                <c:pt idx="91">
                  <c:v>-18.09793677828727</c:v>
                </c:pt>
                <c:pt idx="92">
                  <c:v>-21.246207000547248</c:v>
                </c:pt>
                <c:pt idx="93">
                  <c:v>-25.888324286338534</c:v>
                </c:pt>
                <c:pt idx="94">
                  <c:v>-31.757513389898332</c:v>
                </c:pt>
                <c:pt idx="95">
                  <c:v>-37.511335163441146</c:v>
                </c:pt>
                <c:pt idx="96">
                  <c:v>-42.709924226607484</c:v>
                </c:pt>
                <c:pt idx="97">
                  <c:v>-47.361852415548171</c:v>
                </c:pt>
                <c:pt idx="98">
                  <c:v>-51.55465541303797</c:v>
                </c:pt>
                <c:pt idx="99">
                  <c:v>-55.369987768423599</c:v>
                </c:pt>
                <c:pt idx="100">
                  <c:v>-58.87234130845674</c:v>
                </c:pt>
                <c:pt idx="101">
                  <c:v>-62.111360911912392</c:v>
                </c:pt>
                <c:pt idx="102">
                  <c:v>-65.125550021147006</c:v>
                </c:pt>
                <c:pt idx="103">
                  <c:v>-67.945258815471291</c:v>
                </c:pt>
                <c:pt idx="104">
                  <c:v>-70.59483474291018</c:v>
                </c:pt>
                <c:pt idx="105">
                  <c:v>-73.094135871937183</c:v>
                </c:pt>
                <c:pt idx="106">
                  <c:v>-75.459601059729607</c:v>
                </c:pt>
                <c:pt idx="107">
                  <c:v>-77.705017709895486</c:v>
                </c:pt>
                <c:pt idx="108">
                  <c:v>-79.84208232239402</c:v>
                </c:pt>
                <c:pt idx="109">
                  <c:v>-96.937478904313167</c:v>
                </c:pt>
                <c:pt idx="110">
                  <c:v>-109.22959765795065</c:v>
                </c:pt>
                <c:pt idx="111">
                  <c:v>-118.82274940731082</c:v>
                </c:pt>
                <c:pt idx="112">
                  <c:v>-126.68645992517865</c:v>
                </c:pt>
                <c:pt idx="113">
                  <c:v>-133.34788556487226</c:v>
                </c:pt>
                <c:pt idx="114">
                  <c:v>-139.12531561686922</c:v>
                </c:pt>
                <c:pt idx="115">
                  <c:v>-144.22556229400411</c:v>
                </c:pt>
                <c:pt idx="116">
                  <c:v>-148.79053577363828</c:v>
                </c:pt>
                <c:pt idx="117">
                  <c:v>-152.92180878939996</c:v>
                </c:pt>
                <c:pt idx="118">
                  <c:v>-156.69457059663929</c:v>
                </c:pt>
                <c:pt idx="119">
                  <c:v>-160.16603059954133</c:v>
                </c:pt>
                <c:pt idx="120">
                  <c:v>-163.3807245566052</c:v>
                </c:pt>
                <c:pt idx="121">
                  <c:v>-166.3739987358035</c:v>
                </c:pt>
                <c:pt idx="122">
                  <c:v>-169.1743742733525</c:v>
                </c:pt>
                <c:pt idx="123">
                  <c:v>-171.80519737657033</c:v>
                </c:pt>
                <c:pt idx="124">
                  <c:v>-174.28581939211429</c:v>
                </c:pt>
                <c:pt idx="125">
                  <c:v>-176.63245875291062</c:v>
                </c:pt>
                <c:pt idx="126">
                  <c:v>-178.85884242054067</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-82.495895763337586</c:v>
                </c:pt>
                <c:pt idx="1">
                  <c:v>-84.997938901952239</c:v>
                </c:pt>
                <c:pt idx="2">
                  <c:v>-86.261773299826316</c:v>
                </c:pt>
                <c:pt idx="3">
                  <c:v>-87.025909757219281</c:v>
                </c:pt>
                <c:pt idx="4">
                  <c:v>-87.539280149284949</c:v>
                </c:pt>
                <c:pt idx="5">
                  <c:v>-87.909085548446882</c:v>
                </c:pt>
                <c:pt idx="6">
                  <c:v>-88.189064309709551</c:v>
                </c:pt>
                <c:pt idx="7">
                  <c:v>-88.409117158565508</c:v>
                </c:pt>
                <c:pt idx="8">
                  <c:v>-88.587202564434719</c:v>
                </c:pt>
                <c:pt idx="9">
                  <c:v>-88.734756585449787</c:v>
                </c:pt>
                <c:pt idx="10">
                  <c:v>-88.859407099205953</c:v>
                </c:pt>
                <c:pt idx="11">
                  <c:v>-88.966436948642297</c:v>
                </c:pt>
                <c:pt idx="12">
                  <c:v>-89.059620711806772</c:v>
                </c:pt>
                <c:pt idx="13">
                  <c:v>-89.141727075372671</c:v>
                </c:pt>
                <c:pt idx="14">
                  <c:v>-89.214832969216431</c:v>
                </c:pt>
                <c:pt idx="15">
                  <c:v>-89.280526907428197</c:v>
                </c:pt>
                <c:pt idx="16">
                  <c:v>-89.34004459061083</c:v>
                </c:pt>
                <c:pt idx="17">
                  <c:v>-89.39436170970248</c:v>
                </c:pt>
                <c:pt idx="18">
                  <c:v>-89.444258922172679</c:v>
                </c:pt>
                <c:pt idx="19">
                  <c:v>-89.797492199782937</c:v>
                </c:pt>
                <c:pt idx="20">
                  <c:v>-90.025241893640128</c:v>
                </c:pt>
                <c:pt idx="21">
                  <c:v>-90.203369726062746</c:v>
                </c:pt>
                <c:pt idx="22">
                  <c:v>-90.357297172787639</c:v>
                </c:pt>
                <c:pt idx="23">
                  <c:v>-90.498028674741605</c:v>
                </c:pt>
                <c:pt idx="24">
                  <c:v>-90.631158158073788</c:v>
                </c:pt>
                <c:pt idx="25">
                  <c:v>-90.759870888769868</c:v>
                </c:pt>
                <c:pt idx="26">
                  <c:v>-90.886143826049519</c:v>
                </c:pt>
                <c:pt idx="27">
                  <c:v>-91.011290893943738</c:v>
                </c:pt>
                <c:pt idx="28">
                  <c:v>-91.136235332414543</c:v>
                </c:pt>
                <c:pt idx="29">
                  <c:v>-91.261656119738149</c:v>
                </c:pt>
                <c:pt idx="30">
                  <c:v>-91.388071465247847</c:v>
                </c:pt>
                <c:pt idx="31">
                  <c:v>-91.51588877316064</c:v>
                </c:pt>
                <c:pt idx="32">
                  <c:v>-91.645435778216481</c:v>
                </c:pt>
                <c:pt idx="33">
                  <c:v>-91.776980635691459</c:v>
                </c:pt>
                <c:pt idx="34">
                  <c:v>-91.910745288869762</c:v>
                </c:pt>
                <c:pt idx="35">
                  <c:v>-92.046914615935052</c:v>
                </c:pt>
                <c:pt idx="36">
                  <c:v>-92.185642856351507</c:v>
                </c:pt>
                <c:pt idx="37">
                  <c:v>-93.732352537482313</c:v>
                </c:pt>
                <c:pt idx="38">
                  <c:v>-95.574019198622295</c:v>
                </c:pt>
                <c:pt idx="39">
                  <c:v>-97.650761931061027</c:v>
                </c:pt>
                <c:pt idx="40">
                  <c:v>-99.863167901160551</c:v>
                </c:pt>
                <c:pt idx="41">
                  <c:v>-102.11056380033514</c:v>
                </c:pt>
                <c:pt idx="42">
                  <c:v>-104.31015537032719</c:v>
                </c:pt>
                <c:pt idx="43">
                  <c:v>-106.40256895034624</c:v>
                </c:pt>
                <c:pt idx="44">
                  <c:v>-108.35015972133313</c:v>
                </c:pt>
                <c:pt idx="45">
                  <c:v>-110.13260642477388</c:v>
                </c:pt>
                <c:pt idx="46">
                  <c:v>-111.74219866804732</c:v>
                </c:pt>
                <c:pt idx="47">
                  <c:v>-113.17980585682625</c:v>
                </c:pt>
                <c:pt idx="48">
                  <c:v>-114.4517759477968</c:v>
                </c:pt>
                <c:pt idx="49">
                  <c:v>-115.56769512788603</c:v>
                </c:pt>
                <c:pt idx="50">
                  <c:v>-116.53883907452783</c:v>
                </c:pt>
                <c:pt idx="51">
                  <c:v>-117.37714061374821</c:v>
                </c:pt>
                <c:pt idx="52">
                  <c:v>-118.09452629320285</c:v>
                </c:pt>
                <c:pt idx="53">
                  <c:v>-118.70250864904816</c:v>
                </c:pt>
                <c:pt idx="54">
                  <c:v>-119.21195155579855</c:v>
                </c:pt>
                <c:pt idx="55">
                  <c:v>-120.72359439188286</c:v>
                </c:pt>
                <c:pt idx="56">
                  <c:v>-119.22482157809306</c:v>
                </c:pt>
                <c:pt idx="57">
                  <c:v>-117.01414975141688</c:v>
                </c:pt>
                <c:pt idx="58">
                  <c:v>-114.83844226421519</c:v>
                </c:pt>
                <c:pt idx="59">
                  <c:v>-112.91571814942061</c:v>
                </c:pt>
                <c:pt idx="60">
                  <c:v>-111.28315962125451</c:v>
                </c:pt>
                <c:pt idx="61">
                  <c:v>-109.91917469895468</c:v>
                </c:pt>
                <c:pt idx="62">
                  <c:v>-108.78689132696238</c:v>
                </c:pt>
                <c:pt idx="63">
                  <c:v>-107.84926381961886</c:v>
                </c:pt>
                <c:pt idx="64">
                  <c:v>-107.07373770917599</c:v>
                </c:pt>
                <c:pt idx="65">
                  <c:v>-106.43311747289103</c:v>
                </c:pt>
                <c:pt idx="66">
                  <c:v>-105.90514401128662</c:v>
                </c:pt>
                <c:pt idx="67">
                  <c:v>-105.47172527410716</c:v>
                </c:pt>
                <c:pt idx="68">
                  <c:v>-105.11816097709543</c:v>
                </c:pt>
                <c:pt idx="69">
                  <c:v>-104.83246946594087</c:v>
                </c:pt>
                <c:pt idx="70">
                  <c:v>-104.60483688539479</c:v>
                </c:pt>
                <c:pt idx="71">
                  <c:v>-104.42717819568371</c:v>
                </c:pt>
                <c:pt idx="72">
                  <c:v>-104.29279129504341</c:v>
                </c:pt>
                <c:pt idx="73">
                  <c:v>-104.43737196163021</c:v>
                </c:pt>
                <c:pt idx="74">
                  <c:v>-105.92445857211578</c:v>
                </c:pt>
                <c:pt idx="75">
                  <c:v>-107.96957968818077</c:v>
                </c:pt>
                <c:pt idx="76">
                  <c:v>-110.29895260399661</c:v>
                </c:pt>
                <c:pt idx="77">
                  <c:v>-112.79319419063043</c:v>
                </c:pt>
                <c:pt idx="78">
                  <c:v>-115.39237580107513</c:v>
                </c:pt>
                <c:pt idx="79">
                  <c:v>-118.06345083912318</c:v>
                </c:pt>
                <c:pt idx="80">
                  <c:v>-120.78702449943304</c:v>
                </c:pt>
                <c:pt idx="81">
                  <c:v>-123.55128884987622</c:v>
                </c:pt>
                <c:pt idx="82">
                  <c:v>-126.34897794806466</c:v>
                </c:pt>
                <c:pt idx="83">
                  <c:v>-129.17572715198412</c:v>
                </c:pt>
                <c:pt idx="84">
                  <c:v>-132.02913772680898</c:v>
                </c:pt>
                <c:pt idx="85">
                  <c:v>-134.90821836848539</c:v>
                </c:pt>
                <c:pt idx="86">
                  <c:v>-137.81303851918915</c:v>
                </c:pt>
                <c:pt idx="87">
                  <c:v>-140.74450553643598</c:v>
                </c:pt>
                <c:pt idx="88">
                  <c:v>-143.70421645368697</c:v>
                </c:pt>
                <c:pt idx="89">
                  <c:v>-146.69435539412225</c:v>
                </c:pt>
                <c:pt idx="90">
                  <c:v>-149.71761878768501</c:v>
                </c:pt>
                <c:pt idx="91">
                  <c:v>-182.61962090502519</c:v>
                </c:pt>
                <c:pt idx="92">
                  <c:v>-222.73668118362178</c:v>
                </c:pt>
                <c:pt idx="93">
                  <c:v>-265.05753265661502</c:v>
                </c:pt>
                <c:pt idx="94">
                  <c:v>-297.43949970927241</c:v>
                </c:pt>
                <c:pt idx="95">
                  <c:v>-319.25003383356841</c:v>
                </c:pt>
                <c:pt idx="96">
                  <c:v>-334.60164473863688</c:v>
                </c:pt>
                <c:pt idx="97">
                  <c:v>-346.16516093897644</c:v>
                </c:pt>
                <c:pt idx="98">
                  <c:v>-355.33788179859732</c:v>
                </c:pt>
                <c:pt idx="99">
                  <c:v>-362.88045585809368</c:v>
                </c:pt>
                <c:pt idx="100">
                  <c:v>-369.24102166606292</c:v>
                </c:pt>
                <c:pt idx="101">
                  <c:v>-374.70404580618566</c:v>
                </c:pt>
                <c:pt idx="102">
                  <c:v>-379.46166418028736</c:v>
                </c:pt>
                <c:pt idx="103">
                  <c:v>-383.6502704365663</c:v>
                </c:pt>
                <c:pt idx="104">
                  <c:v>-387.37058255608838</c:v>
                </c:pt>
                <c:pt idx="105">
                  <c:v>-390.699336760216</c:v>
                </c:pt>
                <c:pt idx="106">
                  <c:v>-393.69647579610466</c:v>
                </c:pt>
                <c:pt idx="107">
                  <c:v>-396.40977740547817</c:v>
                </c:pt>
                <c:pt idx="108">
                  <c:v>-398.87795631453668</c:v>
                </c:pt>
                <c:pt idx="109">
                  <c:v>-415.09889357112002</c:v>
                </c:pt>
                <c:pt idx="110">
                  <c:v>-423.57445948088008</c:v>
                </c:pt>
                <c:pt idx="111">
                  <c:v>-428.75977928118533</c:v>
                </c:pt>
                <c:pt idx="112">
                  <c:v>-432.25157736274014</c:v>
                </c:pt>
                <c:pt idx="113">
                  <c:v>-434.76012876954678</c:v>
                </c:pt>
                <c:pt idx="114">
                  <c:v>-436.64820763899559</c:v>
                </c:pt>
                <c:pt idx="115">
                  <c:v>-438.12004284757921</c:v>
                </c:pt>
                <c:pt idx="116">
                  <c:v>-439.29925478055782</c:v>
                </c:pt>
                <c:pt idx="117">
                  <c:v>-440.26499558642229</c:v>
                </c:pt>
                <c:pt idx="118">
                  <c:v>-441.07026903131236</c:v>
                </c:pt>
                <c:pt idx="119">
                  <c:v>-441.75189264656808</c:v>
                </c:pt>
                <c:pt idx="120">
                  <c:v>-442.33623214028671</c:v>
                </c:pt>
                <c:pt idx="121">
                  <c:v>-442.84266128455727</c:v>
                </c:pt>
                <c:pt idx="122">
                  <c:v>-443.28573378003904</c:v>
                </c:pt>
                <c:pt idx="123">
                  <c:v>-443.67659345828861</c:v>
                </c:pt>
                <c:pt idx="124">
                  <c:v>-444.02391705632118</c:v>
                </c:pt>
                <c:pt idx="125">
                  <c:v>-444.33456075898187</c:v>
                </c:pt>
                <c:pt idx="126">
                  <c:v>-444.61401364485528</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85.592799283464032</c:v>
                </c:pt>
                <c:pt idx="1">
                  <c:v>82.112515603211179</c:v>
                </c:pt>
                <c:pt idx="2">
                  <c:v>79.628346497407435</c:v>
                </c:pt>
                <c:pt idx="3">
                  <c:v>77.696892139101578</c:v>
                </c:pt>
                <c:pt idx="4">
                  <c:v>76.116903051186426</c:v>
                </c:pt>
                <c:pt idx="5">
                  <c:v>74.780126618042374</c:v>
                </c:pt>
                <c:pt idx="6">
                  <c:v>73.621654289950612</c:v>
                </c:pt>
                <c:pt idx="7">
                  <c:v>72.599504725805645</c:v>
                </c:pt>
                <c:pt idx="8">
                  <c:v>71.684962443612378</c:v>
                </c:pt>
                <c:pt idx="9">
                  <c:v>70.857520758915555</c:v>
                </c:pt>
                <c:pt idx="10">
                  <c:v>70.10202493680255</c:v>
                </c:pt>
                <c:pt idx="11">
                  <c:v>69.406958746777633</c:v>
                </c:pt>
                <c:pt idx="12">
                  <c:v>68.763365944374954</c:v>
                </c:pt>
                <c:pt idx="13">
                  <c:v>68.164143817048753</c:v>
                </c:pt>
                <c:pt idx="14">
                  <c:v>67.603564704929369</c:v>
                </c:pt>
                <c:pt idx="15">
                  <c:v>67.07694256371596</c:v>
                </c:pt>
                <c:pt idx="16">
                  <c:v>66.580394823517992</c:v>
                </c:pt>
                <c:pt idx="17">
                  <c:v>66.110668627171748</c:v>
                </c:pt>
                <c:pt idx="18">
                  <c:v>65.665011633390947</c:v>
                </c:pt>
                <c:pt idx="19">
                  <c:v>62.140903984157724</c:v>
                </c:pt>
                <c:pt idx="20">
                  <c:v>59.638494945322016</c:v>
                </c:pt>
                <c:pt idx="21">
                  <c:v>57.695506007058242</c:v>
                </c:pt>
                <c:pt idx="22">
                  <c:v>56.105989911308988</c:v>
                </c:pt>
                <c:pt idx="23">
                  <c:v>54.760081627621275</c:v>
                </c:pt>
                <c:pt idx="24">
                  <c:v>53.592201321025527</c:v>
                </c:pt>
                <c:pt idx="25">
                  <c:v>52.560050301454623</c:v>
                </c:pt>
                <c:pt idx="26">
                  <c:v>51.634749638195267</c:v>
                </c:pt>
                <c:pt idx="27">
                  <c:v>50.795703760693939</c:v>
                </c:pt>
                <c:pt idx="28">
                  <c:v>50.027708379628677</c:v>
                </c:pt>
                <c:pt idx="29">
                  <c:v>49.319219961144569</c:v>
                </c:pt>
                <c:pt idx="30">
                  <c:v>48.661268321550658</c:v>
                </c:pt>
                <c:pt idx="31">
                  <c:v>48.046745271174437</c:v>
                </c:pt>
                <c:pt idx="32">
                  <c:v>47.469923293512309</c:v>
                </c:pt>
                <c:pt idx="33">
                  <c:v>46.926120388025197</c:v>
                </c:pt>
                <c:pt idx="34">
                  <c:v>46.411460846589229</c:v>
                </c:pt>
                <c:pt idx="35">
                  <c:v>45.92270078593711</c:v>
                </c:pt>
                <c:pt idx="36">
                  <c:v>45.457098474648376</c:v>
                </c:pt>
                <c:pt idx="37">
                  <c:v>41.686445149455849</c:v>
                </c:pt>
                <c:pt idx="38">
                  <c:v>38.863498867753499</c:v>
                </c:pt>
                <c:pt idx="39">
                  <c:v>36.544056283395371</c:v>
                </c:pt>
                <c:pt idx="40">
                  <c:v>34.539724144843419</c:v>
                </c:pt>
                <c:pt idx="41">
                  <c:v>32.755983276739293</c:v>
                </c:pt>
                <c:pt idx="42">
                  <c:v>31.139715215500541</c:v>
                </c:pt>
                <c:pt idx="43">
                  <c:v>29.658184721779104</c:v>
                </c:pt>
                <c:pt idx="44">
                  <c:v>28.289517605203265</c:v>
                </c:pt>
                <c:pt idx="45">
                  <c:v>27.01803221017682</c:v>
                </c:pt>
                <c:pt idx="46">
                  <c:v>25.831814159688506</c:v>
                </c:pt>
                <c:pt idx="47">
                  <c:v>24.721392058874802</c:v>
                </c:pt>
                <c:pt idx="48">
                  <c:v>23.678978134224998</c:v>
                </c:pt>
                <c:pt idx="49">
                  <c:v>22.698010018933147</c:v>
                </c:pt>
                <c:pt idx="50">
                  <c:v>21.772859149444002</c:v>
                </c:pt>
                <c:pt idx="51">
                  <c:v>20.898635040707713</c:v>
                </c:pt>
                <c:pt idx="52">
                  <c:v>20.07104714887824</c:v>
                </c:pt>
                <c:pt idx="53">
                  <c:v>19.286302947071441</c:v>
                </c:pt>
                <c:pt idx="54">
                  <c:v>18.541029874948922</c:v>
                </c:pt>
                <c:pt idx="55">
                  <c:v>12.721887337263023</c:v>
                </c:pt>
                <c:pt idx="56">
                  <c:v>8.8103634358075666</c:v>
                </c:pt>
                <c:pt idx="57">
                  <c:v>5.971025757993722</c:v>
                </c:pt>
                <c:pt idx="58">
                  <c:v>3.7900712021494325</c:v>
                </c:pt>
                <c:pt idx="59">
                  <c:v>2.0407113336884795</c:v>
                </c:pt>
                <c:pt idx="60">
                  <c:v>0.5896270031930122</c:v>
                </c:pt>
                <c:pt idx="61">
                  <c:v>-0.64604662407714564</c:v>
                </c:pt>
                <c:pt idx="62">
                  <c:v>-1.7203034208173289</c:v>
                </c:pt>
                <c:pt idx="63">
                  <c:v>-2.6697904992002943</c:v>
                </c:pt>
                <c:pt idx="64">
                  <c:v>-3.5202793575344753</c:v>
                </c:pt>
                <c:pt idx="65">
                  <c:v>-4.2904616966699773</c:v>
                </c:pt>
                <c:pt idx="66">
                  <c:v>-4.9942640554735718</c:v>
                </c:pt>
                <c:pt idx="67">
                  <c:v>-5.6423092374913706</c:v>
                </c:pt>
                <c:pt idx="68">
                  <c:v>-6.2428683770834654</c:v>
                </c:pt>
                <c:pt idx="69">
                  <c:v>-6.8024989051700011</c:v>
                </c:pt>
                <c:pt idx="70">
                  <c:v>-7.3264830371080691</c:v>
                </c:pt>
                <c:pt idx="71">
                  <c:v>-7.8191361409042166</c:v>
                </c:pt>
                <c:pt idx="72">
                  <c:v>-8.2840281358924663</c:v>
                </c:pt>
                <c:pt idx="73">
                  <c:v>-11.890179520780631</c:v>
                </c:pt>
                <c:pt idx="74">
                  <c:v>-14.389412592269563</c:v>
                </c:pt>
                <c:pt idx="75">
                  <c:v>-16.295634267322122</c:v>
                </c:pt>
                <c:pt idx="76">
                  <c:v>-17.828139139259576</c:v>
                </c:pt>
                <c:pt idx="77">
                  <c:v>-19.101691702696893</c:v>
                </c:pt>
                <c:pt idx="78">
                  <c:v>-20.184203958155617</c:v>
                </c:pt>
                <c:pt idx="79">
                  <c:v>-21.119358312947512</c:v>
                </c:pt>
                <c:pt idx="80">
                  <c:v>-21.937017349610805</c:v>
                </c:pt>
                <c:pt idx="81">
                  <c:v>-22.658573500767133</c:v>
                </c:pt>
                <c:pt idx="82">
                  <c:v>-23.299932265757423</c:v>
                </c:pt>
                <c:pt idx="83">
                  <c:v>-23.873284376796878</c:v>
                </c:pt>
                <c:pt idx="84">
                  <c:v>-24.388213399866583</c:v>
                </c:pt>
                <c:pt idx="85">
                  <c:v>-24.852417783621071</c:v>
                </c:pt>
                <c:pt idx="86">
                  <c:v>-25.272198860220314</c:v>
                </c:pt>
                <c:pt idx="87">
                  <c:v>-25.652801346777114</c:v>
                </c:pt>
                <c:pt idx="88">
                  <c:v>-25.998657937550732</c:v>
                </c:pt>
                <c:pt idx="89">
                  <c:v>-26.313569870356822</c:v>
                </c:pt>
                <c:pt idx="90">
                  <c:v>-26.600843792303081</c:v>
                </c:pt>
                <c:pt idx="91">
                  <c:v>-28.492158435996281</c:v>
                </c:pt>
                <c:pt idx="92">
                  <c:v>-30.083315738790802</c:v>
                </c:pt>
                <c:pt idx="93">
                  <c:v>-33.320061612261078</c:v>
                </c:pt>
                <c:pt idx="94">
                  <c:v>-37.945363339281926</c:v>
                </c:pt>
                <c:pt idx="95">
                  <c:v>-42.601166123205893</c:v>
                </c:pt>
                <c:pt idx="96">
                  <c:v>-46.827327122127457</c:v>
                </c:pt>
                <c:pt idx="97">
                  <c:v>-50.613646203757654</c:v>
                </c:pt>
                <c:pt idx="98">
                  <c:v>-54.031771826954746</c:v>
                </c:pt>
                <c:pt idx="99">
                  <c:v>-57.150282866375989</c:v>
                </c:pt>
                <c:pt idx="100">
                  <c:v>-60.022969604510777</c:v>
                </c:pt>
                <c:pt idx="101">
                  <c:v>-62.690686885996243</c:v>
                </c:pt>
                <c:pt idx="102">
                  <c:v>-65.184664027777288</c:v>
                </c:pt>
                <c:pt idx="103">
                  <c:v>-67.529177522352626</c:v>
                </c:pt>
                <c:pt idx="104">
                  <c:v>-69.743456427904306</c:v>
                </c:pt>
                <c:pt idx="105">
                  <c:v>-71.843006700815053</c:v>
                </c:pt>
                <c:pt idx="106">
                  <c:v>-73.84053549840155</c:v>
                </c:pt>
                <c:pt idx="107">
                  <c:v>-75.746605785476959</c:v>
                </c:pt>
                <c:pt idx="108">
                  <c:v>-77.570108447979379</c:v>
                </c:pt>
                <c:pt idx="109">
                  <c:v>-92.524121664222292</c:v>
                </c:pt>
                <c:pt idx="110">
                  <c:v>-103.70450395676365</c:v>
                </c:pt>
                <c:pt idx="111">
                  <c:v>-112.66444883032982</c:v>
                </c:pt>
                <c:pt idx="112">
                  <c:v>-120.1401739859247</c:v>
                </c:pt>
                <c:pt idx="113">
                  <c:v>-126.54938558390556</c:v>
                </c:pt>
                <c:pt idx="114">
                  <c:v>-132.15477288902352</c:v>
                </c:pt>
                <c:pt idx="115">
                  <c:v>-137.13293562515298</c:v>
                </c:pt>
                <c:pt idx="116">
                  <c:v>-141.60839483902609</c:v>
                </c:pt>
                <c:pt idx="117">
                  <c:v>-145.67221080452543</c:v>
                </c:pt>
                <c:pt idx="118">
                  <c:v>-149.3929445593763</c:v>
                </c:pt>
                <c:pt idx="119">
                  <c:v>-152.82347236983117</c:v>
                </c:pt>
                <c:pt idx="120">
                  <c:v>-156.0054071301484</c:v>
                </c:pt>
                <c:pt idx="121">
                  <c:v>-158.97206899069289</c:v>
                </c:pt>
                <c:pt idx="122">
                  <c:v>-161.75054057250443</c:v>
                </c:pt>
                <c:pt idx="123">
                  <c:v>-164.36312494939816</c:v>
                </c:pt>
                <c:pt idx="124">
                  <c:v>-166.82840271494956</c:v>
                </c:pt>
                <c:pt idx="125">
                  <c:v>-169.16201317877713</c:v>
                </c:pt>
                <c:pt idx="126">
                  <c:v>-171.37724156407273</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-82.58094948544138</c:v>
                </c:pt>
                <c:pt idx="1">
                  <c:v>-85.125518543587816</c:v>
                </c:pt>
                <c:pt idx="2">
                  <c:v>-86.431877731204352</c:v>
                </c:pt>
                <c:pt idx="3">
                  <c:v>-87.238537472011913</c:v>
                </c:pt>
                <c:pt idx="4">
                  <c:v>-87.794429264675657</c:v>
                </c:pt>
                <c:pt idx="5">
                  <c:v>-88.206753805192406</c:v>
                </c:pt>
                <c:pt idx="6">
                  <c:v>-88.529249072214554</c:v>
                </c:pt>
                <c:pt idx="7">
                  <c:v>-88.791815414969435</c:v>
                </c:pt>
                <c:pt idx="8">
                  <c:v>-89.012410926711183</c:v>
                </c:pt>
                <c:pt idx="9">
                  <c:v>-89.202471289518243</c:v>
                </c:pt>
                <c:pt idx="10">
                  <c:v>-89.36962400505584</c:v>
                </c:pt>
                <c:pt idx="11">
                  <c:v>-89.519151540469522</c:v>
                </c:pt>
                <c:pt idx="12">
                  <c:v>-89.654828098162554</c:v>
                </c:pt>
                <c:pt idx="13">
                  <c:v>-89.779421989324746</c:v>
                </c:pt>
                <c:pt idx="14">
                  <c:v>-89.895009768522627</c:v>
                </c:pt>
                <c:pt idx="15">
                  <c:v>-90.003179574722239</c:v>
                </c:pt>
                <c:pt idx="16">
                  <c:v>-90.105166733600527</c:v>
                </c:pt>
                <c:pt idx="17">
                  <c:v>-90.201946561380311</c:v>
                </c:pt>
                <c:pt idx="18">
                  <c:v>-90.294299341038482</c:v>
                </c:pt>
                <c:pt idx="19">
                  <c:v>-91.071613303421501</c:v>
                </c:pt>
                <c:pt idx="20">
                  <c:v>-91.722319713864024</c:v>
                </c:pt>
                <c:pt idx="21">
                  <c:v>-92.321911379689041</c:v>
                </c:pt>
                <c:pt idx="22">
                  <c:v>-92.89544572707284</c:v>
                </c:pt>
                <c:pt idx="23">
                  <c:v>-93.453569160721017</c:v>
                </c:pt>
                <c:pt idx="24">
                  <c:v>-94.001524687539145</c:v>
                </c:pt>
                <c:pt idx="25">
                  <c:v>-94.542154823098883</c:v>
                </c:pt>
                <c:pt idx="26">
                  <c:v>-95.07710293825707</c:v>
                </c:pt>
                <c:pt idx="27">
                  <c:v>-95.60735945923804</c:v>
                </c:pt>
                <c:pt idx="28">
                  <c:v>-96.133535077264668</c:v>
                </c:pt>
                <c:pt idx="29">
                  <c:v>-96.656007955047599</c:v>
                </c:pt>
                <c:pt idx="30">
                  <c:v>-97.175007925697599</c:v>
                </c:pt>
                <c:pt idx="31">
                  <c:v>-97.6906670821582</c:v>
                </c:pt>
                <c:pt idx="32">
                  <c:v>-98.203051456151258</c:v>
                </c:pt>
                <c:pt idx="33">
                  <c:v>-98.712181568341322</c:v>
                </c:pt>
                <c:pt idx="34">
                  <c:v>-99.218046172791517</c:v>
                </c:pt>
                <c:pt idx="35">
                  <c:v>-99.720611698462321</c:v>
                </c:pt>
                <c:pt idx="36">
                  <c:v>-100.21982888935739</c:v>
                </c:pt>
                <c:pt idx="37">
                  <c:v>-105.01250820138068</c:v>
                </c:pt>
                <c:pt idx="38">
                  <c:v>-109.39345129920085</c:v>
                </c:pt>
                <c:pt idx="39">
                  <c:v>-113.31384686804519</c:v>
                </c:pt>
                <c:pt idx="40">
                  <c:v>-116.7582326638662</c:v>
                </c:pt>
                <c:pt idx="41">
                  <c:v>-119.738512370678</c:v>
                </c:pt>
                <c:pt idx="42">
                  <c:v>-122.28452222812408</c:v>
                </c:pt>
                <c:pt idx="43">
                  <c:v>-124.43564718454724</c:v>
                </c:pt>
                <c:pt idx="44">
                  <c:v>-126.2346966626726</c:v>
                </c:pt>
                <c:pt idx="45">
                  <c:v>-127.72398699752964</c:v>
                </c:pt>
                <c:pt idx="46">
                  <c:v>-128.9431345783679</c:v>
                </c:pt>
                <c:pt idx="47">
                  <c:v>-129.92801474649147</c:v>
                </c:pt>
                <c:pt idx="48">
                  <c:v>-130.71044353527077</c:v>
                </c:pt>
                <c:pt idx="49">
                  <c:v>-131.31826967999135</c:v>
                </c:pt>
                <c:pt idx="50">
                  <c:v>-131.77567493063518</c:v>
                </c:pt>
                <c:pt idx="51">
                  <c:v>-132.10356065663794</c:v>
                </c:pt>
                <c:pt idx="52">
                  <c:v>-132.31995158853638</c:v>
                </c:pt>
                <c:pt idx="53">
                  <c:v>-132.4403804422553</c:v>
                </c:pt>
                <c:pt idx="54">
                  <c:v>-132.47823668902237</c:v>
                </c:pt>
                <c:pt idx="55">
                  <c:v>-130.23216872230526</c:v>
                </c:pt>
                <c:pt idx="56">
                  <c:v>-126.31483561551624</c:v>
                </c:pt>
                <c:pt idx="57">
                  <c:v>-122.44983029101381</c:v>
                </c:pt>
                <c:pt idx="58">
                  <c:v>-119.06093150365412</c:v>
                </c:pt>
                <c:pt idx="59">
                  <c:v>-116.19630288062785</c:v>
                </c:pt>
                <c:pt idx="60">
                  <c:v>-113.79882041686091</c:v>
                </c:pt>
                <c:pt idx="61">
                  <c:v>-111.79116925114525</c:v>
                </c:pt>
                <c:pt idx="62">
                  <c:v>-110.10169469610609</c:v>
                </c:pt>
                <c:pt idx="63">
                  <c:v>-108.67061171551168</c:v>
                </c:pt>
                <c:pt idx="64">
                  <c:v>-107.44991217930263</c:v>
                </c:pt>
                <c:pt idx="65">
                  <c:v>-106.40154932890715</c:v>
                </c:pt>
                <c:pt idx="66">
                  <c:v>-105.49542979186374</c:v>
                </c:pt>
                <c:pt idx="67">
                  <c:v>-104.7076688197273</c:v>
                </c:pt>
                <c:pt idx="68">
                  <c:v>-104.01919353776159</c:v>
                </c:pt>
                <c:pt idx="69">
                  <c:v>-103.41466154572292</c:v>
                </c:pt>
                <c:pt idx="70">
                  <c:v>-102.88163458571334</c:v>
                </c:pt>
                <c:pt idx="71">
                  <c:v>-102.40994918311949</c:v>
                </c:pt>
                <c:pt idx="72">
                  <c:v>-101.99123641247289</c:v>
                </c:pt>
                <c:pt idx="73">
                  <c:v>-99.617654866982662</c:v>
                </c:pt>
                <c:pt idx="74">
                  <c:v>-98.879555308790074</c:v>
                </c:pt>
                <c:pt idx="75">
                  <c:v>-98.833052331675688</c:v>
                </c:pt>
                <c:pt idx="76">
                  <c:v>-99.154260956590534</c:v>
                </c:pt>
                <c:pt idx="77">
                  <c:v>-99.704775264484411</c:v>
                </c:pt>
                <c:pt idx="78">
                  <c:v>-100.41701960552669</c:v>
                </c:pt>
                <c:pt idx="79">
                  <c:v>-101.25507343305796</c:v>
                </c:pt>
                <c:pt idx="80">
                  <c:v>-102.1987904932592</c:v>
                </c:pt>
                <c:pt idx="81">
                  <c:v>-103.23653139385068</c:v>
                </c:pt>
                <c:pt idx="82">
                  <c:v>-104.3615268459483</c:v>
                </c:pt>
                <c:pt idx="83">
                  <c:v>-105.56993204138342</c:v>
                </c:pt>
                <c:pt idx="84">
                  <c:v>-106.85973319928891</c:v>
                </c:pt>
                <c:pt idx="85">
                  <c:v>-108.23011137472527</c:v>
                </c:pt>
                <c:pt idx="86">
                  <c:v>-109.68106416191389</c:v>
                </c:pt>
                <c:pt idx="87">
                  <c:v>-111.21317844105698</c:v>
                </c:pt>
                <c:pt idx="88">
                  <c:v>-112.82749380577125</c:v>
                </c:pt>
                <c:pt idx="89">
                  <c:v>-114.52542088647706</c:v>
                </c:pt>
                <c:pt idx="90">
                  <c:v>-116.30869234180567</c:v>
                </c:pt>
                <c:pt idx="91">
                  <c:v>-139.38776900036527</c:v>
                </c:pt>
                <c:pt idx="92">
                  <c:v>-173.3182238680682</c:v>
                </c:pt>
                <c:pt idx="93">
                  <c:v>-211.80999135489037</c:v>
                </c:pt>
                <c:pt idx="94">
                  <c:v>-241.87208126508494</c:v>
                </c:pt>
                <c:pt idx="95">
                  <c:v>-262.35055312888829</c:v>
                </c:pt>
                <c:pt idx="96">
                  <c:v>-277.03607591588752</c:v>
                </c:pt>
                <c:pt idx="97">
                  <c:v>-288.395024327996</c:v>
                </c:pt>
                <c:pt idx="98">
                  <c:v>-297.69028745711762</c:v>
                </c:pt>
                <c:pt idx="99">
                  <c:v>-305.59116270359499</c:v>
                </c:pt>
                <c:pt idx="100">
                  <c:v>-312.48180696256486</c:v>
                </c:pt>
                <c:pt idx="101">
                  <c:v>-318.60067988944672</c:v>
                </c:pt>
                <c:pt idx="102">
                  <c:v>-324.10608053607689</c:v>
                </c:pt>
                <c:pt idx="103">
                  <c:v>-329.1090382334902</c:v>
                </c:pt>
                <c:pt idx="104">
                  <c:v>-333.69095529973356</c:v>
                </c:pt>
                <c:pt idx="105">
                  <c:v>-337.9136690995573</c:v>
                </c:pt>
                <c:pt idx="106">
                  <c:v>-341.82551429331238</c:v>
                </c:pt>
                <c:pt idx="107">
                  <c:v>-345.46515639300259</c:v>
                </c:pt>
                <c:pt idx="108">
                  <c:v>-348.86412065586308</c:v>
                </c:pt>
                <c:pt idx="109">
                  <c:v>-373.8242522916172</c:v>
                </c:pt>
                <c:pt idx="110">
                  <c:v>-389.23433254646181</c:v>
                </c:pt>
                <c:pt idx="111">
                  <c:v>-399.67524846390779</c:v>
                </c:pt>
                <c:pt idx="112">
                  <c:v>-407.17142786518832</c:v>
                </c:pt>
                <c:pt idx="113">
                  <c:v>-412.78722321531336</c:v>
                </c:pt>
                <c:pt idx="114">
                  <c:v>-417.13649686022791</c:v>
                </c:pt>
                <c:pt idx="115">
                  <c:v>-420.59627187162465</c:v>
                </c:pt>
                <c:pt idx="116">
                  <c:v>-423.40963804980879</c:v>
                </c:pt>
                <c:pt idx="117">
                  <c:v>-425.73968676306873</c:v>
                </c:pt>
                <c:pt idx="118">
                  <c:v>-427.69955631145706</c:v>
                </c:pt>
                <c:pt idx="119">
                  <c:v>-429.37000389220839</c:v>
                </c:pt>
                <c:pt idx="120">
                  <c:v>-430.81011088898117</c:v>
                </c:pt>
                <c:pt idx="121">
                  <c:v>-432.06403806899937</c:v>
                </c:pt>
                <c:pt idx="122">
                  <c:v>-433.16542098832002</c:v>
                </c:pt>
                <c:pt idx="123">
                  <c:v>-434.14030830353545</c:v>
                </c:pt>
                <c:pt idx="124">
                  <c:v>-435.00917370959934</c:v>
                </c:pt>
                <c:pt idx="125">
                  <c:v>-435.78832339028861</c:v>
                </c:pt>
                <c:pt idx="126">
                  <c:v>-436.49089971257604</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93.925640333451938</c:v>
                </c:pt>
                <c:pt idx="1">
                  <c:v>90.445395281684185</c:v>
                </c:pt>
                <c:pt idx="2">
                  <c:v>87.961280254745759</c:v>
                </c:pt>
                <c:pt idx="3">
                  <c:v>86.029895424672318</c:v>
                </c:pt>
                <c:pt idx="4">
                  <c:v>84.449991313053602</c:v>
                </c:pt>
                <c:pt idx="5">
                  <c:v>83.11331530267779</c:v>
                </c:pt>
                <c:pt idx="6">
                  <c:v>81.954958841944276</c:v>
                </c:pt>
                <c:pt idx="7">
                  <c:v>80.932940587576752</c:v>
                </c:pt>
                <c:pt idx="8">
                  <c:v>80.018545055120086</c:v>
                </c:pt>
                <c:pt idx="9">
                  <c:v>79.191265557370315</c:v>
                </c:pt>
                <c:pt idx="10">
                  <c:v>78.435947356376587</c:v>
                </c:pt>
                <c:pt idx="11">
                  <c:v>77.741074218316896</c:v>
                </c:pt>
                <c:pt idx="12">
                  <c:v>77.097689895110562</c:v>
                </c:pt>
                <c:pt idx="13">
                  <c:v>76.498691670308247</c:v>
                </c:pt>
                <c:pt idx="14">
                  <c:v>75.938351879848852</c:v>
                </c:pt>
                <c:pt idx="15">
                  <c:v>75.411984474952149</c:v>
                </c:pt>
                <c:pt idx="16">
                  <c:v>74.915706880960983</c:v>
                </c:pt>
                <c:pt idx="17">
                  <c:v>74.446266235656708</c:v>
                </c:pt>
                <c:pt idx="18">
                  <c:v>74.000910192411894</c:v>
                </c:pt>
                <c:pt idx="19">
                  <c:v>70.480657640819985</c:v>
                </c:pt>
                <c:pt idx="20">
                  <c:v>67.983635653599066</c:v>
                </c:pt>
                <c:pt idx="21">
                  <c:v>66.047555698358394</c:v>
                </c:pt>
                <c:pt idx="22">
                  <c:v>64.466457719468124</c:v>
                </c:pt>
                <c:pt idx="23">
                  <c:v>63.130461179073293</c:v>
                </c:pt>
                <c:pt idx="24">
                  <c:v>61.973968103260745</c:v>
                </c:pt>
                <c:pt idx="25">
                  <c:v>60.954659122091357</c:v>
                </c:pt>
                <c:pt idx="26">
                  <c:v>60.043632186091976</c:v>
                </c:pt>
                <c:pt idx="27">
                  <c:v>59.220266279537974</c:v>
                </c:pt>
                <c:pt idx="28">
                  <c:v>58.469329463365185</c:v>
                </c:pt>
                <c:pt idx="29">
                  <c:v>57.779248479473665</c:v>
                </c:pt>
                <c:pt idx="30">
                  <c:v>57.141021482543266</c:v>
                </c:pt>
                <c:pt idx="31">
                  <c:v>56.547506826844241</c:v>
                </c:pt>
                <c:pt idx="32">
                  <c:v>55.992941892966499</c:v>
                </c:pt>
                <c:pt idx="33">
                  <c:v>55.472608081597357</c:v>
                </c:pt>
                <c:pt idx="34">
                  <c:v>54.982591743166282</c:v>
                </c:pt>
                <c:pt idx="35">
                  <c:v>54.519609864530082</c:v>
                </c:pt>
                <c:pt idx="36">
                  <c:v>54.080880550147235</c:v>
                </c:pt>
                <c:pt idx="37">
                  <c:v>50.629893677705155</c:v>
                </c:pt>
                <c:pt idx="38">
                  <c:v>48.189611887121032</c:v>
                </c:pt>
                <c:pt idx="39">
                  <c:v>46.277980889709241</c:v>
                </c:pt>
                <c:pt idx="40">
                  <c:v>44.67842769334284</c:v>
                </c:pt>
                <c:pt idx="41">
                  <c:v>43.278531180575868</c:v>
                </c:pt>
                <c:pt idx="42">
                  <c:v>42.015587787768268</c:v>
                </c:pt>
                <c:pt idx="43">
                  <c:v>40.853057313805095</c:v>
                </c:pt>
                <c:pt idx="44">
                  <c:v>39.768862355566441</c:v>
                </c:pt>
                <c:pt idx="45">
                  <c:v>38.749141907019919</c:v>
                </c:pt>
                <c:pt idx="46">
                  <c:v>37.784790445703393</c:v>
                </c:pt>
                <c:pt idx="47">
                  <c:v>36.869500856653481</c:v>
                </c:pt>
                <c:pt idx="48">
                  <c:v>35.998643609733001</c:v>
                </c:pt>
                <c:pt idx="49">
                  <c:v>35.168618863140757</c:v>
                </c:pt>
                <c:pt idx="50">
                  <c:v>34.376478894533882</c:v>
                </c:pt>
                <c:pt idx="51">
                  <c:v>33.619706216222241</c:v>
                </c:pt>
                <c:pt idx="52">
                  <c:v>32.896081856727797</c:v>
                </c:pt>
                <c:pt idx="53">
                  <c:v>32.203606093616479</c:v>
                </c:pt>
                <c:pt idx="54">
                  <c:v>31.540449807463254</c:v>
                </c:pt>
                <c:pt idx="55">
                  <c:v>26.200562802267584</c:v>
                </c:pt>
                <c:pt idx="56">
                  <c:v>22.483626085030753</c:v>
                </c:pt>
                <c:pt idx="57">
                  <c:v>19.739748876825161</c:v>
                </c:pt>
                <c:pt idx="58">
                  <c:v>17.611927761539757</c:v>
                </c:pt>
                <c:pt idx="59">
                  <c:v>15.894803052918471</c:v>
                </c:pt>
                <c:pt idx="60">
                  <c:v>14.464482069742683</c:v>
                </c:pt>
                <c:pt idx="61">
                  <c:v>13.242745936114678</c:v>
                </c:pt>
                <c:pt idx="62">
                  <c:v>12.178097987921159</c:v>
                </c:pt>
                <c:pt idx="63">
                  <c:v>11.235327885216295</c:v>
                </c:pt>
                <c:pt idx="64">
                  <c:v>10.389537295186933</c:v>
                </c:pt>
                <c:pt idx="65">
                  <c:v>9.6225895672605422</c:v>
                </c:pt>
                <c:pt idx="66">
                  <c:v>8.9209245057544067</c:v>
                </c:pt>
                <c:pt idx="67">
                  <c:v>8.2741689319962468</c:v>
                </c:pt>
                <c:pt idx="68">
                  <c:v>7.6742265283503972</c:v>
                </c:pt>
                <c:pt idx="69">
                  <c:v>7.1146652400671133</c:v>
                </c:pt>
                <c:pt idx="70">
                  <c:v>6.5902946681926577</c:v>
                </c:pt>
                <c:pt idx="71">
                  <c:v>6.0968679402759385</c:v>
                </c:pt>
                <c:pt idx="72">
                  <c:v>5.6308670866982418</c:v>
                </c:pt>
                <c:pt idx="73">
                  <c:v>2.00094846782893</c:v>
                </c:pt>
                <c:pt idx="74">
                  <c:v>-0.53802350938234067</c:v>
                </c:pt>
                <c:pt idx="75">
                  <c:v>-2.4966298868309829</c:v>
                </c:pt>
                <c:pt idx="76">
                  <c:v>-4.0930109294571473</c:v>
                </c:pt>
                <c:pt idx="77">
                  <c:v>-5.4411925233045579</c:v>
                </c:pt>
                <c:pt idx="78">
                  <c:v>-6.6084363918586382</c:v>
                </c:pt>
                <c:pt idx="79">
                  <c:v>-7.6377824199893602</c:v>
                </c:pt>
                <c:pt idx="80">
                  <c:v>-8.5584389900613616</c:v>
                </c:pt>
                <c:pt idx="81">
                  <c:v>-9.3911319310571013</c:v>
                </c:pt>
                <c:pt idx="82">
                  <c:v>-10.151093301804799</c:v>
                </c:pt>
                <c:pt idx="83">
                  <c:v>-10.849841049864182</c:v>
                </c:pt>
                <c:pt idx="84">
                  <c:v>-11.496294262951485</c:v>
                </c:pt>
                <c:pt idx="85">
                  <c:v>-12.097502241524721</c:v>
                </c:pt>
                <c:pt idx="86">
                  <c:v>-12.659138543857702</c:v>
                </c:pt>
                <c:pt idx="87">
                  <c:v>-13.185846416693726</c:v>
                </c:pt>
                <c:pt idx="88">
                  <c:v>-13.681487186724164</c:v>
                </c:pt>
                <c:pt idx="89">
                  <c:v>-14.149323552354916</c:v>
                </c:pt>
                <c:pt idx="90">
                  <c:v>-14.592158198241144</c:v>
                </c:pt>
                <c:pt idx="91">
                  <c:v>-18.09793677828727</c:v>
                </c:pt>
                <c:pt idx="92">
                  <c:v>-21.246207000547248</c:v>
                </c:pt>
                <c:pt idx="93">
                  <c:v>-25.888324286338534</c:v>
                </c:pt>
                <c:pt idx="94">
                  <c:v>-31.757513389898332</c:v>
                </c:pt>
                <c:pt idx="95">
                  <c:v>-37.511335163441146</c:v>
                </c:pt>
                <c:pt idx="96">
                  <c:v>-42.709924226607484</c:v>
                </c:pt>
                <c:pt idx="97">
                  <c:v>-47.361852415548171</c:v>
                </c:pt>
                <c:pt idx="98">
                  <c:v>-51.55465541303797</c:v>
                </c:pt>
                <c:pt idx="99">
                  <c:v>-55.369987768423599</c:v>
                </c:pt>
                <c:pt idx="100">
                  <c:v>-58.87234130845674</c:v>
                </c:pt>
                <c:pt idx="101">
                  <c:v>-62.111360911912392</c:v>
                </c:pt>
                <c:pt idx="102">
                  <c:v>-65.125550021147006</c:v>
                </c:pt>
                <c:pt idx="103">
                  <c:v>-67.945258815471291</c:v>
                </c:pt>
                <c:pt idx="104">
                  <c:v>-70.59483474291018</c:v>
                </c:pt>
                <c:pt idx="105">
                  <c:v>-73.094135871937183</c:v>
                </c:pt>
                <c:pt idx="106">
                  <c:v>-75.459601059729607</c:v>
                </c:pt>
                <c:pt idx="107">
                  <c:v>-77.705017709895486</c:v>
                </c:pt>
                <c:pt idx="108">
                  <c:v>-79.84208232239402</c:v>
                </c:pt>
                <c:pt idx="109">
                  <c:v>-96.937478904313167</c:v>
                </c:pt>
                <c:pt idx="110">
                  <c:v>-109.22959765795065</c:v>
                </c:pt>
                <c:pt idx="111">
                  <c:v>-118.82274940731082</c:v>
                </c:pt>
                <c:pt idx="112">
                  <c:v>-126.68645992517865</c:v>
                </c:pt>
                <c:pt idx="113">
                  <c:v>-133.34788556487226</c:v>
                </c:pt>
                <c:pt idx="114">
                  <c:v>-139.12531561686922</c:v>
                </c:pt>
                <c:pt idx="115">
                  <c:v>-144.22556229400411</c:v>
                </c:pt>
                <c:pt idx="116">
                  <c:v>-148.79053577363828</c:v>
                </c:pt>
                <c:pt idx="117">
                  <c:v>-152.92180878939996</c:v>
                </c:pt>
                <c:pt idx="118">
                  <c:v>-156.69457059663929</c:v>
                </c:pt>
                <c:pt idx="119">
                  <c:v>-160.16603059954133</c:v>
                </c:pt>
                <c:pt idx="120">
                  <c:v>-163.3807245566052</c:v>
                </c:pt>
                <c:pt idx="121">
                  <c:v>-166.3739987358035</c:v>
                </c:pt>
                <c:pt idx="122">
                  <c:v>-169.1743742733525</c:v>
                </c:pt>
                <c:pt idx="123">
                  <c:v>-171.80519737657033</c:v>
                </c:pt>
                <c:pt idx="124">
                  <c:v>-174.28581939211429</c:v>
                </c:pt>
                <c:pt idx="125">
                  <c:v>-176.63245875291062</c:v>
                </c:pt>
                <c:pt idx="126">
                  <c:v>-178.85884242054067</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18940.469776327958</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Bode!$BX$7</c:f>
              <c:numCache>
                <c:formatCode>General</c:formatCode>
                <c:ptCount val="1"/>
                <c:pt idx="0">
                  <c:v>609.78918085497298</c:v>
                </c:pt>
              </c:numCache>
            </c:numRef>
          </c:xVal>
          <c:yVal>
            <c:numRef>
              <c:f>Bode!$BX$8</c:f>
              <c:numCache>
                <c:formatCode>0.00</c:formatCode>
                <c:ptCount val="1"/>
                <c:pt idx="0">
                  <c:v>37.605591739265726</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Bode!$BS$8</c:f>
              <c:numCache>
                <c:formatCode>_(* #,##0.0_);_(* \(#,##0.0\);_(* "-"?_);_(@_)</c:formatCode>
                <c:ptCount val="1"/>
                <c:pt idx="0">
                  <c:v>2247.9516412874</c:v>
                </c:pt>
              </c:numCache>
            </c:numRef>
          </c:xVal>
          <c:yVal>
            <c:numRef>
              <c:f>Bode!$BT$8</c:f>
              <c:numCache>
                <c:formatCode>_(* #,##0.0_);_(* \(#,##0.0\);_(* "-"?_);_(@_)</c:formatCode>
                <c:ptCount val="1"/>
                <c:pt idx="0">
                  <c:v>7.4023265610413711</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-82.495895763337586</c:v>
                </c:pt>
                <c:pt idx="1">
                  <c:v>-84.997938901952239</c:v>
                </c:pt>
                <c:pt idx="2">
                  <c:v>-86.261773299826316</c:v>
                </c:pt>
                <c:pt idx="3">
                  <c:v>-87.025909757219281</c:v>
                </c:pt>
                <c:pt idx="4">
                  <c:v>-87.539280149284949</c:v>
                </c:pt>
                <c:pt idx="5">
                  <c:v>-87.909085548446882</c:v>
                </c:pt>
                <c:pt idx="6">
                  <c:v>-88.189064309709551</c:v>
                </c:pt>
                <c:pt idx="7">
                  <c:v>-88.409117158565508</c:v>
                </c:pt>
                <c:pt idx="8">
                  <c:v>-88.587202564434719</c:v>
                </c:pt>
                <c:pt idx="9">
                  <c:v>-88.734756585449787</c:v>
                </c:pt>
                <c:pt idx="10">
                  <c:v>-88.859407099205953</c:v>
                </c:pt>
                <c:pt idx="11">
                  <c:v>-88.966436948642297</c:v>
                </c:pt>
                <c:pt idx="12">
                  <c:v>-89.059620711806772</c:v>
                </c:pt>
                <c:pt idx="13">
                  <c:v>-89.141727075372671</c:v>
                </c:pt>
                <c:pt idx="14">
                  <c:v>-89.214832969216431</c:v>
                </c:pt>
                <c:pt idx="15">
                  <c:v>-89.280526907428197</c:v>
                </c:pt>
                <c:pt idx="16">
                  <c:v>-89.34004459061083</c:v>
                </c:pt>
                <c:pt idx="17">
                  <c:v>-89.39436170970248</c:v>
                </c:pt>
                <c:pt idx="18">
                  <c:v>-89.444258922172679</c:v>
                </c:pt>
                <c:pt idx="19">
                  <c:v>-89.797492199782937</c:v>
                </c:pt>
                <c:pt idx="20">
                  <c:v>-90.025241893640128</c:v>
                </c:pt>
                <c:pt idx="21">
                  <c:v>-90.203369726062746</c:v>
                </c:pt>
                <c:pt idx="22">
                  <c:v>-90.357297172787639</c:v>
                </c:pt>
                <c:pt idx="23">
                  <c:v>-90.498028674741605</c:v>
                </c:pt>
                <c:pt idx="24">
                  <c:v>-90.631158158073788</c:v>
                </c:pt>
                <c:pt idx="25">
                  <c:v>-90.759870888769868</c:v>
                </c:pt>
                <c:pt idx="26">
                  <c:v>-90.886143826049519</c:v>
                </c:pt>
                <c:pt idx="27">
                  <c:v>-91.011290893943738</c:v>
                </c:pt>
                <c:pt idx="28">
                  <c:v>-91.136235332414543</c:v>
                </c:pt>
                <c:pt idx="29">
                  <c:v>-91.261656119738149</c:v>
                </c:pt>
                <c:pt idx="30">
                  <c:v>-91.388071465247847</c:v>
                </c:pt>
                <c:pt idx="31">
                  <c:v>-91.51588877316064</c:v>
                </c:pt>
                <c:pt idx="32">
                  <c:v>-91.645435778216481</c:v>
                </c:pt>
                <c:pt idx="33">
                  <c:v>-91.776980635691459</c:v>
                </c:pt>
                <c:pt idx="34">
                  <c:v>-91.910745288869762</c:v>
                </c:pt>
                <c:pt idx="35">
                  <c:v>-92.046914615935052</c:v>
                </c:pt>
                <c:pt idx="36">
                  <c:v>-92.185642856351507</c:v>
                </c:pt>
                <c:pt idx="37">
                  <c:v>-93.732352537482313</c:v>
                </c:pt>
                <c:pt idx="38">
                  <c:v>-95.574019198622295</c:v>
                </c:pt>
                <c:pt idx="39">
                  <c:v>-97.650761931061027</c:v>
                </c:pt>
                <c:pt idx="40">
                  <c:v>-99.863167901160551</c:v>
                </c:pt>
                <c:pt idx="41">
                  <c:v>-102.11056380033514</c:v>
                </c:pt>
                <c:pt idx="42">
                  <c:v>-104.31015537032719</c:v>
                </c:pt>
                <c:pt idx="43">
                  <c:v>-106.40256895034624</c:v>
                </c:pt>
                <c:pt idx="44">
                  <c:v>-108.35015972133313</c:v>
                </c:pt>
                <c:pt idx="45">
                  <c:v>-110.13260642477388</c:v>
                </c:pt>
                <c:pt idx="46">
                  <c:v>-111.74219866804732</c:v>
                </c:pt>
                <c:pt idx="47">
                  <c:v>-113.17980585682625</c:v>
                </c:pt>
                <c:pt idx="48">
                  <c:v>-114.4517759477968</c:v>
                </c:pt>
                <c:pt idx="49">
                  <c:v>-115.56769512788603</c:v>
                </c:pt>
                <c:pt idx="50">
                  <c:v>-116.53883907452783</c:v>
                </c:pt>
                <c:pt idx="51">
                  <c:v>-117.37714061374821</c:v>
                </c:pt>
                <c:pt idx="52">
                  <c:v>-118.09452629320285</c:v>
                </c:pt>
                <c:pt idx="53">
                  <c:v>-118.70250864904816</c:v>
                </c:pt>
                <c:pt idx="54">
                  <c:v>-119.21195155579855</c:v>
                </c:pt>
                <c:pt idx="55">
                  <c:v>-120.72359439188286</c:v>
                </c:pt>
                <c:pt idx="56">
                  <c:v>-119.22482157809306</c:v>
                </c:pt>
                <c:pt idx="57">
                  <c:v>-117.01414975141688</c:v>
                </c:pt>
                <c:pt idx="58">
                  <c:v>-114.83844226421519</c:v>
                </c:pt>
                <c:pt idx="59">
                  <c:v>-112.91571814942061</c:v>
                </c:pt>
                <c:pt idx="60">
                  <c:v>-111.28315962125451</c:v>
                </c:pt>
                <c:pt idx="61">
                  <c:v>-109.91917469895468</c:v>
                </c:pt>
                <c:pt idx="62">
                  <c:v>-108.78689132696238</c:v>
                </c:pt>
                <c:pt idx="63">
                  <c:v>-107.84926381961886</c:v>
                </c:pt>
                <c:pt idx="64">
                  <c:v>-107.07373770917599</c:v>
                </c:pt>
                <c:pt idx="65">
                  <c:v>-106.43311747289103</c:v>
                </c:pt>
                <c:pt idx="66">
                  <c:v>-105.90514401128662</c:v>
                </c:pt>
                <c:pt idx="67">
                  <c:v>-105.47172527410716</c:v>
                </c:pt>
                <c:pt idx="68">
                  <c:v>-105.11816097709543</c:v>
                </c:pt>
                <c:pt idx="69">
                  <c:v>-104.83246946594087</c:v>
                </c:pt>
                <c:pt idx="70">
                  <c:v>-104.60483688539479</c:v>
                </c:pt>
                <c:pt idx="71">
                  <c:v>-104.42717819568371</c:v>
                </c:pt>
                <c:pt idx="72">
                  <c:v>-104.29279129504341</c:v>
                </c:pt>
                <c:pt idx="73">
                  <c:v>-104.43737196163021</c:v>
                </c:pt>
                <c:pt idx="74">
                  <c:v>-105.92445857211578</c:v>
                </c:pt>
                <c:pt idx="75">
                  <c:v>-107.96957968818077</c:v>
                </c:pt>
                <c:pt idx="76">
                  <c:v>-110.29895260399661</c:v>
                </c:pt>
                <c:pt idx="77">
                  <c:v>-112.79319419063043</c:v>
                </c:pt>
                <c:pt idx="78">
                  <c:v>-115.39237580107513</c:v>
                </c:pt>
                <c:pt idx="79">
                  <c:v>-118.06345083912318</c:v>
                </c:pt>
                <c:pt idx="80">
                  <c:v>-120.78702449943304</c:v>
                </c:pt>
                <c:pt idx="81">
                  <c:v>-123.55128884987622</c:v>
                </c:pt>
                <c:pt idx="82">
                  <c:v>-126.34897794806466</c:v>
                </c:pt>
                <c:pt idx="83">
                  <c:v>-129.17572715198412</c:v>
                </c:pt>
                <c:pt idx="84">
                  <c:v>-132.02913772680898</c:v>
                </c:pt>
                <c:pt idx="85">
                  <c:v>-134.90821836848539</c:v>
                </c:pt>
                <c:pt idx="86">
                  <c:v>-137.81303851918915</c:v>
                </c:pt>
                <c:pt idx="87">
                  <c:v>-140.74450553643598</c:v>
                </c:pt>
                <c:pt idx="88">
                  <c:v>-143.70421645368697</c:v>
                </c:pt>
                <c:pt idx="89">
                  <c:v>-146.69435539412225</c:v>
                </c:pt>
                <c:pt idx="90">
                  <c:v>-149.71761878768501</c:v>
                </c:pt>
                <c:pt idx="91">
                  <c:v>-182.61962090502519</c:v>
                </c:pt>
                <c:pt idx="92">
                  <c:v>-222.73668118362178</c:v>
                </c:pt>
                <c:pt idx="93">
                  <c:v>-265.05753265661502</c:v>
                </c:pt>
                <c:pt idx="94">
                  <c:v>-297.43949970927241</c:v>
                </c:pt>
                <c:pt idx="95">
                  <c:v>-319.25003383356841</c:v>
                </c:pt>
                <c:pt idx="96">
                  <c:v>-334.60164473863688</c:v>
                </c:pt>
                <c:pt idx="97">
                  <c:v>-346.16516093897644</c:v>
                </c:pt>
                <c:pt idx="98">
                  <c:v>-355.33788179859732</c:v>
                </c:pt>
                <c:pt idx="99">
                  <c:v>-362.88045585809368</c:v>
                </c:pt>
                <c:pt idx="100">
                  <c:v>-369.24102166606292</c:v>
                </c:pt>
                <c:pt idx="101">
                  <c:v>-374.70404580618566</c:v>
                </c:pt>
                <c:pt idx="102">
                  <c:v>-379.46166418028736</c:v>
                </c:pt>
                <c:pt idx="103">
                  <c:v>-383.6502704365663</c:v>
                </c:pt>
                <c:pt idx="104">
                  <c:v>-387.37058255608838</c:v>
                </c:pt>
                <c:pt idx="105">
                  <c:v>-390.699336760216</c:v>
                </c:pt>
                <c:pt idx="106">
                  <c:v>-393.69647579610466</c:v>
                </c:pt>
                <c:pt idx="107">
                  <c:v>-396.40977740547817</c:v>
                </c:pt>
                <c:pt idx="108">
                  <c:v>-398.87795631453668</c:v>
                </c:pt>
                <c:pt idx="109">
                  <c:v>-415.09889357112002</c:v>
                </c:pt>
                <c:pt idx="110">
                  <c:v>-423.57445948088008</c:v>
                </c:pt>
                <c:pt idx="111">
                  <c:v>-428.75977928118533</c:v>
                </c:pt>
                <c:pt idx="112">
                  <c:v>-432.25157736274014</c:v>
                </c:pt>
                <c:pt idx="113">
                  <c:v>-434.76012876954678</c:v>
                </c:pt>
                <c:pt idx="114">
                  <c:v>-436.64820763899559</c:v>
                </c:pt>
                <c:pt idx="115">
                  <c:v>-438.12004284757921</c:v>
                </c:pt>
                <c:pt idx="116">
                  <c:v>-439.29925478055782</c:v>
                </c:pt>
                <c:pt idx="117">
                  <c:v>-440.26499558642229</c:v>
                </c:pt>
                <c:pt idx="118">
                  <c:v>-441.07026903131236</c:v>
                </c:pt>
                <c:pt idx="119">
                  <c:v>-441.75189264656808</c:v>
                </c:pt>
                <c:pt idx="120">
                  <c:v>-442.33623214028671</c:v>
                </c:pt>
                <c:pt idx="121">
                  <c:v>-442.84266128455727</c:v>
                </c:pt>
                <c:pt idx="122">
                  <c:v>-443.28573378003904</c:v>
                </c:pt>
                <c:pt idx="123">
                  <c:v>-443.67659345828861</c:v>
                </c:pt>
                <c:pt idx="124">
                  <c:v>-444.02391705632118</c:v>
                </c:pt>
                <c:pt idx="125">
                  <c:v>-444.33456075898187</c:v>
                </c:pt>
                <c:pt idx="126">
                  <c:v>-444.61401364485528</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49.906079995721683</c:v>
                </c:pt>
                <c:pt idx="2">
                  <c:v>66.438471617588149</c:v>
                </c:pt>
                <c:pt idx="3">
                  <c:v>74.718034672660835</c:v>
                </c:pt>
                <c:pt idx="4">
                  <c:v>79.68170992428449</c:v>
                </c:pt>
                <c:pt idx="5">
                  <c:v>82.988417912769492</c:v>
                </c:pt>
                <c:pt idx="6">
                  <c:v>85.348646079240368</c:v>
                </c:pt>
                <c:pt idx="7">
                  <c:v>87.117481248743985</c:v>
                </c:pt>
                <c:pt idx="8">
                  <c:v>88.492131925278017</c:v>
                </c:pt>
                <c:pt idx="9">
                  <c:v>89.590895340523048</c:v>
                </c:pt>
                <c:pt idx="10">
                  <c:v>90.489037733597598</c:v>
                </c:pt>
                <c:pt idx="11">
                  <c:v>91.236729209559186</c:v>
                </c:pt>
                <c:pt idx="12">
                  <c:v>91.868698721564229</c:v>
                </c:pt>
                <c:pt idx="13">
                  <c:v>92.409750159457687</c:v>
                </c:pt>
                <c:pt idx="14">
                  <c:v>92.878071483317242</c:v>
                </c:pt>
                <c:pt idx="15">
                  <c:v>93.287302657952949</c:v>
                </c:pt>
                <c:pt idx="16">
                  <c:v>93.647873576516886</c:v>
                </c:pt>
                <c:pt idx="17">
                  <c:v>93.967895922058389</c:v>
                </c:pt>
                <c:pt idx="18">
                  <c:v>94.253773336228278</c:v>
                </c:pt>
                <c:pt idx="19">
                  <c:v>94.510628505042817</c:v>
                </c:pt>
                <c:pt idx="20">
                  <c:v>94.742608199618928</c:v>
                </c:pt>
                <c:pt idx="21">
                  <c:v>94.953105110624591</c:v>
                </c:pt>
                <c:pt idx="22">
                  <c:v>95.144921803985341</c:v>
                </c:pt>
                <c:pt idx="23">
                  <c:v>95.3203936816316</c:v>
                </c:pt>
                <c:pt idx="24">
                  <c:v>95.481482427497284</c:v>
                </c:pt>
                <c:pt idx="25">
                  <c:v>95.629847886127536</c:v>
                </c:pt>
                <c:pt idx="26">
                  <c:v>95.766903966172862</c:v>
                </c:pt>
                <c:pt idx="27">
                  <c:v>95.893862563051982</c:v>
                </c:pt>
                <c:pt idx="28">
                  <c:v>96.011768393060336</c:v>
                </c:pt>
                <c:pt idx="29">
                  <c:v>96.121526859836635</c:v>
                </c:pt>
                <c:pt idx="30">
                  <c:v>96.223926526705057</c:v>
                </c:pt>
                <c:pt idx="31">
                  <c:v>96.319657374988296</c:v>
                </c:pt>
                <c:pt idx="32">
                  <c:v>96.409325742271932</c:v>
                </c:pt>
                <c:pt idx="33">
                  <c:v>96.493466624230649</c:v>
                </c:pt>
                <c:pt idx="34">
                  <c:v>96.572553867357058</c:v>
                </c:pt>
                <c:pt idx="35">
                  <c:v>96.647008662735644</c:v>
                </c:pt>
                <c:pt idx="36">
                  <c:v>96.717206662316528</c:v>
                </c:pt>
                <c:pt idx="37">
                  <c:v>96.78348397146253</c:v>
                </c:pt>
                <c:pt idx="38">
                  <c:v>96.846142219482388</c:v>
                </c:pt>
                <c:pt idx="39">
                  <c:v>96.905452869516822</c:v>
                </c:pt>
                <c:pt idx="40">
                  <c:v>96.96166089765515</c:v>
                </c:pt>
                <c:pt idx="41">
                  <c:v>97.01498794641968</c:v>
                </c:pt>
                <c:pt idx="42">
                  <c:v>97.065635038192738</c:v>
                </c:pt>
                <c:pt idx="43">
                  <c:v>97.113784918601169</c:v>
                </c:pt>
                <c:pt idx="44">
                  <c:v>97.159604087425222</c:v>
                </c:pt>
                <c:pt idx="45">
                  <c:v>97.203244564585631</c:v>
                </c:pt>
                <c:pt idx="46">
                  <c:v>97.244845430668775</c:v>
                </c:pt>
                <c:pt idx="47">
                  <c:v>97.284534174871823</c:v>
                </c:pt>
                <c:pt idx="48">
                  <c:v>97.322427877881609</c:v>
                </c:pt>
                <c:pt idx="49">
                  <c:v>97.358634252797899</c:v>
                </c:pt>
                <c:pt idx="50">
                  <c:v>97.393252563586486</c:v>
                </c:pt>
                <c:pt idx="51">
                  <c:v>97.426374437549995</c:v>
                </c:pt>
                <c:pt idx="52">
                  <c:v>97.458084585814333</c:v>
                </c:pt>
                <c:pt idx="53">
                  <c:v>97.488461443756123</c:v>
                </c:pt>
                <c:pt idx="54">
                  <c:v>97.517577741560658</c:v>
                </c:pt>
                <c:pt idx="55">
                  <c:v>97.54550101364481</c:v>
                </c:pt>
                <c:pt idx="56">
                  <c:v>97.572294054453067</c:v>
                </c:pt>
                <c:pt idx="57">
                  <c:v>97.598015327099517</c:v>
                </c:pt>
                <c:pt idx="58">
                  <c:v>97.622719330450252</c:v>
                </c:pt>
                <c:pt idx="59">
                  <c:v>97.646456929495628</c:v>
                </c:pt>
                <c:pt idx="60">
                  <c:v>97.66927565322473</c:v>
                </c:pt>
                <c:pt idx="61">
                  <c:v>97.69121996367177</c:v>
                </c:pt>
                <c:pt idx="62">
                  <c:v>97.712331499337537</c:v>
                </c:pt>
                <c:pt idx="63">
                  <c:v>97.73264929578869</c:v>
                </c:pt>
                <c:pt idx="64">
                  <c:v>97.752209985893074</c:v>
                </c:pt>
                <c:pt idx="65">
                  <c:v>97.771047981850728</c:v>
                </c:pt>
                <c:pt idx="66">
                  <c:v>97.789195640922628</c:v>
                </c:pt>
                <c:pt idx="67">
                  <c:v>97.806683416535819</c:v>
                </c:pt>
                <c:pt idx="68">
                  <c:v>97.823539996247945</c:v>
                </c:pt>
                <c:pt idx="69">
                  <c:v>97.839792427885783</c:v>
                </c:pt>
                <c:pt idx="70">
                  <c:v>97.855466235023641</c:v>
                </c:pt>
                <c:pt idx="71">
                  <c:v>97.870585522838098</c:v>
                </c:pt>
                <c:pt idx="72">
                  <c:v>97.885173075261662</c:v>
                </c:pt>
                <c:pt idx="73">
                  <c:v>97.899250444259081</c:v>
                </c:pt>
                <c:pt idx="74">
                  <c:v>97.912838031960845</c:v>
                </c:pt>
                <c:pt idx="75">
                  <c:v>97.925955166312434</c:v>
                </c:pt>
                <c:pt idx="76">
                  <c:v>97.938620170828187</c:v>
                </c:pt>
                <c:pt idx="77">
                  <c:v>97.950850428979621</c:v>
                </c:pt>
                <c:pt idx="78">
                  <c:v>97.962662443692921</c:v>
                </c:pt>
                <c:pt idx="79">
                  <c:v>97.974071892384018</c:v>
                </c:pt>
                <c:pt idx="80">
                  <c:v>97.985093677916936</c:v>
                </c:pt>
                <c:pt idx="81">
                  <c:v>97.995741975832999</c:v>
                </c:pt>
                <c:pt idx="82">
                  <c:v>98.00603027816598</c:v>
                </c:pt>
                <c:pt idx="83">
                  <c:v>98.015971434127323</c:v>
                </c:pt>
                <c:pt idx="84">
                  <c:v>98.025577687919323</c:v>
                </c:pt>
                <c:pt idx="85">
                  <c:v>98.034860713910049</c:v>
                </c:pt>
                <c:pt idx="86">
                  <c:v>98.043831649382327</c:v>
                </c:pt>
                <c:pt idx="87">
                  <c:v>98.05250112504973</c:v>
                </c:pt>
                <c:pt idx="88">
                  <c:v>98.060879293515086</c:v>
                </c:pt>
                <c:pt idx="89">
                  <c:v>98.06897585583188</c:v>
                </c:pt>
                <c:pt idx="90">
                  <c:v>98.07680008631398</c:v>
                </c:pt>
                <c:pt idx="91">
                  <c:v>98.084360855727596</c:v>
                </c:pt>
                <c:pt idx="92">
                  <c:v>98.091666652986504</c:v>
                </c:pt>
                <c:pt idx="93">
                  <c:v>98.098725605462775</c:v>
                </c:pt>
                <c:pt idx="94">
                  <c:v>98.105545498014408</c:v>
                </c:pt>
                <c:pt idx="95">
                  <c:v>98.112133790823705</c:v>
                </c:pt>
                <c:pt idx="96">
                  <c:v>98.118497636132361</c:v>
                </c:pt>
                <c:pt idx="97">
                  <c:v>98.124643893951571</c:v>
                </c:pt>
                <c:pt idx="98">
                  <c:v>98.130579146820281</c:v>
                </c:pt>
                <c:pt idx="99">
                  <c:v>98.13630971367769</c:v>
                </c:pt>
                <c:pt idx="100">
                  <c:v>98.141841662911645</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1.6000271795529095</c:v>
                </c:pt>
                <c:pt idx="1">
                  <c:v>1.6000781567787634</c:v>
                </c:pt>
                <c:pt idx="2">
                  <c:v>1.600231083861092</c:v>
                </c:pt>
                <c:pt idx="3">
                  <c:v>1.6004859607998956</c:v>
                </c:pt>
                <c:pt idx="4">
                  <c:v>1.6008427875951736</c:v>
                </c:pt>
                <c:pt idx="5">
                  <c:v>1.6013015642469266</c:v>
                </c:pt>
                <c:pt idx="6">
                  <c:v>1.6018622907551543</c:v>
                </c:pt>
                <c:pt idx="7">
                  <c:v>1.6025249671198569</c:v>
                </c:pt>
                <c:pt idx="8">
                  <c:v>1.603289593341034</c:v>
                </c:pt>
                <c:pt idx="9">
                  <c:v>1.6041561694186861</c:v>
                </c:pt>
                <c:pt idx="10">
                  <c:v>1.6051246953528129</c:v>
                </c:pt>
                <c:pt idx="11">
                  <c:v>1.6061951711434146</c:v>
                </c:pt>
                <c:pt idx="12">
                  <c:v>1.6073675967904908</c:v>
                </c:pt>
                <c:pt idx="13">
                  <c:v>1.6086419722940419</c:v>
                </c:pt>
                <c:pt idx="14">
                  <c:v>1.6100182976540678</c:v>
                </c:pt>
                <c:pt idx="15">
                  <c:v>1.6114965728705684</c:v>
                </c:pt>
                <c:pt idx="16">
                  <c:v>1.6130767979435436</c:v>
                </c:pt>
                <c:pt idx="17">
                  <c:v>1.6147589728729939</c:v>
                </c:pt>
                <c:pt idx="18">
                  <c:v>1.6165430976589186</c:v>
                </c:pt>
                <c:pt idx="19">
                  <c:v>1.6184291723013184</c:v>
                </c:pt>
                <c:pt idx="20">
                  <c:v>1.6204171968001928</c:v>
                </c:pt>
                <c:pt idx="21">
                  <c:v>1.6225071711555419</c:v>
                </c:pt>
                <c:pt idx="22">
                  <c:v>1.6246990953673659</c:v>
                </c:pt>
                <c:pt idx="23">
                  <c:v>1.6269929694356646</c:v>
                </c:pt>
                <c:pt idx="24">
                  <c:v>1.6293887933604381</c:v>
                </c:pt>
                <c:pt idx="25">
                  <c:v>1.6318865671416862</c:v>
                </c:pt>
                <c:pt idx="26">
                  <c:v>1.6344862907794093</c:v>
                </c:pt>
                <c:pt idx="27">
                  <c:v>1.6371879642736071</c:v>
                </c:pt>
                <c:pt idx="28">
                  <c:v>1.6399915876242797</c:v>
                </c:pt>
                <c:pt idx="29">
                  <c:v>1.6428971608314269</c:v>
                </c:pt>
                <c:pt idx="30">
                  <c:v>1.6459046838950488</c:v>
                </c:pt>
                <c:pt idx="31">
                  <c:v>1.6490141568151457</c:v>
                </c:pt>
                <c:pt idx="32">
                  <c:v>1.6522255795917173</c:v>
                </c:pt>
                <c:pt idx="33">
                  <c:v>1.6555389522247637</c:v>
                </c:pt>
                <c:pt idx="34">
                  <c:v>1.6589542747142847</c:v>
                </c:pt>
                <c:pt idx="35">
                  <c:v>1.6624715470602807</c:v>
                </c:pt>
                <c:pt idx="36">
                  <c:v>1.6660907692627513</c:v>
                </c:pt>
                <c:pt idx="37">
                  <c:v>1.6698119413216965</c:v>
                </c:pt>
                <c:pt idx="38">
                  <c:v>1.6736350632371169</c:v>
                </c:pt>
                <c:pt idx="39">
                  <c:v>1.6775601350090117</c:v>
                </c:pt>
                <c:pt idx="40">
                  <c:v>1.6815871566373815</c:v>
                </c:pt>
                <c:pt idx="41">
                  <c:v>1.6857161281222257</c:v>
                </c:pt>
                <c:pt idx="42">
                  <c:v>1.6899470494635451</c:v>
                </c:pt>
                <c:pt idx="43">
                  <c:v>1.694279920661339</c:v>
                </c:pt>
                <c:pt idx="44">
                  <c:v>1.6987147417156079</c:v>
                </c:pt>
                <c:pt idx="45">
                  <c:v>1.7032515126263512</c:v>
                </c:pt>
                <c:pt idx="46">
                  <c:v>1.7078902333935695</c:v>
                </c:pt>
                <c:pt idx="47">
                  <c:v>1.7126309040172625</c:v>
                </c:pt>
                <c:pt idx="48">
                  <c:v>1.7174735244974304</c:v>
                </c:pt>
                <c:pt idx="49">
                  <c:v>1.7224180948340728</c:v>
                </c:pt>
                <c:pt idx="50">
                  <c:v>1.7274646150271902</c:v>
                </c:pt>
                <c:pt idx="51">
                  <c:v>1.7326130850767822</c:v>
                </c:pt>
                <c:pt idx="52">
                  <c:v>1.7378635049828492</c:v>
                </c:pt>
                <c:pt idx="53">
                  <c:v>1.7432158747453907</c:v>
                </c:pt>
                <c:pt idx="54">
                  <c:v>1.7486701943644072</c:v>
                </c:pt>
                <c:pt idx="55">
                  <c:v>1.7542264638398983</c:v>
                </c:pt>
                <c:pt idx="56">
                  <c:v>1.7598846831718642</c:v>
                </c:pt>
                <c:pt idx="57">
                  <c:v>1.7656448523603048</c:v>
                </c:pt>
                <c:pt idx="58">
                  <c:v>1.7715069714052203</c:v>
                </c:pt>
                <c:pt idx="59">
                  <c:v>1.7774710403066105</c:v>
                </c:pt>
                <c:pt idx="60">
                  <c:v>1.7835370590644755</c:v>
                </c:pt>
                <c:pt idx="61">
                  <c:v>1.7897050276788151</c:v>
                </c:pt>
                <c:pt idx="62">
                  <c:v>1.7959749461496295</c:v>
                </c:pt>
                <c:pt idx="63">
                  <c:v>1.8023468144769188</c:v>
                </c:pt>
                <c:pt idx="64">
                  <c:v>1.8088206326606828</c:v>
                </c:pt>
                <c:pt idx="65">
                  <c:v>1.8153964007009216</c:v>
                </c:pt>
                <c:pt idx="66">
                  <c:v>1.822074118597635</c:v>
                </c:pt>
                <c:pt idx="67">
                  <c:v>1.8288537863508234</c:v>
                </c:pt>
                <c:pt idx="68">
                  <c:v>1.8357354039604865</c:v>
                </c:pt>
                <c:pt idx="69">
                  <c:v>1.8427189714266243</c:v>
                </c:pt>
                <c:pt idx="70">
                  <c:v>1.8498044887492369</c:v>
                </c:pt>
                <c:pt idx="71">
                  <c:v>1.8569919559283241</c:v>
                </c:pt>
                <c:pt idx="72">
                  <c:v>1.8642813729638863</c:v>
                </c:pt>
                <c:pt idx="73">
                  <c:v>1.8716727398559232</c:v>
                </c:pt>
                <c:pt idx="74">
                  <c:v>1.8791660566044348</c:v>
                </c:pt>
                <c:pt idx="75">
                  <c:v>1.8867613232094211</c:v>
                </c:pt>
                <c:pt idx="76">
                  <c:v>1.8944585396708824</c:v>
                </c:pt>
                <c:pt idx="77">
                  <c:v>1.9022577059888184</c:v>
                </c:pt>
                <c:pt idx="78">
                  <c:v>1.9101588221632291</c:v>
                </c:pt>
                <c:pt idx="79">
                  <c:v>1.9181618881941145</c:v>
                </c:pt>
                <c:pt idx="80">
                  <c:v>1.9262669040814746</c:v>
                </c:pt>
                <c:pt idx="81">
                  <c:v>1.9344738698253097</c:v>
                </c:pt>
                <c:pt idx="82">
                  <c:v>1.9427827854256194</c:v>
                </c:pt>
                <c:pt idx="83">
                  <c:v>1.9511936508824039</c:v>
                </c:pt>
                <c:pt idx="84">
                  <c:v>1.9597064661956631</c:v>
                </c:pt>
                <c:pt idx="85">
                  <c:v>1.9683212313653973</c:v>
                </c:pt>
                <c:pt idx="86">
                  <c:v>1.9770379463916059</c:v>
                </c:pt>
                <c:pt idx="87">
                  <c:v>1.9858566112742895</c:v>
                </c:pt>
                <c:pt idx="88">
                  <c:v>1.994777226013448</c:v>
                </c:pt>
                <c:pt idx="89">
                  <c:v>2.0037997906090812</c:v>
                </c:pt>
                <c:pt idx="90">
                  <c:v>2.0129243050611887</c:v>
                </c:pt>
                <c:pt idx="91">
                  <c:v>2.0221507693697713</c:v>
                </c:pt>
                <c:pt idx="92">
                  <c:v>2.0314791835348287</c:v>
                </c:pt>
                <c:pt idx="93">
                  <c:v>2.0409095475563608</c:v>
                </c:pt>
                <c:pt idx="94">
                  <c:v>2.050441861434368</c:v>
                </c:pt>
                <c:pt idx="95">
                  <c:v>2.0600761251688495</c:v>
                </c:pt>
                <c:pt idx="96">
                  <c:v>2.0698123387598057</c:v>
                </c:pt>
                <c:pt idx="97">
                  <c:v>2.0796505022072371</c:v>
                </c:pt>
                <c:pt idx="98">
                  <c:v>2.0895906155111432</c:v>
                </c:pt>
                <c:pt idx="99">
                  <c:v>2.099632678671524</c:v>
                </c:pt>
                <c:pt idx="100">
                  <c:v>2.1097766916883791</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0.2497333958978693</c:v>
                </c:pt>
                <c:pt idx="1">
                  <c:v>0.27188402158130265</c:v>
                </c:pt>
                <c:pt idx="2">
                  <c:v>0.28507171877019116</c:v>
                </c:pt>
                <c:pt idx="3">
                  <c:v>0.2936172288176695</c:v>
                </c:pt>
                <c:pt idx="4">
                  <c:v>0.30218401572714826</c:v>
                </c:pt>
                <c:pt idx="5">
                  <c:v>0.31077208400869627</c:v>
                </c:pt>
                <c:pt idx="6">
                  <c:v>0.31938143869117785</c:v>
                </c:pt>
                <c:pt idx="7">
                  <c:v>0.32801208532261455</c:v>
                </c:pt>
                <c:pt idx="8">
                  <c:v>0.33666402997057754</c:v>
                </c:pt>
                <c:pt idx="9">
                  <c:v>0.34533727922261215</c:v>
                </c:pt>
                <c:pt idx="10">
                  <c:v>0.35403184018669437</c:v>
                </c:pt>
                <c:pt idx="11">
                  <c:v>0.36274772049171888</c:v>
                </c:pt>
                <c:pt idx="12">
                  <c:v>0.3714849282880191</c:v>
                </c:pt>
                <c:pt idx="13">
                  <c:v>0.38024347224791966</c:v>
                </c:pt>
                <c:pt idx="14">
                  <c:v>0.38902336156632034</c:v>
                </c:pt>
                <c:pt idx="15">
                  <c:v>0.39782460596131219</c:v>
                </c:pt>
                <c:pt idx="16">
                  <c:v>0.40664721567482631</c:v>
                </c:pt>
                <c:pt idx="17">
                  <c:v>0.4154912014733147</c:v>
                </c:pt>
                <c:pt idx="18">
                  <c:v>0.4243565746484631</c:v>
                </c:pt>
                <c:pt idx="19">
                  <c:v>0.43324334701793676</c:v>
                </c:pt>
                <c:pt idx="20">
                  <c:v>0.44215153092615839</c:v>
                </c:pt>
                <c:pt idx="21">
                  <c:v>0.45108113924511928</c:v>
                </c:pt>
                <c:pt idx="22">
                  <c:v>0.46003218537522234</c:v>
                </c:pt>
                <c:pt idx="23">
                  <c:v>0.4690046832461584</c:v>
                </c:pt>
                <c:pt idx="24">
                  <c:v>0.47799864731781577</c:v>
                </c:pt>
                <c:pt idx="25">
                  <c:v>0.48701409258122219</c:v>
                </c:pt>
                <c:pt idx="26">
                  <c:v>0.49605103455952004</c:v>
                </c:pt>
                <c:pt idx="27">
                  <c:v>0.50510948930897548</c:v>
                </c:pt>
                <c:pt idx="28">
                  <c:v>0.51418947342001986</c:v>
                </c:pt>
                <c:pt idx="29">
                  <c:v>0.52329100401832573</c:v>
                </c:pt>
                <c:pt idx="30">
                  <c:v>0.53241409876591572</c:v>
                </c:pt>
                <c:pt idx="31">
                  <c:v>0.54155877586230516</c:v>
                </c:pt>
                <c:pt idx="32">
                  <c:v>0.55072505404567962</c:v>
                </c:pt>
                <c:pt idx="33">
                  <c:v>0.55991295259410501</c:v>
                </c:pt>
                <c:pt idx="34">
                  <c:v>0.56912249132677262</c:v>
                </c:pt>
                <c:pt idx="35">
                  <c:v>0.57835369060527908</c:v>
                </c:pt>
                <c:pt idx="36">
                  <c:v>0.58760657133493943</c:v>
                </c:pt>
                <c:pt idx="37">
                  <c:v>0.59688115496613536</c:v>
                </c:pt>
                <c:pt idx="38">
                  <c:v>0.60617746349569979</c:v>
                </c:pt>
                <c:pt idx="39">
                  <c:v>0.61549551946833314</c:v>
                </c:pt>
                <c:pt idx="40">
                  <c:v>0.62483534597805801</c:v>
                </c:pt>
                <c:pt idx="41">
                  <c:v>0.63419696666970715</c:v>
                </c:pt>
                <c:pt idx="42">
                  <c:v>0.64358040574044728</c:v>
                </c:pt>
                <c:pt idx="43">
                  <c:v>0.6529856879413396</c:v>
                </c:pt>
                <c:pt idx="44">
                  <c:v>0.66241283857893474</c:v>
                </c:pt>
                <c:pt idx="45">
                  <c:v>0.67186188351690368</c:v>
                </c:pt>
                <c:pt idx="46">
                  <c:v>0.68133284917770676</c:v>
                </c:pt>
                <c:pt idx="47">
                  <c:v>0.69082576254429751</c:v>
                </c:pt>
                <c:pt idx="48">
                  <c:v>0.70034065116186239</c:v>
                </c:pt>
                <c:pt idx="49">
                  <c:v>0.70987754313960005</c:v>
                </c:pt>
                <c:pt idx="50">
                  <c:v>0.71943646715253506</c:v>
                </c:pt>
                <c:pt idx="51">
                  <c:v>0.72901745244336946</c:v>
                </c:pt>
                <c:pt idx="52">
                  <c:v>0.73862052882437346</c:v>
                </c:pt>
                <c:pt idx="53">
                  <c:v>0.74824572667931122</c:v>
                </c:pt>
                <c:pt idx="54">
                  <c:v>0.75789307696540686</c:v>
                </c:pt>
                <c:pt idx="55">
                  <c:v>0.76756261121534708</c:v>
                </c:pt>
                <c:pt idx="56">
                  <c:v>0.77725436153932304</c:v>
                </c:pt>
                <c:pt idx="57">
                  <c:v>0.78696836062711073</c:v>
                </c:pt>
                <c:pt idx="58">
                  <c:v>0.7967046417501904</c:v>
                </c:pt>
                <c:pt idx="59">
                  <c:v>0.80646323876390436</c:v>
                </c:pt>
                <c:pt idx="60">
                  <c:v>0.81624418610965499</c:v>
                </c:pt>
                <c:pt idx="61">
                  <c:v>0.82604751881714256</c:v>
                </c:pt>
                <c:pt idx="62">
                  <c:v>0.83587327250664245</c:v>
                </c:pt>
                <c:pt idx="63">
                  <c:v>0.84572148339132269</c:v>
                </c:pt>
                <c:pt idx="64">
                  <c:v>0.85559218827960293</c:v>
                </c:pt>
                <c:pt idx="65">
                  <c:v>0.86548542457755206</c:v>
                </c:pt>
                <c:pt idx="66">
                  <c:v>0.87540123029132988</c:v>
                </c:pt>
                <c:pt idx="67">
                  <c:v>0.88533964402966769</c:v>
                </c:pt>
                <c:pt idx="68">
                  <c:v>0.89530070500639192</c:v>
                </c:pt>
                <c:pt idx="69">
                  <c:v>0.90528445304298932</c:v>
                </c:pt>
                <c:pt idx="70">
                  <c:v>0.91529092857121386</c:v>
                </c:pt>
                <c:pt idx="71">
                  <c:v>0.92532017263573807</c:v>
                </c:pt>
                <c:pt idx="72">
                  <c:v>0.93537222689684607</c:v>
                </c:pt>
                <c:pt idx="73">
                  <c:v>0.94544713363316824</c:v>
                </c:pt>
                <c:pt idx="74">
                  <c:v>0.95554493574446409</c:v>
                </c:pt>
                <c:pt idx="75">
                  <c:v>0.96566567675444404</c:v>
                </c:pt>
                <c:pt idx="76">
                  <c:v>0.97580940081363998</c:v>
                </c:pt>
                <c:pt idx="77">
                  <c:v>0.98597615270231564</c:v>
                </c:pt>
                <c:pt idx="78">
                  <c:v>0.99616597783342753</c:v>
                </c:pt>
                <c:pt idx="79">
                  <c:v>1.0063789222556265</c:v>
                </c:pt>
                <c:pt idx="80">
                  <c:v>1.0166150326563081</c:v>
                </c:pt>
                <c:pt idx="81">
                  <c:v>1.0268743563647083</c:v>
                </c:pt>
                <c:pt idx="82">
                  <c:v>1.0371569413550439</c:v>
                </c:pt>
                <c:pt idx="83">
                  <c:v>1.0474628362497043</c:v>
                </c:pt>
                <c:pt idx="84">
                  <c:v>1.0577920903224847</c:v>
                </c:pt>
                <c:pt idx="85">
                  <c:v>1.0681447535018731</c:v>
                </c:pt>
                <c:pt idx="86">
                  <c:v>1.0785208763743803</c:v>
                </c:pt>
                <c:pt idx="87">
                  <c:v>1.0889205101879227</c:v>
                </c:pt>
                <c:pt idx="88">
                  <c:v>1.0993437068552507</c:v>
                </c:pt>
                <c:pt idx="89">
                  <c:v>1.1097905189574284</c:v>
                </c:pt>
                <c:pt idx="90">
                  <c:v>1.1202609997473634</c:v>
                </c:pt>
                <c:pt idx="91">
                  <c:v>1.1307552031533856</c:v>
                </c:pt>
                <c:pt idx="92">
                  <c:v>1.1412731837828782</c:v>
                </c:pt>
                <c:pt idx="93">
                  <c:v>1.151814996925959</c:v>
                </c:pt>
                <c:pt idx="94">
                  <c:v>1.1623806985592131</c:v>
                </c:pt>
                <c:pt idx="95">
                  <c:v>1.1729703453494797</c:v>
                </c:pt>
                <c:pt idx="96">
                  <c:v>1.1835839946576889</c:v>
                </c:pt>
                <c:pt idx="97">
                  <c:v>1.1942217045427548</c:v>
                </c:pt>
                <c:pt idx="98">
                  <c:v>1.204883533765519</c:v>
                </c:pt>
                <c:pt idx="99">
                  <c:v>1.2155695417927501</c:v>
                </c:pt>
                <c:pt idx="100">
                  <c:v>1.2262797888011989</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0.23988833713384339</c:v>
                </c:pt>
                <c:pt idx="1">
                  <c:v>0.24082861294281499</c:v>
                </c:pt>
                <c:pt idx="2">
                  <c:v>0.24273679149777092</c:v>
                </c:pt>
                <c:pt idx="3">
                  <c:v>0.24499389381854242</c:v>
                </c:pt>
                <c:pt idx="4">
                  <c:v>0.24725144052607009</c:v>
                </c:pt>
                <c:pt idx="5">
                  <c:v>0.24950942892452654</c:v>
                </c:pt>
                <c:pt idx="6">
                  <c:v>0.25176785631830034</c:v>
                </c:pt>
                <c:pt idx="7">
                  <c:v>0.2540267200119915</c:v>
                </c:pt>
                <c:pt idx="8">
                  <c:v>0.25628601731040701</c:v>
                </c:pt>
                <c:pt idx="9">
                  <c:v>0.25854574551855608</c:v>
                </c:pt>
                <c:pt idx="10">
                  <c:v>0.26080590194164621</c:v>
                </c:pt>
                <c:pt idx="11">
                  <c:v>0.26306648388507831</c:v>
                </c:pt>
                <c:pt idx="12">
                  <c:v>0.26532748865444244</c:v>
                </c:pt>
                <c:pt idx="13">
                  <c:v>0.26758891355551373</c:v>
                </c:pt>
                <c:pt idx="14">
                  <c:v>0.26985075589424751</c:v>
                </c:pt>
                <c:pt idx="15">
                  <c:v>0.27211301297677559</c:v>
                </c:pt>
                <c:pt idx="16">
                  <c:v>0.27437568210940139</c:v>
                </c:pt>
                <c:pt idx="17">
                  <c:v>0.27663876059859632</c:v>
                </c:pt>
                <c:pt idx="18">
                  <c:v>0.27890224575099498</c:v>
                </c:pt>
                <c:pt idx="19">
                  <c:v>0.28116613487339132</c:v>
                </c:pt>
                <c:pt idx="20">
                  <c:v>0.28343042527273438</c:v>
                </c:pt>
                <c:pt idx="21">
                  <c:v>0.28569511425612415</c:v>
                </c:pt>
                <c:pt idx="22">
                  <c:v>0.28796019913080739</c:v>
                </c:pt>
                <c:pt idx="23">
                  <c:v>0.29022567720417369</c:v>
                </c:pt>
                <c:pt idx="24">
                  <c:v>0.29249154578375136</c:v>
                </c:pt>
                <c:pt idx="25">
                  <c:v>0.29475780217720321</c:v>
                </c:pt>
                <c:pt idx="26">
                  <c:v>0.29702444369232289</c:v>
                </c:pt>
                <c:pt idx="27">
                  <c:v>0.29929146763703074</c:v>
                </c:pt>
                <c:pt idx="28">
                  <c:v>0.3015588713193697</c:v>
                </c:pt>
                <c:pt idx="29">
                  <c:v>0.30382665204750176</c:v>
                </c:pt>
                <c:pt idx="30">
                  <c:v>0.30609480712970372</c:v>
                </c:pt>
                <c:pt idx="31">
                  <c:v>0.30836333387436343</c:v>
                </c:pt>
                <c:pt idx="32">
                  <c:v>0.31063222958997622</c:v>
                </c:pt>
                <c:pt idx="33">
                  <c:v>0.31290149158514063</c:v>
                </c:pt>
                <c:pt idx="34">
                  <c:v>0.315171117168555</c:v>
                </c:pt>
                <c:pt idx="35">
                  <c:v>0.31744110364901357</c:v>
                </c:pt>
                <c:pt idx="36">
                  <c:v>0.31971144833540277</c:v>
                </c:pt>
                <c:pt idx="37">
                  <c:v>0.32198214853669765</c:v>
                </c:pt>
                <c:pt idx="38">
                  <c:v>0.32425320156195786</c:v>
                </c:pt>
                <c:pt idx="39">
                  <c:v>0.32652460472032452</c:v>
                </c:pt>
                <c:pt idx="40">
                  <c:v>0.3287963553210162</c:v>
                </c:pt>
                <c:pt idx="41">
                  <c:v>0.33106845067332552</c:v>
                </c:pt>
                <c:pt idx="42">
                  <c:v>0.33334088808661555</c:v>
                </c:pt>
                <c:pt idx="43">
                  <c:v>0.33561366487031624</c:v>
                </c:pt>
                <c:pt idx="44">
                  <c:v>0.33788677833392111</c:v>
                </c:pt>
                <c:pt idx="45">
                  <c:v>0.34016022578698352</c:v>
                </c:pt>
                <c:pt idx="46">
                  <c:v>0.34243400453911332</c:v>
                </c:pt>
                <c:pt idx="47">
                  <c:v>0.34470811189997358</c:v>
                </c:pt>
                <c:pt idx="48">
                  <c:v>0.34698254517927696</c:v>
                </c:pt>
                <c:pt idx="49">
                  <c:v>0.34925730168678248</c:v>
                </c:pt>
                <c:pt idx="50">
                  <c:v>0.35153237873229226</c:v>
                </c:pt>
                <c:pt idx="51">
                  <c:v>0.35380777362564797</c:v>
                </c:pt>
                <c:pt idx="52">
                  <c:v>0.35608348367672793</c:v>
                </c:pt>
                <c:pt idx="53">
                  <c:v>0.35835950619544332</c:v>
                </c:pt>
                <c:pt idx="54">
                  <c:v>0.36063583849173564</c:v>
                </c:pt>
                <c:pt idx="55">
                  <c:v>0.36291247787557279</c:v>
                </c:pt>
                <c:pt idx="56">
                  <c:v>0.36518942165694657</c:v>
                </c:pt>
                <c:pt idx="57">
                  <c:v>0.36746666714586895</c:v>
                </c:pt>
                <c:pt idx="58">
                  <c:v>0.36974421165236937</c:v>
                </c:pt>
                <c:pt idx="59">
                  <c:v>0.37202205248649167</c:v>
                </c:pt>
                <c:pt idx="60">
                  <c:v>0.37430018695829048</c:v>
                </c:pt>
                <c:pt idx="61">
                  <c:v>0.37657861237782897</c:v>
                </c:pt>
                <c:pt idx="62">
                  <c:v>0.3788573260551753</c:v>
                </c:pt>
                <c:pt idx="63">
                  <c:v>0.38113632530039987</c:v>
                </c:pt>
                <c:pt idx="64">
                  <c:v>0.38341560742357222</c:v>
                </c:pt>
                <c:pt idx="65">
                  <c:v>0.38569516973475837</c:v>
                </c:pt>
                <c:pt idx="66">
                  <c:v>0.38797500954401748</c:v>
                </c:pt>
                <c:pt idx="67">
                  <c:v>0.39025512416139962</c:v>
                </c:pt>
                <c:pt idx="68">
                  <c:v>0.39253551089694239</c:v>
                </c:pt>
                <c:pt idx="69">
                  <c:v>0.3948161670606683</c:v>
                </c:pt>
                <c:pt idx="70">
                  <c:v>0.39709708996258197</c:v>
                </c:pt>
                <c:pt idx="71">
                  <c:v>0.39937827691266753</c:v>
                </c:pt>
                <c:pt idx="72">
                  <c:v>0.40165972522088567</c:v>
                </c:pt>
                <c:pt idx="73">
                  <c:v>0.40394143219717094</c:v>
                </c:pt>
                <c:pt idx="74">
                  <c:v>0.40622339515142941</c:v>
                </c:pt>
                <c:pt idx="75">
                  <c:v>0.40850561139353558</c:v>
                </c:pt>
                <c:pt idx="76">
                  <c:v>0.41078807823332997</c:v>
                </c:pt>
                <c:pt idx="77">
                  <c:v>0.41307079298061677</c:v>
                </c:pt>
                <c:pt idx="78">
                  <c:v>0.4153537529451608</c:v>
                </c:pt>
                <c:pt idx="79">
                  <c:v>0.41763695543668522</c:v>
                </c:pt>
                <c:pt idx="80">
                  <c:v>0.41992039776486911</c:v>
                </c:pt>
                <c:pt idx="81">
                  <c:v>0.42220407723934494</c:v>
                </c:pt>
                <c:pt idx="82">
                  <c:v>0.42448799116969599</c:v>
                </c:pt>
                <c:pt idx="83">
                  <c:v>0.42677213686545418</c:v>
                </c:pt>
                <c:pt idx="84">
                  <c:v>0.42905651163609715</c:v>
                </c:pt>
                <c:pt idx="85">
                  <c:v>0.4313411127910467</c:v>
                </c:pt>
                <c:pt idx="86">
                  <c:v>0.43362593763966573</c:v>
                </c:pt>
                <c:pt idx="87">
                  <c:v>0.43591098349125623</c:v>
                </c:pt>
                <c:pt idx="88">
                  <c:v>0.43819624765505716</c:v>
                </c:pt>
                <c:pt idx="89">
                  <c:v>0.44048172744024172</c:v>
                </c:pt>
                <c:pt idx="90">
                  <c:v>0.44276742015591564</c:v>
                </c:pt>
                <c:pt idx="91">
                  <c:v>0.44505332311111456</c:v>
                </c:pt>
                <c:pt idx="92">
                  <c:v>0.44733943361480211</c:v>
                </c:pt>
                <c:pt idx="93">
                  <c:v>0.44962574897586777</c:v>
                </c:pt>
                <c:pt idx="94">
                  <c:v>0.45191226650312444</c:v>
                </c:pt>
                <c:pt idx="95">
                  <c:v>0.45419898350530685</c:v>
                </c:pt>
                <c:pt idx="96">
                  <c:v>0.45648589729106898</c:v>
                </c:pt>
                <c:pt idx="97">
                  <c:v>0.45877300516898234</c:v>
                </c:pt>
                <c:pt idx="98">
                  <c:v>0.4610603044475341</c:v>
                </c:pt>
                <c:pt idx="99">
                  <c:v>0.46334779243512458</c:v>
                </c:pt>
                <c:pt idx="100">
                  <c:v>0.46563546644006559</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2.1327781225065752E-5</c:v>
                </c:pt>
                <c:pt idx="1">
                  <c:v>6.1329584201681763E-5</c:v>
                </c:pt>
                <c:pt idx="2">
                  <c:v>1.813313872545033E-4</c:v>
                </c:pt>
                <c:pt idx="3">
                  <c:v>3.813331903835301E-4</c:v>
                </c:pt>
                <c:pt idx="4">
                  <c:v>6.6133499358876266E-4</c:v>
                </c:pt>
                <c:pt idx="5">
                  <c:v>1.0213367968702008E-3</c:v>
                </c:pt>
                <c:pt idx="6">
                  <c:v>1.4613386002278437E-3</c:v>
                </c:pt>
                <c:pt idx="7">
                  <c:v>1.9813404036616925E-3</c:v>
                </c:pt>
                <c:pt idx="8">
                  <c:v>2.5813422071717476E-3</c:v>
                </c:pt>
                <c:pt idx="9">
                  <c:v>3.2613440107580071E-3</c:v>
                </c:pt>
                <c:pt idx="10">
                  <c:v>4.021345814420472E-3</c:v>
                </c:pt>
                <c:pt idx="11">
                  <c:v>4.8613476181591439E-3</c:v>
                </c:pt>
                <c:pt idx="12">
                  <c:v>5.7813494219740181E-3</c:v>
                </c:pt>
                <c:pt idx="13">
                  <c:v>6.7813512258651024E-3</c:v>
                </c:pt>
                <c:pt idx="14">
                  <c:v>7.861353029832388E-3</c:v>
                </c:pt>
                <c:pt idx="15">
                  <c:v>9.0213548338758803E-3</c:v>
                </c:pt>
                <c:pt idx="16">
                  <c:v>1.0261356637995583E-2</c:v>
                </c:pt>
                <c:pt idx="17">
                  <c:v>1.1581358442191481E-2</c:v>
                </c:pt>
                <c:pt idx="18">
                  <c:v>1.2981360246463592E-2</c:v>
                </c:pt>
                <c:pt idx="19">
                  <c:v>1.4461362050811905E-2</c:v>
                </c:pt>
                <c:pt idx="20">
                  <c:v>1.6021363855236431E-2</c:v>
                </c:pt>
                <c:pt idx="21">
                  <c:v>1.7661365659737152E-2</c:v>
                </c:pt>
                <c:pt idx="22">
                  <c:v>1.9381367464314084E-2</c:v>
                </c:pt>
                <c:pt idx="23">
                  <c:v>2.1181369268967215E-2</c:v>
                </c:pt>
                <c:pt idx="24">
                  <c:v>2.3061371073696556E-2</c:v>
                </c:pt>
                <c:pt idx="25">
                  <c:v>2.5021372878502108E-2</c:v>
                </c:pt>
                <c:pt idx="26">
                  <c:v>2.7061374683383869E-2</c:v>
                </c:pt>
                <c:pt idx="27">
                  <c:v>2.9181376488341824E-2</c:v>
                </c:pt>
                <c:pt idx="28">
                  <c:v>3.1381378293375978E-2</c:v>
                </c:pt>
                <c:pt idx="29">
                  <c:v>3.3661380098486349E-2</c:v>
                </c:pt>
                <c:pt idx="30">
                  <c:v>3.6021381903672926E-2</c:v>
                </c:pt>
                <c:pt idx="31">
                  <c:v>3.8461383708935724E-2</c:v>
                </c:pt>
                <c:pt idx="32">
                  <c:v>4.0981385514274708E-2</c:v>
                </c:pt>
                <c:pt idx="33">
                  <c:v>4.3581387319689892E-2</c:v>
                </c:pt>
                <c:pt idx="34">
                  <c:v>4.6261389125181275E-2</c:v>
                </c:pt>
                <c:pt idx="35">
                  <c:v>4.9021390930748872E-2</c:v>
                </c:pt>
                <c:pt idx="36">
                  <c:v>5.1861392736392696E-2</c:v>
                </c:pt>
                <c:pt idx="37">
                  <c:v>5.4781394542112699E-2</c:v>
                </c:pt>
                <c:pt idx="38">
                  <c:v>5.7781396347908909E-2</c:v>
                </c:pt>
                <c:pt idx="39">
                  <c:v>6.0861398153781353E-2</c:v>
                </c:pt>
                <c:pt idx="40">
                  <c:v>6.4021399959729983E-2</c:v>
                </c:pt>
                <c:pt idx="41">
                  <c:v>6.7261401765754791E-2</c:v>
                </c:pt>
                <c:pt idx="42">
                  <c:v>7.0581403571855841E-2</c:v>
                </c:pt>
                <c:pt idx="43">
                  <c:v>7.3981405378033105E-2</c:v>
                </c:pt>
                <c:pt idx="44">
                  <c:v>7.7461407184286568E-2</c:v>
                </c:pt>
                <c:pt idx="45">
                  <c:v>8.1021408990616231E-2</c:v>
                </c:pt>
                <c:pt idx="46">
                  <c:v>8.4661410797022066E-2</c:v>
                </c:pt>
                <c:pt idx="47">
                  <c:v>8.8381412603504156E-2</c:v>
                </c:pt>
                <c:pt idx="48">
                  <c:v>9.218141441006239E-2</c:v>
                </c:pt>
                <c:pt idx="49">
                  <c:v>9.6061416216696893E-2</c:v>
                </c:pt>
                <c:pt idx="50">
                  <c:v>0.10002141802340757</c:v>
                </c:pt>
                <c:pt idx="51">
                  <c:v>0.10406141983019444</c:v>
                </c:pt>
                <c:pt idx="52">
                  <c:v>0.10818142163705757</c:v>
                </c:pt>
                <c:pt idx="53">
                  <c:v>0.11238142344399686</c:v>
                </c:pt>
                <c:pt idx="54">
                  <c:v>0.11666142525101238</c:v>
                </c:pt>
                <c:pt idx="55">
                  <c:v>0.12102142705810408</c:v>
                </c:pt>
                <c:pt idx="56">
                  <c:v>0.12546142886527198</c:v>
                </c:pt>
                <c:pt idx="57">
                  <c:v>0.12998143067251614</c:v>
                </c:pt>
                <c:pt idx="58">
                  <c:v>0.13458143247983645</c:v>
                </c:pt>
                <c:pt idx="59">
                  <c:v>0.13926143428723298</c:v>
                </c:pt>
                <c:pt idx="60">
                  <c:v>0.14402143609470572</c:v>
                </c:pt>
                <c:pt idx="61">
                  <c:v>0.14886143790225465</c:v>
                </c:pt>
                <c:pt idx="62">
                  <c:v>0.15378143970987984</c:v>
                </c:pt>
                <c:pt idx="63">
                  <c:v>0.15878144151758117</c:v>
                </c:pt>
                <c:pt idx="64">
                  <c:v>0.16386144332535876</c:v>
                </c:pt>
                <c:pt idx="65">
                  <c:v>0.16902144513321249</c:v>
                </c:pt>
                <c:pt idx="66">
                  <c:v>0.17426144694114243</c:v>
                </c:pt>
                <c:pt idx="67">
                  <c:v>0.17958144874914869</c:v>
                </c:pt>
                <c:pt idx="68">
                  <c:v>0.18498145055723103</c:v>
                </c:pt>
                <c:pt idx="69">
                  <c:v>0.19046145236538964</c:v>
                </c:pt>
                <c:pt idx="70">
                  <c:v>0.19602145417362438</c:v>
                </c:pt>
                <c:pt idx="71">
                  <c:v>0.20166145598193538</c:v>
                </c:pt>
                <c:pt idx="72">
                  <c:v>0.20738145779032263</c:v>
                </c:pt>
                <c:pt idx="73">
                  <c:v>0.21318145959878598</c:v>
                </c:pt>
                <c:pt idx="74">
                  <c:v>0.21906146140732569</c:v>
                </c:pt>
                <c:pt idx="75">
                  <c:v>0.22502146321594146</c:v>
                </c:pt>
                <c:pt idx="76">
                  <c:v>0.23106146502463343</c:v>
                </c:pt>
                <c:pt idx="77">
                  <c:v>0.23718146683340177</c:v>
                </c:pt>
                <c:pt idx="78">
                  <c:v>0.24338146864224616</c:v>
                </c:pt>
                <c:pt idx="79">
                  <c:v>0.24966147045116679</c:v>
                </c:pt>
                <c:pt idx="80">
                  <c:v>0.25602147226016364</c:v>
                </c:pt>
                <c:pt idx="81">
                  <c:v>0.2624614740692367</c:v>
                </c:pt>
                <c:pt idx="82">
                  <c:v>0.268981475878386</c:v>
                </c:pt>
                <c:pt idx="83">
                  <c:v>0.27558147768761149</c:v>
                </c:pt>
                <c:pt idx="84">
                  <c:v>0.2822614794969131</c:v>
                </c:pt>
                <c:pt idx="85">
                  <c:v>0.28902148130629096</c:v>
                </c:pt>
                <c:pt idx="86">
                  <c:v>0.29586148311574501</c:v>
                </c:pt>
                <c:pt idx="87">
                  <c:v>0.30278148492527529</c:v>
                </c:pt>
                <c:pt idx="88">
                  <c:v>0.30978148673488193</c:v>
                </c:pt>
                <c:pt idx="89">
                  <c:v>0.31686148854456458</c:v>
                </c:pt>
                <c:pt idx="90">
                  <c:v>0.32402149035432343</c:v>
                </c:pt>
                <c:pt idx="91">
                  <c:v>0.33126149216415857</c:v>
                </c:pt>
                <c:pt idx="92">
                  <c:v>0.33858149397406989</c:v>
                </c:pt>
                <c:pt idx="93">
                  <c:v>0.34598149578405735</c:v>
                </c:pt>
                <c:pt idx="94">
                  <c:v>0.35346149759412115</c:v>
                </c:pt>
                <c:pt idx="95">
                  <c:v>0.36102149940426098</c:v>
                </c:pt>
                <c:pt idx="96">
                  <c:v>0.36866150121447716</c:v>
                </c:pt>
                <c:pt idx="97">
                  <c:v>0.37638150302476941</c:v>
                </c:pt>
                <c:pt idx="98">
                  <c:v>0.38418150483513813</c:v>
                </c:pt>
                <c:pt idx="99">
                  <c:v>0.39206150664558281</c:v>
                </c:pt>
                <c:pt idx="100">
                  <c:v>0.40002150845610368</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en-US"/>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85.592799283464032</c:v>
                </c:pt>
                <c:pt idx="1">
                  <c:v>82.112515603211179</c:v>
                </c:pt>
                <c:pt idx="2">
                  <c:v>79.628346497407435</c:v>
                </c:pt>
                <c:pt idx="3">
                  <c:v>77.696892139101578</c:v>
                </c:pt>
                <c:pt idx="4">
                  <c:v>76.116903051186426</c:v>
                </c:pt>
                <c:pt idx="5">
                  <c:v>74.780126618042374</c:v>
                </c:pt>
                <c:pt idx="6">
                  <c:v>73.621654289950612</c:v>
                </c:pt>
                <c:pt idx="7">
                  <c:v>72.599504725805645</c:v>
                </c:pt>
                <c:pt idx="8">
                  <c:v>71.684962443612378</c:v>
                </c:pt>
                <c:pt idx="9">
                  <c:v>70.857520758915555</c:v>
                </c:pt>
                <c:pt idx="10">
                  <c:v>70.10202493680255</c:v>
                </c:pt>
                <c:pt idx="11">
                  <c:v>69.406958746777633</c:v>
                </c:pt>
                <c:pt idx="12">
                  <c:v>68.763365944374954</c:v>
                </c:pt>
                <c:pt idx="13">
                  <c:v>68.164143817048753</c:v>
                </c:pt>
                <c:pt idx="14">
                  <c:v>67.603564704929369</c:v>
                </c:pt>
                <c:pt idx="15">
                  <c:v>67.07694256371596</c:v>
                </c:pt>
                <c:pt idx="16">
                  <c:v>66.580394823517992</c:v>
                </c:pt>
                <c:pt idx="17">
                  <c:v>66.110668627171748</c:v>
                </c:pt>
                <c:pt idx="18">
                  <c:v>65.665011633390947</c:v>
                </c:pt>
                <c:pt idx="19">
                  <c:v>62.140903984157724</c:v>
                </c:pt>
                <c:pt idx="20">
                  <c:v>59.638494945322016</c:v>
                </c:pt>
                <c:pt idx="21">
                  <c:v>57.695506007058242</c:v>
                </c:pt>
                <c:pt idx="22">
                  <c:v>56.105989911308988</c:v>
                </c:pt>
                <c:pt idx="23">
                  <c:v>54.760081627621275</c:v>
                </c:pt>
                <c:pt idx="24">
                  <c:v>53.592201321025527</c:v>
                </c:pt>
                <c:pt idx="25">
                  <c:v>52.560050301454623</c:v>
                </c:pt>
                <c:pt idx="26">
                  <c:v>51.634749638195267</c:v>
                </c:pt>
                <c:pt idx="27">
                  <c:v>50.795703760693939</c:v>
                </c:pt>
                <c:pt idx="28">
                  <c:v>50.027708379628677</c:v>
                </c:pt>
                <c:pt idx="29">
                  <c:v>49.319219961144569</c:v>
                </c:pt>
                <c:pt idx="30">
                  <c:v>48.661268321550658</c:v>
                </c:pt>
                <c:pt idx="31">
                  <c:v>48.046745271174437</c:v>
                </c:pt>
                <c:pt idx="32">
                  <c:v>47.469923293512309</c:v>
                </c:pt>
                <c:pt idx="33">
                  <c:v>46.926120388025197</c:v>
                </c:pt>
                <c:pt idx="34">
                  <c:v>46.411460846589229</c:v>
                </c:pt>
                <c:pt idx="35">
                  <c:v>45.92270078593711</c:v>
                </c:pt>
                <c:pt idx="36">
                  <c:v>45.457098474648376</c:v>
                </c:pt>
                <c:pt idx="37">
                  <c:v>41.686445149455849</c:v>
                </c:pt>
                <c:pt idx="38">
                  <c:v>38.863498867753499</c:v>
                </c:pt>
                <c:pt idx="39">
                  <c:v>36.544056283395371</c:v>
                </c:pt>
                <c:pt idx="40">
                  <c:v>34.539724144843419</c:v>
                </c:pt>
                <c:pt idx="41">
                  <c:v>32.755983276739293</c:v>
                </c:pt>
                <c:pt idx="42">
                  <c:v>31.139715215500541</c:v>
                </c:pt>
                <c:pt idx="43">
                  <c:v>29.658184721779104</c:v>
                </c:pt>
                <c:pt idx="44">
                  <c:v>28.289517605203265</c:v>
                </c:pt>
                <c:pt idx="45">
                  <c:v>27.01803221017682</c:v>
                </c:pt>
                <c:pt idx="46">
                  <c:v>25.831814159688506</c:v>
                </c:pt>
                <c:pt idx="47">
                  <c:v>24.721392058874802</c:v>
                </c:pt>
                <c:pt idx="48">
                  <c:v>23.678978134224998</c:v>
                </c:pt>
                <c:pt idx="49">
                  <c:v>22.698010018933147</c:v>
                </c:pt>
                <c:pt idx="50">
                  <c:v>21.772859149444002</c:v>
                </c:pt>
                <c:pt idx="51">
                  <c:v>20.898635040707713</c:v>
                </c:pt>
                <c:pt idx="52">
                  <c:v>20.07104714887824</c:v>
                </c:pt>
                <c:pt idx="53">
                  <c:v>19.286302947071441</c:v>
                </c:pt>
                <c:pt idx="54">
                  <c:v>18.541029874948922</c:v>
                </c:pt>
                <c:pt idx="55">
                  <c:v>12.721887337263023</c:v>
                </c:pt>
                <c:pt idx="56">
                  <c:v>8.8103634358075666</c:v>
                </c:pt>
                <c:pt idx="57">
                  <c:v>5.971025757993722</c:v>
                </c:pt>
                <c:pt idx="58">
                  <c:v>3.7900712021494325</c:v>
                </c:pt>
                <c:pt idx="59">
                  <c:v>2.0407113336884795</c:v>
                </c:pt>
                <c:pt idx="60">
                  <c:v>0.5896270031930122</c:v>
                </c:pt>
                <c:pt idx="61">
                  <c:v>-0.64604662407714564</c:v>
                </c:pt>
                <c:pt idx="62">
                  <c:v>-1.7203034208173289</c:v>
                </c:pt>
                <c:pt idx="63">
                  <c:v>-2.6697904992002943</c:v>
                </c:pt>
                <c:pt idx="64">
                  <c:v>-3.5202793575344753</c:v>
                </c:pt>
                <c:pt idx="65">
                  <c:v>-4.2904616966699773</c:v>
                </c:pt>
                <c:pt idx="66">
                  <c:v>-4.9942640554735718</c:v>
                </c:pt>
                <c:pt idx="67">
                  <c:v>-5.6423092374913706</c:v>
                </c:pt>
                <c:pt idx="68">
                  <c:v>-6.2428683770834654</c:v>
                </c:pt>
                <c:pt idx="69">
                  <c:v>-6.8024989051700011</c:v>
                </c:pt>
                <c:pt idx="70">
                  <c:v>-7.3264830371080691</c:v>
                </c:pt>
                <c:pt idx="71">
                  <c:v>-7.8191361409042166</c:v>
                </c:pt>
                <c:pt idx="72">
                  <c:v>-8.2840281358924663</c:v>
                </c:pt>
                <c:pt idx="73">
                  <c:v>-11.890179520780631</c:v>
                </c:pt>
                <c:pt idx="74">
                  <c:v>-14.389412592269563</c:v>
                </c:pt>
                <c:pt idx="75">
                  <c:v>-16.295634267322122</c:v>
                </c:pt>
                <c:pt idx="76">
                  <c:v>-17.828139139259576</c:v>
                </c:pt>
                <c:pt idx="77">
                  <c:v>-19.101691702696893</c:v>
                </c:pt>
                <c:pt idx="78">
                  <c:v>-20.184203958155617</c:v>
                </c:pt>
                <c:pt idx="79">
                  <c:v>-21.119358312947512</c:v>
                </c:pt>
                <c:pt idx="80">
                  <c:v>-21.937017349610805</c:v>
                </c:pt>
                <c:pt idx="81">
                  <c:v>-22.658573500767133</c:v>
                </c:pt>
                <c:pt idx="82">
                  <c:v>-23.299932265757423</c:v>
                </c:pt>
                <c:pt idx="83">
                  <c:v>-23.873284376796878</c:v>
                </c:pt>
                <c:pt idx="84">
                  <c:v>-24.388213399866583</c:v>
                </c:pt>
                <c:pt idx="85">
                  <c:v>-24.852417783621071</c:v>
                </c:pt>
                <c:pt idx="86">
                  <c:v>-25.272198860220314</c:v>
                </c:pt>
                <c:pt idx="87">
                  <c:v>-25.652801346777114</c:v>
                </c:pt>
                <c:pt idx="88">
                  <c:v>-25.998657937550732</c:v>
                </c:pt>
                <c:pt idx="89">
                  <c:v>-26.313569870356822</c:v>
                </c:pt>
                <c:pt idx="90">
                  <c:v>-26.600843792303081</c:v>
                </c:pt>
                <c:pt idx="91">
                  <c:v>-28.492158435996281</c:v>
                </c:pt>
                <c:pt idx="92">
                  <c:v>-30.083315738790802</c:v>
                </c:pt>
                <c:pt idx="93">
                  <c:v>-33.320061612261078</c:v>
                </c:pt>
                <c:pt idx="94">
                  <c:v>-37.945363339281926</c:v>
                </c:pt>
                <c:pt idx="95">
                  <c:v>-42.601166123205893</c:v>
                </c:pt>
                <c:pt idx="96">
                  <c:v>-46.827327122127457</c:v>
                </c:pt>
                <c:pt idx="97">
                  <c:v>-50.613646203757654</c:v>
                </c:pt>
                <c:pt idx="98">
                  <c:v>-54.031771826954746</c:v>
                </c:pt>
                <c:pt idx="99">
                  <c:v>-57.150282866375989</c:v>
                </c:pt>
                <c:pt idx="100">
                  <c:v>-60.022969604510777</c:v>
                </c:pt>
                <c:pt idx="101">
                  <c:v>-62.690686885996243</c:v>
                </c:pt>
                <c:pt idx="102">
                  <c:v>-65.184664027777288</c:v>
                </c:pt>
                <c:pt idx="103">
                  <c:v>-67.529177522352626</c:v>
                </c:pt>
                <c:pt idx="104">
                  <c:v>-69.743456427904306</c:v>
                </c:pt>
                <c:pt idx="105">
                  <c:v>-71.843006700815053</c:v>
                </c:pt>
                <c:pt idx="106">
                  <c:v>-73.84053549840155</c:v>
                </c:pt>
                <c:pt idx="107">
                  <c:v>-75.746605785476959</c:v>
                </c:pt>
                <c:pt idx="108">
                  <c:v>-77.570108447979379</c:v>
                </c:pt>
                <c:pt idx="109">
                  <c:v>-92.524121664222292</c:v>
                </c:pt>
                <c:pt idx="110">
                  <c:v>-103.70450395676365</c:v>
                </c:pt>
                <c:pt idx="111">
                  <c:v>-112.66444883032982</c:v>
                </c:pt>
                <c:pt idx="112">
                  <c:v>-120.1401739859247</c:v>
                </c:pt>
                <c:pt idx="113">
                  <c:v>-126.54938558390556</c:v>
                </c:pt>
                <c:pt idx="114">
                  <c:v>-132.15477288902352</c:v>
                </c:pt>
                <c:pt idx="115">
                  <c:v>-137.13293562515298</c:v>
                </c:pt>
                <c:pt idx="116">
                  <c:v>-141.60839483902609</c:v>
                </c:pt>
                <c:pt idx="117">
                  <c:v>-145.67221080452543</c:v>
                </c:pt>
                <c:pt idx="118">
                  <c:v>-149.3929445593763</c:v>
                </c:pt>
                <c:pt idx="119">
                  <c:v>-152.82347236983117</c:v>
                </c:pt>
                <c:pt idx="120">
                  <c:v>-156.0054071301484</c:v>
                </c:pt>
                <c:pt idx="121">
                  <c:v>-158.97206899069289</c:v>
                </c:pt>
                <c:pt idx="122">
                  <c:v>-161.75054057250443</c:v>
                </c:pt>
                <c:pt idx="123">
                  <c:v>-164.36312494939816</c:v>
                </c:pt>
                <c:pt idx="124">
                  <c:v>-166.82840271494956</c:v>
                </c:pt>
                <c:pt idx="125">
                  <c:v>-169.16201317877713</c:v>
                </c:pt>
                <c:pt idx="126">
                  <c:v>-171.37724156407273</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4238.5852502556081</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[SERIES NAME]</a:t>
                    </a:fld>
                    <a:endParaRPr 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441.01677775608169</c:v>
                </c:pt>
              </c:numCache>
            </c:numRef>
          </c:xVal>
          <c:yVal>
            <c:numRef>
              <c:f>Bode!$AN$8</c:f>
              <c:numCache>
                <c:formatCode>_(* #,##0.0_);_(* \(#,##0.0\);_(* "-"?_);_(@_)</c:formatCode>
                <c:ptCount val="1"/>
                <c:pt idx="0">
                  <c:v>29.924363075503937</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Bode!$AP$8</c:f>
              <c:numCache>
                <c:formatCode>_(* #,##0.0_);_(* \(#,##0.0\);_(* "-"?_);_(@_)</c:formatCode>
                <c:ptCount val="1"/>
                <c:pt idx="0">
                  <c:v>2247.9516412874</c:v>
                </c:pt>
              </c:numCache>
            </c:numRef>
          </c:xVal>
          <c:yVal>
            <c:numRef>
              <c:f>Bode!$AQ$8</c:f>
              <c:numCache>
                <c:formatCode>_(* #,##0.0_);_(* \(#,##0.0\);_(* "-"?_);_(@_)</c:formatCode>
                <c:ptCount val="1"/>
                <c:pt idx="0">
                  <c:v>7.4023265610413711</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-82.58094948544138</c:v>
                </c:pt>
                <c:pt idx="1">
                  <c:v>-85.125518543587816</c:v>
                </c:pt>
                <c:pt idx="2">
                  <c:v>-86.431877731204352</c:v>
                </c:pt>
                <c:pt idx="3">
                  <c:v>-87.238537472011913</c:v>
                </c:pt>
                <c:pt idx="4">
                  <c:v>-87.794429264675657</c:v>
                </c:pt>
                <c:pt idx="5">
                  <c:v>-88.206753805192406</c:v>
                </c:pt>
                <c:pt idx="6">
                  <c:v>-88.529249072214554</c:v>
                </c:pt>
                <c:pt idx="7">
                  <c:v>-88.791815414969435</c:v>
                </c:pt>
                <c:pt idx="8">
                  <c:v>-89.012410926711183</c:v>
                </c:pt>
                <c:pt idx="9">
                  <c:v>-89.202471289518243</c:v>
                </c:pt>
                <c:pt idx="10">
                  <c:v>-89.36962400505584</c:v>
                </c:pt>
                <c:pt idx="11">
                  <c:v>-89.519151540469522</c:v>
                </c:pt>
                <c:pt idx="12">
                  <c:v>-89.654828098162554</c:v>
                </c:pt>
                <c:pt idx="13">
                  <c:v>-89.779421989324746</c:v>
                </c:pt>
                <c:pt idx="14">
                  <c:v>-89.895009768522627</c:v>
                </c:pt>
                <c:pt idx="15">
                  <c:v>-90.003179574722239</c:v>
                </c:pt>
                <c:pt idx="16">
                  <c:v>-90.105166733600527</c:v>
                </c:pt>
                <c:pt idx="17">
                  <c:v>-90.201946561380311</c:v>
                </c:pt>
                <c:pt idx="18">
                  <c:v>-90.294299341038482</c:v>
                </c:pt>
                <c:pt idx="19">
                  <c:v>-91.071613303421501</c:v>
                </c:pt>
                <c:pt idx="20">
                  <c:v>-91.722319713864024</c:v>
                </c:pt>
                <c:pt idx="21">
                  <c:v>-92.321911379689041</c:v>
                </c:pt>
                <c:pt idx="22">
                  <c:v>-92.89544572707284</c:v>
                </c:pt>
                <c:pt idx="23">
                  <c:v>-93.453569160721017</c:v>
                </c:pt>
                <c:pt idx="24">
                  <c:v>-94.001524687539145</c:v>
                </c:pt>
                <c:pt idx="25">
                  <c:v>-94.542154823098883</c:v>
                </c:pt>
                <c:pt idx="26">
                  <c:v>-95.07710293825707</c:v>
                </c:pt>
                <c:pt idx="27">
                  <c:v>-95.60735945923804</c:v>
                </c:pt>
                <c:pt idx="28">
                  <c:v>-96.133535077264668</c:v>
                </c:pt>
                <c:pt idx="29">
                  <c:v>-96.656007955047599</c:v>
                </c:pt>
                <c:pt idx="30">
                  <c:v>-97.175007925697599</c:v>
                </c:pt>
                <c:pt idx="31">
                  <c:v>-97.6906670821582</c:v>
                </c:pt>
                <c:pt idx="32">
                  <c:v>-98.203051456151258</c:v>
                </c:pt>
                <c:pt idx="33">
                  <c:v>-98.712181568341322</c:v>
                </c:pt>
                <c:pt idx="34">
                  <c:v>-99.218046172791517</c:v>
                </c:pt>
                <c:pt idx="35">
                  <c:v>-99.720611698462321</c:v>
                </c:pt>
                <c:pt idx="36">
                  <c:v>-100.21982888935739</c:v>
                </c:pt>
                <c:pt idx="37">
                  <c:v>-105.01250820138068</c:v>
                </c:pt>
                <c:pt idx="38">
                  <c:v>-109.39345129920085</c:v>
                </c:pt>
                <c:pt idx="39">
                  <c:v>-113.31384686804519</c:v>
                </c:pt>
                <c:pt idx="40">
                  <c:v>-116.7582326638662</c:v>
                </c:pt>
                <c:pt idx="41">
                  <c:v>-119.738512370678</c:v>
                </c:pt>
                <c:pt idx="42">
                  <c:v>-122.28452222812408</c:v>
                </c:pt>
                <c:pt idx="43">
                  <c:v>-124.43564718454724</c:v>
                </c:pt>
                <c:pt idx="44">
                  <c:v>-126.2346966626726</c:v>
                </c:pt>
                <c:pt idx="45">
                  <c:v>-127.72398699752964</c:v>
                </c:pt>
                <c:pt idx="46">
                  <c:v>-128.9431345783679</c:v>
                </c:pt>
                <c:pt idx="47">
                  <c:v>-129.92801474649147</c:v>
                </c:pt>
                <c:pt idx="48">
                  <c:v>-130.71044353527077</c:v>
                </c:pt>
                <c:pt idx="49">
                  <c:v>-131.31826967999135</c:v>
                </c:pt>
                <c:pt idx="50">
                  <c:v>-131.77567493063518</c:v>
                </c:pt>
                <c:pt idx="51">
                  <c:v>-132.10356065663794</c:v>
                </c:pt>
                <c:pt idx="52">
                  <c:v>-132.31995158853638</c:v>
                </c:pt>
                <c:pt idx="53">
                  <c:v>-132.4403804422553</c:v>
                </c:pt>
                <c:pt idx="54">
                  <c:v>-132.47823668902237</c:v>
                </c:pt>
                <c:pt idx="55">
                  <c:v>-130.23216872230526</c:v>
                </c:pt>
                <c:pt idx="56">
                  <c:v>-126.31483561551624</c:v>
                </c:pt>
                <c:pt idx="57">
                  <c:v>-122.44983029101381</c:v>
                </c:pt>
                <c:pt idx="58">
                  <c:v>-119.06093150365412</c:v>
                </c:pt>
                <c:pt idx="59">
                  <c:v>-116.19630288062785</c:v>
                </c:pt>
                <c:pt idx="60">
                  <c:v>-113.79882041686091</c:v>
                </c:pt>
                <c:pt idx="61">
                  <c:v>-111.79116925114525</c:v>
                </c:pt>
                <c:pt idx="62">
                  <c:v>-110.10169469610609</c:v>
                </c:pt>
                <c:pt idx="63">
                  <c:v>-108.67061171551168</c:v>
                </c:pt>
                <c:pt idx="64">
                  <c:v>-107.44991217930263</c:v>
                </c:pt>
                <c:pt idx="65">
                  <c:v>-106.40154932890715</c:v>
                </c:pt>
                <c:pt idx="66">
                  <c:v>-105.49542979186374</c:v>
                </c:pt>
                <c:pt idx="67">
                  <c:v>-104.7076688197273</c:v>
                </c:pt>
                <c:pt idx="68">
                  <c:v>-104.01919353776159</c:v>
                </c:pt>
                <c:pt idx="69">
                  <c:v>-103.41466154572292</c:v>
                </c:pt>
                <c:pt idx="70">
                  <c:v>-102.88163458571334</c:v>
                </c:pt>
                <c:pt idx="71">
                  <c:v>-102.40994918311949</c:v>
                </c:pt>
                <c:pt idx="72">
                  <c:v>-101.99123641247289</c:v>
                </c:pt>
                <c:pt idx="73">
                  <c:v>-99.617654866982662</c:v>
                </c:pt>
                <c:pt idx="74">
                  <c:v>-98.879555308790074</c:v>
                </c:pt>
                <c:pt idx="75">
                  <c:v>-98.833052331675688</c:v>
                </c:pt>
                <c:pt idx="76">
                  <c:v>-99.154260956590534</c:v>
                </c:pt>
                <c:pt idx="77">
                  <c:v>-99.704775264484411</c:v>
                </c:pt>
                <c:pt idx="78">
                  <c:v>-100.41701960552669</c:v>
                </c:pt>
                <c:pt idx="79">
                  <c:v>-101.25507343305796</c:v>
                </c:pt>
                <c:pt idx="80">
                  <c:v>-102.1987904932592</c:v>
                </c:pt>
                <c:pt idx="81">
                  <c:v>-103.23653139385068</c:v>
                </c:pt>
                <c:pt idx="82">
                  <c:v>-104.3615268459483</c:v>
                </c:pt>
                <c:pt idx="83">
                  <c:v>-105.56993204138342</c:v>
                </c:pt>
                <c:pt idx="84">
                  <c:v>-106.85973319928891</c:v>
                </c:pt>
                <c:pt idx="85">
                  <c:v>-108.23011137472527</c:v>
                </c:pt>
                <c:pt idx="86">
                  <c:v>-109.68106416191389</c:v>
                </c:pt>
                <c:pt idx="87">
                  <c:v>-111.21317844105698</c:v>
                </c:pt>
                <c:pt idx="88">
                  <c:v>-112.82749380577125</c:v>
                </c:pt>
                <c:pt idx="89">
                  <c:v>-114.52542088647706</c:v>
                </c:pt>
                <c:pt idx="90">
                  <c:v>-116.30869234180567</c:v>
                </c:pt>
                <c:pt idx="91">
                  <c:v>-139.38776900036527</c:v>
                </c:pt>
                <c:pt idx="92">
                  <c:v>-173.3182238680682</c:v>
                </c:pt>
                <c:pt idx="93">
                  <c:v>-211.80999135489037</c:v>
                </c:pt>
                <c:pt idx="94">
                  <c:v>-241.87208126508494</c:v>
                </c:pt>
                <c:pt idx="95">
                  <c:v>-262.35055312888829</c:v>
                </c:pt>
                <c:pt idx="96">
                  <c:v>-277.03607591588752</c:v>
                </c:pt>
                <c:pt idx="97">
                  <c:v>-288.395024327996</c:v>
                </c:pt>
                <c:pt idx="98">
                  <c:v>-297.69028745711762</c:v>
                </c:pt>
                <c:pt idx="99">
                  <c:v>-305.59116270359499</c:v>
                </c:pt>
                <c:pt idx="100">
                  <c:v>-312.48180696256486</c:v>
                </c:pt>
                <c:pt idx="101">
                  <c:v>-318.60067988944672</c:v>
                </c:pt>
                <c:pt idx="102">
                  <c:v>-324.10608053607689</c:v>
                </c:pt>
                <c:pt idx="103">
                  <c:v>-329.1090382334902</c:v>
                </c:pt>
                <c:pt idx="104">
                  <c:v>-333.69095529973356</c:v>
                </c:pt>
                <c:pt idx="105">
                  <c:v>-337.9136690995573</c:v>
                </c:pt>
                <c:pt idx="106">
                  <c:v>-341.82551429331238</c:v>
                </c:pt>
                <c:pt idx="107">
                  <c:v>-345.46515639300259</c:v>
                </c:pt>
                <c:pt idx="108">
                  <c:v>-348.86412065586308</c:v>
                </c:pt>
                <c:pt idx="109">
                  <c:v>-373.8242522916172</c:v>
                </c:pt>
                <c:pt idx="110">
                  <c:v>-389.23433254646181</c:v>
                </c:pt>
                <c:pt idx="111">
                  <c:v>-399.67524846390779</c:v>
                </c:pt>
                <c:pt idx="112">
                  <c:v>-407.17142786518832</c:v>
                </c:pt>
                <c:pt idx="113">
                  <c:v>-412.78722321531336</c:v>
                </c:pt>
                <c:pt idx="114">
                  <c:v>-417.13649686022791</c:v>
                </c:pt>
                <c:pt idx="115">
                  <c:v>-420.59627187162465</c:v>
                </c:pt>
                <c:pt idx="116">
                  <c:v>-423.40963804980879</c:v>
                </c:pt>
                <c:pt idx="117">
                  <c:v>-425.73968676306873</c:v>
                </c:pt>
                <c:pt idx="118">
                  <c:v>-427.69955631145706</c:v>
                </c:pt>
                <c:pt idx="119">
                  <c:v>-429.37000389220839</c:v>
                </c:pt>
                <c:pt idx="120">
                  <c:v>-430.81011088898117</c:v>
                </c:pt>
                <c:pt idx="121">
                  <c:v>-432.06403806899937</c:v>
                </c:pt>
                <c:pt idx="122">
                  <c:v>-433.16542098832002</c:v>
                </c:pt>
                <c:pt idx="123">
                  <c:v>-434.14030830353545</c:v>
                </c:pt>
                <c:pt idx="124">
                  <c:v>-435.00917370959934</c:v>
                </c:pt>
                <c:pt idx="125">
                  <c:v>-435.78832339028861</c:v>
                </c:pt>
                <c:pt idx="126">
                  <c:v>-436.49089971257604</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32.610592141012141</c:v>
                </c:pt>
                <c:pt idx="1">
                  <c:v>32.610564009930847</c:v>
                </c:pt>
                <c:pt idx="2">
                  <c:v>32.610524626723169</c:v>
                </c:pt>
                <c:pt idx="3">
                  <c:v>32.610473991695244</c:v>
                </c:pt>
                <c:pt idx="4">
                  <c:v>32.610412105240584</c:v>
                </c:pt>
                <c:pt idx="5">
                  <c:v>32.610338967840221</c:v>
                </c:pt>
                <c:pt idx="6">
                  <c:v>32.610254580062609</c:v>
                </c:pt>
                <c:pt idx="7">
                  <c:v>32.610158942563565</c:v>
                </c:pt>
                <c:pt idx="8">
                  <c:v>32.610052056086317</c:v>
                </c:pt>
                <c:pt idx="9">
                  <c:v>32.609933921461518</c:v>
                </c:pt>
                <c:pt idx="10">
                  <c:v>32.609804539607069</c:v>
                </c:pt>
                <c:pt idx="11">
                  <c:v>32.609663911528315</c:v>
                </c:pt>
                <c:pt idx="12">
                  <c:v>32.609512038317824</c:v>
                </c:pt>
                <c:pt idx="13">
                  <c:v>32.609348921155473</c:v>
                </c:pt>
                <c:pt idx="14">
                  <c:v>32.609174561308386</c:v>
                </c:pt>
                <c:pt idx="15">
                  <c:v>32.608988960130894</c:v>
                </c:pt>
                <c:pt idx="16">
                  <c:v>32.60879211906451</c:v>
                </c:pt>
                <c:pt idx="17">
                  <c:v>32.608584039637883</c:v>
                </c:pt>
                <c:pt idx="18">
                  <c:v>32.608364723466735</c:v>
                </c:pt>
                <c:pt idx="19">
                  <c:v>32.605553958457499</c:v>
                </c:pt>
                <c:pt idx="20">
                  <c:v>32.601621941139406</c:v>
                </c:pt>
                <c:pt idx="21">
                  <c:v>32.596571715738591</c:v>
                </c:pt>
                <c:pt idx="22">
                  <c:v>32.590407182791139</c:v>
                </c:pt>
                <c:pt idx="23">
                  <c:v>32.583133089141398</c:v>
                </c:pt>
                <c:pt idx="24">
                  <c:v>32.574755015828202</c:v>
                </c:pt>
                <c:pt idx="25">
                  <c:v>32.565279363922919</c:v>
                </c:pt>
                <c:pt idx="26">
                  <c:v>32.554713338394876</c:v>
                </c:pt>
                <c:pt idx="27">
                  <c:v>32.543064930087894</c:v>
                </c:pt>
                <c:pt idx="28">
                  <c:v>32.530342895902017</c:v>
                </c:pt>
                <c:pt idx="29">
                  <c:v>32.516556737281455</c:v>
                </c:pt>
                <c:pt idx="30">
                  <c:v>32.501716677117514</c:v>
                </c:pt>
                <c:pt idx="31">
                  <c:v>32.485833635181599</c:v>
                </c:pt>
                <c:pt idx="32">
                  <c:v>32.468919202208347</c:v>
                </c:pt>
                <c:pt idx="33">
                  <c:v>32.450985612753833</c:v>
                </c:pt>
                <c:pt idx="34">
                  <c:v>32.432045716956544</c:v>
                </c:pt>
                <c:pt idx="35">
                  <c:v>32.412112951331579</c:v>
                </c:pt>
                <c:pt idx="36">
                  <c:v>32.391201308730246</c:v>
                </c:pt>
                <c:pt idx="37">
                  <c:v>32.131660033813475</c:v>
                </c:pt>
                <c:pt idx="38">
                  <c:v>31.792538741258262</c:v>
                </c:pt>
                <c:pt idx="39">
                  <c:v>31.392151818106861</c:v>
                </c:pt>
                <c:pt idx="40">
                  <c:v>30.948160122261676</c:v>
                </c:pt>
                <c:pt idx="41">
                  <c:v>30.475997209565435</c:v>
                </c:pt>
                <c:pt idx="42">
                  <c:v>29.988214113338557</c:v>
                </c:pt>
                <c:pt idx="43">
                  <c:v>29.494471113581287</c:v>
                </c:pt>
                <c:pt idx="44">
                  <c:v>29.001878168149066</c:v>
                </c:pt>
                <c:pt idx="45">
                  <c:v>28.515462743974766</c:v>
                </c:pt>
                <c:pt idx="46">
                  <c:v>28.038636098392669</c:v>
                </c:pt>
                <c:pt idx="47">
                  <c:v>27.573598755080635</c:v>
                </c:pt>
                <c:pt idx="48">
                  <c:v>27.121667697305213</c:v>
                </c:pt>
                <c:pt idx="49">
                  <c:v>26.683528615857085</c:v>
                </c:pt>
                <c:pt idx="50">
                  <c:v>26.259424722247001</c:v>
                </c:pt>
                <c:pt idx="51">
                  <c:v>25.849295286924349</c:v>
                </c:pt>
                <c:pt idx="52">
                  <c:v>25.452875855932152</c:v>
                </c:pt>
                <c:pt idx="53">
                  <c:v>25.069769960316059</c:v>
                </c:pt>
                <c:pt idx="54">
                  <c:v>24.699499948895788</c:v>
                </c:pt>
                <c:pt idx="55">
                  <c:v>21.586863501630845</c:v>
                </c:pt>
                <c:pt idx="56">
                  <c:v>19.241167905523366</c:v>
                </c:pt>
                <c:pt idx="57">
                  <c:v>17.37595943955494</c:v>
                </c:pt>
                <c:pt idx="58">
                  <c:v>15.83279265581089</c:v>
                </c:pt>
                <c:pt idx="59">
                  <c:v>14.5187369303416</c:v>
                </c:pt>
                <c:pt idx="60">
                  <c:v>13.375434706050109</c:v>
                </c:pt>
                <c:pt idx="61">
                  <c:v>12.364078250990778</c:v>
                </c:pt>
                <c:pt idx="62">
                  <c:v>11.457638801770404</c:v>
                </c:pt>
                <c:pt idx="63">
                  <c:v>10.636572584928579</c:v>
                </c:pt>
                <c:pt idx="64">
                  <c:v>9.8863067397251712</c:v>
                </c:pt>
                <c:pt idx="65">
                  <c:v>9.1956933257030276</c:v>
                </c:pt>
                <c:pt idx="66">
                  <c:v>8.5560183429849364</c:v>
                </c:pt>
                <c:pt idx="67">
                  <c:v>7.9603436698916727</c:v>
                </c:pt>
                <c:pt idx="68">
                  <c:v>7.4030566192440359</c:v>
                </c:pt>
                <c:pt idx="69">
                  <c:v>6.8795534054562903</c:v>
                </c:pt>
                <c:pt idx="70">
                  <c:v>6.3860115530637671</c:v>
                </c:pt>
                <c:pt idx="71">
                  <c:v>5.9192229195747581</c:v>
                </c:pt>
                <c:pt idx="72">
                  <c:v>5.4764689784813942</c:v>
                </c:pt>
                <c:pt idx="73">
                  <c:v>1.9832015433678931</c:v>
                </c:pt>
                <c:pt idx="74">
                  <c:v>-0.4806927426096903</c:v>
                </c:pt>
                <c:pt idx="75">
                  <c:v>-2.3757572585813538</c:v>
                </c:pt>
                <c:pt idx="76">
                  <c:v>-3.9077280695626366</c:v>
                </c:pt>
                <c:pt idx="77">
                  <c:v>-5.1866245785915597</c:v>
                </c:pt>
                <c:pt idx="78">
                  <c:v>-6.2783197426182982</c:v>
                </c:pt>
                <c:pt idx="79">
                  <c:v>-7.225477325997697</c:v>
                </c:pt>
                <c:pt idx="80">
                  <c:v>-8.057385967765363</c:v>
                </c:pt>
                <c:pt idx="81">
                  <c:v>-8.7950805957213305</c:v>
                </c:pt>
                <c:pt idx="82">
                  <c:v>-9.4542242093341091</c:v>
                </c:pt>
                <c:pt idx="83">
                  <c:v>-10.046830314406199</c:v>
                </c:pt>
                <c:pt idx="84">
                  <c:v>-10.582343559548647</c:v>
                </c:pt>
                <c:pt idx="85">
                  <c:v>-11.068345313473156</c:v>
                </c:pt>
                <c:pt idx="86">
                  <c:v>-11.51103006211363</c:v>
                </c:pt>
                <c:pt idx="87">
                  <c:v>-11.915536430314859</c:v>
                </c:pt>
                <c:pt idx="88">
                  <c:v>-12.286183009466228</c:v>
                </c:pt>
                <c:pt idx="89">
                  <c:v>-12.626640119929728</c:v>
                </c:pt>
                <c:pt idx="90">
                  <c:v>-12.940057415042947</c:v>
                </c:pt>
                <c:pt idx="91">
                  <c:v>-15.050171502342689</c:v>
                </c:pt>
                <c:pt idx="92">
                  <c:v>-16.123439737674218</c:v>
                </c:pt>
                <c:pt idx="93">
                  <c:v>-16.727050040524503</c:v>
                </c:pt>
                <c:pt idx="94">
                  <c:v>-17.093882720562853</c:v>
                </c:pt>
                <c:pt idx="95">
                  <c:v>-17.331040812051203</c:v>
                </c:pt>
                <c:pt idx="96">
                  <c:v>-17.492199479478749</c:v>
                </c:pt>
                <c:pt idx="97">
                  <c:v>-17.606249544260429</c:v>
                </c:pt>
                <c:pt idx="98">
                  <c:v>-17.68970630356845</c:v>
                </c:pt>
                <c:pt idx="99">
                  <c:v>-17.752503840428528</c:v>
                </c:pt>
                <c:pt idx="100">
                  <c:v>-17.800881971020981</c:v>
                </c:pt>
                <c:pt idx="101">
                  <c:v>-17.838908007991698</c:v>
                </c:pt>
                <c:pt idx="102">
                  <c:v>-17.869319215619935</c:v>
                </c:pt>
                <c:pt idx="103">
                  <c:v>-17.894009581006944</c:v>
                </c:pt>
                <c:pt idx="104">
                  <c:v>-17.914321814399216</c:v>
                </c:pt>
                <c:pt idx="105">
                  <c:v>-17.931228391701527</c:v>
                </c:pt>
                <c:pt idx="106">
                  <c:v>-17.945447132189052</c:v>
                </c:pt>
                <c:pt idx="107">
                  <c:v>-17.95751692881997</c:v>
                </c:pt>
                <c:pt idx="108">
                  <c:v>-17.967848538290539</c:v>
                </c:pt>
                <c:pt idx="109">
                  <c:v>-18.021370020953455</c:v>
                </c:pt>
                <c:pt idx="110">
                  <c:v>-18.040259465843789</c:v>
                </c:pt>
                <c:pt idx="111">
                  <c:v>-18.049030473306857</c:v>
                </c:pt>
                <c:pt idx="112">
                  <c:v>-18.053802406432311</c:v>
                </c:pt>
                <c:pt idx="113">
                  <c:v>-18.056682267619525</c:v>
                </c:pt>
                <c:pt idx="114">
                  <c:v>-18.058552430781653</c:v>
                </c:pt>
                <c:pt idx="115">
                  <c:v>-18.059835073991611</c:v>
                </c:pt>
                <c:pt idx="116">
                  <c:v>-18.060752773586117</c:v>
                </c:pt>
                <c:pt idx="117">
                  <c:v>-18.061431892341741</c:v>
                </c:pt>
                <c:pt idx="118">
                  <c:v>-18.061948488962468</c:v>
                </c:pt>
                <c:pt idx="119">
                  <c:v>-18.062350565131965</c:v>
                </c:pt>
                <c:pt idx="120">
                  <c:v>-18.06266962675322</c:v>
                </c:pt>
                <c:pt idx="121">
                  <c:v>-18.062927046472584</c:v>
                </c:pt>
                <c:pt idx="122">
                  <c:v>-18.063137737004883</c:v>
                </c:pt>
                <c:pt idx="123">
                  <c:v>-18.063312359909464</c:v>
                </c:pt>
                <c:pt idx="124">
                  <c:v>-18.063458701009715</c:v>
                </c:pt>
                <c:pt idx="125">
                  <c:v>-18.06358255332977</c:v>
                </c:pt>
                <c:pt idx="126">
                  <c:v>-18.063688299227387</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-0.13004666302237614</c:v>
                </c:pt>
                <c:pt idx="1">
                  <c:v>-0.19506957211056666</c:v>
                </c:pt>
                <c:pt idx="2">
                  <c:v>-0.26009197429851394</c:v>
                </c:pt>
                <c:pt idx="3">
                  <c:v>-0.32511370063172673</c:v>
                </c:pt>
                <c:pt idx="4">
                  <c:v>-0.39013458216622487</c:v>
                </c:pt>
                <c:pt idx="5">
                  <c:v>-0.45515444997115556</c:v>
                </c:pt>
                <c:pt idx="6">
                  <c:v>-0.52017313513142283</c:v>
                </c:pt>
                <c:pt idx="7">
                  <c:v>-0.58519046875031588</c:v>
                </c:pt>
                <c:pt idx="8">
                  <c:v>-0.65020628195212504</c:v>
                </c:pt>
                <c:pt idx="9">
                  <c:v>-0.71522040588477731</c:v>
                </c:pt>
                <c:pt idx="10">
                  <c:v>-0.78023267172244204</c:v>
                </c:pt>
                <c:pt idx="11">
                  <c:v>-0.84524291066816926</c:v>
                </c:pt>
                <c:pt idx="12">
                  <c:v>-0.91025095395649824</c:v>
                </c:pt>
                <c:pt idx="13">
                  <c:v>-0.97525663285607322</c:v>
                </c:pt>
                <c:pt idx="14">
                  <c:v>-1.0402597786722749</c:v>
                </c:pt>
                <c:pt idx="15">
                  <c:v>-1.1052602227498247</c:v>
                </c:pt>
                <c:pt idx="16">
                  <c:v>-1.1702577964754006</c:v>
                </c:pt>
                <c:pt idx="17">
                  <c:v>-1.2352523312802668</c:v>
                </c:pt>
                <c:pt idx="18">
                  <c:v>-1.3002436586428603</c:v>
                </c:pt>
                <c:pt idx="19">
                  <c:v>-1.9499434871543022</c:v>
                </c:pt>
                <c:pt idx="20">
                  <c:v>-2.5991376482376349</c:v>
                </c:pt>
                <c:pt idx="21">
                  <c:v>-3.2476588056105191</c:v>
                </c:pt>
                <c:pt idx="22">
                  <c:v>-3.8953406622301094</c:v>
                </c:pt>
                <c:pt idx="23">
                  <c:v>-4.5420182125681299</c:v>
                </c:pt>
                <c:pt idx="24">
                  <c:v>-5.1875279899417919</c:v>
                </c:pt>
                <c:pt idx="25">
                  <c:v>-5.8317083079911241</c:v>
                </c:pt>
                <c:pt idx="26">
                  <c:v>-6.4743994954326691</c:v>
                </c:pt>
                <c:pt idx="27">
                  <c:v>-7.1154441232683183</c:v>
                </c:pt>
                <c:pt idx="28">
                  <c:v>-7.7546872236785083</c:v>
                </c:pt>
                <c:pt idx="29">
                  <c:v>-8.3919764998866473</c:v>
                </c:pt>
                <c:pt idx="30">
                  <c:v>-9.0271625263426571</c:v>
                </c:pt>
                <c:pt idx="31">
                  <c:v>-9.6600989386348619</c:v>
                </c:pt>
                <c:pt idx="32">
                  <c:v>-10.290642612610956</c:v>
                </c:pt>
                <c:pt idx="33">
                  <c:v>-10.918653832251685</c:v>
                </c:pt>
                <c:pt idx="34">
                  <c:v>-11.543996445914843</c:v>
                </c:pt>
                <c:pt idx="35">
                  <c:v>-12.166538010636778</c:v>
                </c:pt>
                <c:pt idx="36">
                  <c:v>-12.786149924248162</c:v>
                </c:pt>
                <c:pt idx="37">
                  <c:v>-18.795794333951132</c:v>
                </c:pt>
                <c:pt idx="38">
                  <c:v>-24.402567817638161</c:v>
                </c:pt>
                <c:pt idx="39">
                  <c:v>-29.548876387164768</c:v>
                </c:pt>
                <c:pt idx="40">
                  <c:v>-34.215548989644034</c:v>
                </c:pt>
                <c:pt idx="41">
                  <c:v>-38.412257084176858</c:v>
                </c:pt>
                <c:pt idx="42">
                  <c:v>-42.167186252512565</c:v>
                </c:pt>
                <c:pt idx="43">
                  <c:v>-45.518357387783908</c:v>
                </c:pt>
                <c:pt idx="44">
                  <c:v>-48.507387064087503</c:v>
                </c:pt>
                <c:pt idx="45">
                  <c:v>-51.175519443429728</c:v>
                </c:pt>
                <c:pt idx="46">
                  <c:v>-53.561395505299437</c:v>
                </c:pt>
                <c:pt idx="47">
                  <c:v>-55.699999939465648</c:v>
                </c:pt>
                <c:pt idx="48">
                  <c:v>-57.622336491029564</c:v>
                </c:pt>
                <c:pt idx="49">
                  <c:v>-59.355516261018153</c:v>
                </c:pt>
                <c:pt idx="50">
                  <c:v>-60.923055552632832</c:v>
                </c:pt>
                <c:pt idx="51">
                  <c:v>-62.345260510696242</c:v>
                </c:pt>
                <c:pt idx="52">
                  <c:v>-63.639629011523013</c:v>
                </c:pt>
                <c:pt idx="53">
                  <c:v>-64.821233349412509</c:v>
                </c:pt>
                <c:pt idx="54">
                  <c:v>-65.90306688759064</c:v>
                </c:pt>
                <c:pt idx="55">
                  <c:v>-73.104474915163891</c:v>
                </c:pt>
                <c:pt idx="56">
                  <c:v>-76.848874358629516</c:v>
                </c:pt>
                <c:pt idx="57">
                  <c:v>-79.080083105272024</c:v>
                </c:pt>
                <c:pt idx="58">
                  <c:v>-80.524772572002249</c:v>
                </c:pt>
                <c:pt idx="59">
                  <c:v>-81.510809853357472</c:v>
                </c:pt>
                <c:pt idx="60">
                  <c:v>-82.206743599653123</c:v>
                </c:pt>
                <c:pt idx="61">
                  <c:v>-82.707797156766048</c:v>
                </c:pt>
                <c:pt idx="62">
                  <c:v>-83.071734635588513</c:v>
                </c:pt>
                <c:pt idx="63">
                  <c:v>-83.335594952847913</c:v>
                </c:pt>
                <c:pt idx="64">
                  <c:v>-83.524206570625964</c:v>
                </c:pt>
                <c:pt idx="65">
                  <c:v>-83.65482931773289</c:v>
                </c:pt>
                <c:pt idx="66">
                  <c:v>-83.739830994456042</c:v>
                </c:pt>
                <c:pt idx="67">
                  <c:v>-83.788304378801087</c:v>
                </c:pt>
                <c:pt idx="68">
                  <c:v>-83.807083242092148</c:v>
                </c:pt>
                <c:pt idx="69">
                  <c:v>-83.801402544360599</c:v>
                </c:pt>
                <c:pt idx="70">
                  <c:v>-83.775340060433393</c:v>
                </c:pt>
                <c:pt idx="71">
                  <c:v>-83.73211938498801</c:v>
                </c:pt>
                <c:pt idx="72">
                  <c:v>-83.674322524516256</c:v>
                </c:pt>
                <c:pt idx="73">
                  <c:v>-82.617467347564286</c:v>
                </c:pt>
                <c:pt idx="74">
                  <c:v>-81.154414786468905</c:v>
                </c:pt>
                <c:pt idx="75">
                  <c:v>-79.540069360124633</c:v>
                </c:pt>
                <c:pt idx="76">
                  <c:v>-77.861893140787743</c:v>
                </c:pt>
                <c:pt idx="77">
                  <c:v>-76.159251985962342</c:v>
                </c:pt>
                <c:pt idx="78">
                  <c:v>-74.45327943913442</c:v>
                </c:pt>
                <c:pt idx="79">
                  <c:v>-72.756825299332249</c:v>
                </c:pt>
                <c:pt idx="80">
                  <c:v>-71.078429935349178</c:v>
                </c:pt>
                <c:pt idx="81">
                  <c:v>-69.424129825390239</c:v>
                </c:pt>
                <c:pt idx="82">
                  <c:v>-67.798363088100942</c:v>
                </c:pt>
                <c:pt idx="83">
                  <c:v>-66.204462639876795</c:v>
                </c:pt>
                <c:pt idx="84">
                  <c:v>-64.644945454617229</c:v>
                </c:pt>
                <c:pt idx="85">
                  <c:v>-63.121694682620088</c:v>
                </c:pt>
                <c:pt idx="86">
                  <c:v>-61.636082509817953</c:v>
                </c:pt>
                <c:pt idx="87">
                  <c:v>-60.18905867180824</c:v>
                </c:pt>
                <c:pt idx="88">
                  <c:v>-58.781218104407621</c:v>
                </c:pt>
                <c:pt idx="89">
                  <c:v>-57.412855253179984</c:v>
                </c:pt>
                <c:pt idx="90">
                  <c:v>-56.084009345082066</c:v>
                </c:pt>
                <c:pt idx="91">
                  <c:v>-44.860123097178658</c:v>
                </c:pt>
                <c:pt idx="92">
                  <c:v>-36.770855068917875</c:v>
                </c:pt>
                <c:pt idx="93">
                  <c:v>-30.887716951146754</c:v>
                </c:pt>
                <c:pt idx="94">
                  <c:v>-26.503492710356703</c:v>
                </c:pt>
                <c:pt idx="95">
                  <c:v>-23.14689976316394</c:v>
                </c:pt>
                <c:pt idx="96">
                  <c:v>-20.511484064272587</c:v>
                </c:pt>
                <c:pt idx="97">
                  <c:v>-18.395772770764431</c:v>
                </c:pt>
                <c:pt idx="98">
                  <c:v>-16.664278076871447</c:v>
                </c:pt>
                <c:pt idx="99">
                  <c:v>-15.223534616149619</c:v>
                </c:pt>
                <c:pt idx="100">
                  <c:v>-14.007436821432014</c:v>
                </c:pt>
                <c:pt idx="101">
                  <c:v>-12.968132613676477</c:v>
                </c:pt>
                <c:pt idx="102">
                  <c:v>-12.070244393558925</c:v>
                </c:pt>
                <c:pt idx="103">
                  <c:v>-11.287114798035645</c:v>
                </c:pt>
                <c:pt idx="104">
                  <c:v>-10.598310862845869</c:v>
                </c:pt>
                <c:pt idx="105">
                  <c:v>-9.9879280424639454</c:v>
                </c:pt>
                <c:pt idx="106">
                  <c:v>-9.4434140100661139</c:v>
                </c:pt>
                <c:pt idx="107">
                  <c:v>-8.95473744059111</c:v>
                </c:pt>
                <c:pt idx="108">
                  <c:v>-8.513790343261439</c:v>
                </c:pt>
                <c:pt idx="109">
                  <c:v>-5.6993439563268522</c:v>
                </c:pt>
                <c:pt idx="110">
                  <c:v>-4.2807345028854584</c:v>
                </c:pt>
                <c:pt idx="111">
                  <c:v>-3.4269020317297549</c:v>
                </c:pt>
                <c:pt idx="112">
                  <c:v>-2.8568013398639649</c:v>
                </c:pt>
                <c:pt idx="113">
                  <c:v>-2.4492299256829786</c:v>
                </c:pt>
                <c:pt idx="114">
                  <c:v>-2.1433847976017613</c:v>
                </c:pt>
                <c:pt idx="115">
                  <c:v>-1.9054190876396098</c:v>
                </c:pt>
                <c:pt idx="116">
                  <c:v>-1.7149983441798546</c:v>
                </c:pt>
                <c:pt idx="117">
                  <c:v>-1.5591709205297972</c:v>
                </c:pt>
                <c:pt idx="118">
                  <c:v>-1.4292968533539721</c:v>
                </c:pt>
                <c:pt idx="119">
                  <c:v>-1.3193917810032803</c:v>
                </c:pt>
                <c:pt idx="120">
                  <c:v>-1.2251796041476235</c:v>
                </c:pt>
                <c:pt idx="121">
                  <c:v>-1.1435236248355696</c:v>
                </c:pt>
                <c:pt idx="122">
                  <c:v>-1.0720707866005998</c:v>
                </c:pt>
                <c:pt idx="123">
                  <c:v>-1.0090213631808744</c:v>
                </c:pt>
                <c:pt idx="124">
                  <c:v>-0.95297535655671317</c:v>
                </c:pt>
                <c:pt idx="125">
                  <c:v>-0.90282736665630448</c:v>
                </c:pt>
                <c:pt idx="126">
                  <c:v>-0.85769298029562746</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-29.359557505544245</c:v>
                </c:pt>
                <c:pt idx="1">
                  <c:v>-29.359557505479863</c:v>
                </c:pt>
                <c:pt idx="2">
                  <c:v>-29.359557505389553</c:v>
                </c:pt>
                <c:pt idx="3">
                  <c:v>-29.359557505273521</c:v>
                </c:pt>
                <c:pt idx="4">
                  <c:v>-29.359557505131736</c:v>
                </c:pt>
                <c:pt idx="5">
                  <c:v>-29.359557504964133</c:v>
                </c:pt>
                <c:pt idx="6">
                  <c:v>-29.359557504770702</c:v>
                </c:pt>
                <c:pt idx="7">
                  <c:v>-29.359557504551606</c:v>
                </c:pt>
                <c:pt idx="8">
                  <c:v>-29.359557504306526</c:v>
                </c:pt>
                <c:pt idx="9">
                  <c:v>-29.359557504035848</c:v>
                </c:pt>
                <c:pt idx="10">
                  <c:v>-29.359557503739325</c:v>
                </c:pt>
                <c:pt idx="11">
                  <c:v>-29.359557503417022</c:v>
                </c:pt>
                <c:pt idx="12">
                  <c:v>-29.359557503068903</c:v>
                </c:pt>
                <c:pt idx="13">
                  <c:v>-29.359557502695061</c:v>
                </c:pt>
                <c:pt idx="14">
                  <c:v>-29.35955750229536</c:v>
                </c:pt>
                <c:pt idx="15">
                  <c:v>-29.359557501869816</c:v>
                </c:pt>
                <c:pt idx="16">
                  <c:v>-29.3595575014186</c:v>
                </c:pt>
                <c:pt idx="17">
                  <c:v>-29.359557500941555</c:v>
                </c:pt>
                <c:pt idx="18">
                  <c:v>-29.359557500438818</c:v>
                </c:pt>
                <c:pt idx="19">
                  <c:v>-29.359557493992419</c:v>
                </c:pt>
                <c:pt idx="20">
                  <c:v>-29.35955748496756</c:v>
                </c:pt>
                <c:pt idx="21">
                  <c:v>-29.359557473364038</c:v>
                </c:pt>
                <c:pt idx="22">
                  <c:v>-29.359557459182028</c:v>
                </c:pt>
                <c:pt idx="23">
                  <c:v>-29.359557442421526</c:v>
                </c:pt>
                <c:pt idx="24">
                  <c:v>-29.359557423082435</c:v>
                </c:pt>
                <c:pt idx="25">
                  <c:v>-29.359557401164839</c:v>
                </c:pt>
                <c:pt idx="26">
                  <c:v>-29.359557376668697</c:v>
                </c:pt>
                <c:pt idx="27">
                  <c:v>-29.359557349593967</c:v>
                </c:pt>
                <c:pt idx="28">
                  <c:v>-29.35955731994078</c:v>
                </c:pt>
                <c:pt idx="29">
                  <c:v>-29.359557287708974</c:v>
                </c:pt>
                <c:pt idx="30">
                  <c:v>-29.359557252898654</c:v>
                </c:pt>
                <c:pt idx="31">
                  <c:v>-29.359557215509795</c:v>
                </c:pt>
                <c:pt idx="32">
                  <c:v>-29.359557175542381</c:v>
                </c:pt>
                <c:pt idx="33">
                  <c:v>-29.359557132996397</c:v>
                </c:pt>
                <c:pt idx="34">
                  <c:v>-29.359557087871927</c:v>
                </c:pt>
                <c:pt idx="35">
                  <c:v>-29.359557040168895</c:v>
                </c:pt>
                <c:pt idx="36">
                  <c:v>-29.359556989887324</c:v>
                </c:pt>
                <c:pt idx="37">
                  <c:v>-29.359556345252422</c:v>
                </c:pt>
                <c:pt idx="38">
                  <c:v>-29.359555442764741</c:v>
                </c:pt>
                <c:pt idx="39">
                  <c:v>-29.359554282425663</c:v>
                </c:pt>
                <c:pt idx="40">
                  <c:v>-29.359552864236868</c:v>
                </c:pt>
                <c:pt idx="41">
                  <c:v>-29.359551188200413</c:v>
                </c:pt>
                <c:pt idx="42">
                  <c:v>-29.359549254318566</c:v>
                </c:pt>
                <c:pt idx="43">
                  <c:v>-29.359547062594199</c:v>
                </c:pt>
                <c:pt idx="44">
                  <c:v>-29.359544613030394</c:v>
                </c:pt>
                <c:pt idx="45">
                  <c:v>-29.359541905630692</c:v>
                </c:pt>
                <c:pt idx="46">
                  <c:v>-29.35953894039887</c:v>
                </c:pt>
                <c:pt idx="47">
                  <c:v>-29.359535717339238</c:v>
                </c:pt>
                <c:pt idx="48">
                  <c:v>-29.359532236456445</c:v>
                </c:pt>
                <c:pt idx="49">
                  <c:v>-29.359528497755413</c:v>
                </c:pt>
                <c:pt idx="50">
                  <c:v>-29.359524501241502</c:v>
                </c:pt>
                <c:pt idx="51">
                  <c:v>-29.359520246920361</c:v>
                </c:pt>
                <c:pt idx="52">
                  <c:v>-29.359515734798197</c:v>
                </c:pt>
                <c:pt idx="53">
                  <c:v>-29.359510964881274</c:v>
                </c:pt>
                <c:pt idx="54">
                  <c:v>-29.359505937176635</c:v>
                </c:pt>
                <c:pt idx="55">
                  <c:v>-29.359441483561611</c:v>
                </c:pt>
                <c:pt idx="56">
                  <c:v>-29.359351261395087</c:v>
                </c:pt>
                <c:pt idx="57">
                  <c:v>-29.359235283566306</c:v>
                </c:pt>
                <c:pt idx="58">
                  <c:v>-29.359093566639395</c:v>
                </c:pt>
                <c:pt idx="59">
                  <c:v>-29.35892613084766</c:v>
                </c:pt>
                <c:pt idx="60">
                  <c:v>-29.358733000086485</c:v>
                </c:pt>
                <c:pt idx="61">
                  <c:v>-29.358514201905244</c:v>
                </c:pt>
                <c:pt idx="62">
                  <c:v>-29.358269767497713</c:v>
                </c:pt>
                <c:pt idx="63">
                  <c:v>-29.357999731691066</c:v>
                </c:pt>
                <c:pt idx="64">
                  <c:v>-29.357704132933989</c:v>
                </c:pt>
                <c:pt idx="65">
                  <c:v>-29.357383013283425</c:v>
                </c:pt>
                <c:pt idx="66">
                  <c:v>-29.357036418389839</c:v>
                </c:pt>
                <c:pt idx="67">
                  <c:v>-29.356664397481772</c:v>
                </c:pt>
                <c:pt idx="68">
                  <c:v>-29.356267003348634</c:v>
                </c:pt>
                <c:pt idx="69">
                  <c:v>-29.355844292322843</c:v>
                </c:pt>
                <c:pt idx="70">
                  <c:v>-29.355396324260091</c:v>
                </c:pt>
                <c:pt idx="71">
                  <c:v>-29.354923162519096</c:v>
                </c:pt>
                <c:pt idx="72">
                  <c:v>-29.354424873939919</c:v>
                </c:pt>
                <c:pt idx="73">
                  <c:v>-29.348077156902242</c:v>
                </c:pt>
                <c:pt idx="74">
                  <c:v>-29.339315109284613</c:v>
                </c:pt>
                <c:pt idx="75">
                  <c:v>-29.328258431454117</c:v>
                </c:pt>
                <c:pt idx="76">
                  <c:v>-29.315054156434677</c:v>
                </c:pt>
                <c:pt idx="77">
                  <c:v>-29.299872082604281</c:v>
                </c:pt>
                <c:pt idx="78">
                  <c:v>-29.282899768701153</c:v>
                </c:pt>
                <c:pt idx="79">
                  <c:v>-29.264337350058582</c:v>
                </c:pt>
                <c:pt idx="80">
                  <c:v>-29.244392419220603</c:v>
                </c:pt>
                <c:pt idx="81">
                  <c:v>-29.223275182362709</c:v>
                </c:pt>
                <c:pt idx="82">
                  <c:v>-29.201194060368412</c:v>
                </c:pt>
                <c:pt idx="83">
                  <c:v>-29.17835185544055</c:v>
                </c:pt>
                <c:pt idx="84">
                  <c:v>-29.154942555778561</c:v>
                </c:pt>
                <c:pt idx="85">
                  <c:v>-29.131148806208426</c:v>
                </c:pt>
                <c:pt idx="86">
                  <c:v>-29.107140034575263</c:v>
                </c:pt>
                <c:pt idx="87">
                  <c:v>-29.083071193779681</c:v>
                </c:pt>
                <c:pt idx="88">
                  <c:v>-29.059082058025737</c:v>
                </c:pt>
                <c:pt idx="89">
                  <c:v>-29.035296998723265</c:v>
                </c:pt>
                <c:pt idx="90">
                  <c:v>-29.011825159511968</c:v>
                </c:pt>
                <c:pt idx="91">
                  <c:v>-28.80896065040087</c:v>
                </c:pt>
                <c:pt idx="92">
                  <c:v>-28.67731514372187</c:v>
                </c:pt>
                <c:pt idx="93">
                  <c:v>-28.606515598042147</c:v>
                </c:pt>
                <c:pt idx="94">
                  <c:v>-28.579410635100775</c:v>
                </c:pt>
                <c:pt idx="95">
                  <c:v>-28.583163420762578</c:v>
                </c:pt>
                <c:pt idx="96">
                  <c:v>-28.609411782259318</c:v>
                </c:pt>
                <c:pt idx="97">
                  <c:v>-28.652800421756638</c:v>
                </c:pt>
                <c:pt idx="98">
                  <c:v>-28.709814212588697</c:v>
                </c:pt>
                <c:pt idx="99">
                  <c:v>-28.778047666626453</c:v>
                </c:pt>
                <c:pt idx="100">
                  <c:v>-28.855772889619754</c:v>
                </c:pt>
                <c:pt idx="101">
                  <c:v>-28.94168582883637</c:v>
                </c:pt>
                <c:pt idx="102">
                  <c:v>-29.034755664655123</c:v>
                </c:pt>
                <c:pt idx="103">
                  <c:v>-29.134133937105695</c:v>
                </c:pt>
                <c:pt idx="104">
                  <c:v>-29.239098719784366</c:v>
                </c:pt>
                <c:pt idx="105">
                  <c:v>-29.349019700772139</c:v>
                </c:pt>
                <c:pt idx="106">
                  <c:v>-29.463335942546884</c:v>
                </c:pt>
                <c:pt idx="107">
                  <c:v>-29.581541443889595</c:v>
                </c:pt>
                <c:pt idx="108">
                  <c:v>-29.703175559822586</c:v>
                </c:pt>
                <c:pt idx="109">
                  <c:v>-31.030094754473403</c:v>
                </c:pt>
                <c:pt idx="110">
                  <c:v>-32.398243159806498</c:v>
                </c:pt>
                <c:pt idx="111">
                  <c:v>-33.694465317229593</c:v>
                </c:pt>
                <c:pt idx="112">
                  <c:v>-34.885332797365372</c:v>
                </c:pt>
                <c:pt idx="113">
                  <c:v>-35.969174572102489</c:v>
                </c:pt>
                <c:pt idx="114">
                  <c:v>-36.955100498862869</c:v>
                </c:pt>
                <c:pt idx="115">
                  <c:v>-37.854784264361506</c:v>
                </c:pt>
                <c:pt idx="116">
                  <c:v>-38.67950200991978</c:v>
                </c:pt>
                <c:pt idx="117">
                  <c:v>-39.43921944009972</c:v>
                </c:pt>
                <c:pt idx="118">
                  <c:v>-40.142445899680183</c:v>
                </c:pt>
                <c:pt idx="119">
                  <c:v>-40.796353640830304</c:v>
                </c:pt>
                <c:pt idx="120">
                  <c:v>-41.4069689276064</c:v>
                </c:pt>
                <c:pt idx="121">
                  <c:v>-41.979363527191836</c:v>
                </c:pt>
                <c:pt idx="122">
                  <c:v>-42.517823215724022</c:v>
                </c:pt>
                <c:pt idx="123">
                  <c:v>-43.025988495907797</c:v>
                </c:pt>
                <c:pt idx="124">
                  <c:v>-43.506969426289416</c:v>
                </c:pt>
                <c:pt idx="125">
                  <c:v>-43.963438432854154</c:v>
                </c:pt>
                <c:pt idx="126">
                  <c:v>-44.397705129507443</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1.5395744678469843E-5</c:v>
                </c:pt>
                <c:pt idx="1">
                  <c:v>2.3093617013241309E-5</c:v>
                </c:pt>
                <c:pt idx="2">
                  <c:v>3.0791489342651243E-5</c:v>
                </c:pt>
                <c:pt idx="3">
                  <c:v>3.848936166491809E-5</c:v>
                </c:pt>
                <c:pt idx="4">
                  <c:v>4.6187233978254865E-5</c:v>
                </c:pt>
                <c:pt idx="5">
                  <c:v>5.38851062808754E-5</c:v>
                </c:pt>
                <c:pt idx="6">
                  <c:v>6.1582978570994765E-5</c:v>
                </c:pt>
                <c:pt idx="7">
                  <c:v>6.9280850846823729E-5</c:v>
                </c:pt>
                <c:pt idx="8">
                  <c:v>7.6978723106581632E-5</c:v>
                </c:pt>
                <c:pt idx="9">
                  <c:v>8.4676595348474445E-5</c:v>
                </c:pt>
                <c:pt idx="10">
                  <c:v>9.2374467570727748E-5</c:v>
                </c:pt>
                <c:pt idx="11">
                  <c:v>1.000723397715415E-4</c:v>
                </c:pt>
                <c:pt idx="12">
                  <c:v>1.0777021194913932E-4</c:v>
                </c:pt>
                <c:pt idx="13">
                  <c:v>1.1546808410172775E-4</c:v>
                </c:pt>
                <c:pt idx="14">
                  <c:v>1.2316595622753287E-4</c:v>
                </c:pt>
                <c:pt idx="15">
                  <c:v>1.3086382832475763E-4</c:v>
                </c:pt>
                <c:pt idx="16">
                  <c:v>1.3856170039161625E-4</c:v>
                </c:pt>
                <c:pt idx="17">
                  <c:v>1.4625957242633228E-4</c:v>
                </c:pt>
                <c:pt idx="18">
                  <c:v>1.5395744442710672E-4</c:v>
                </c:pt>
                <c:pt idx="19">
                  <c:v>2.3093616217555643E-4</c:v>
                </c:pt>
                <c:pt idx="20">
                  <c:v>3.0791487456581067E-4</c:v>
                </c:pt>
                <c:pt idx="21">
                  <c:v>3.8489357981189736E-4</c:v>
                </c:pt>
                <c:pt idx="22">
                  <c:v>4.6187227612773027E-4</c:v>
                </c:pt>
                <c:pt idx="23">
                  <c:v>5.3885096172725893E-4</c:v>
                </c:pt>
                <c:pt idx="24">
                  <c:v>6.1582963482444218E-4</c:v>
                </c:pt>
                <c:pt idx="25">
                  <c:v>6.9280829363321491E-4</c:v>
                </c:pt>
                <c:pt idx="26">
                  <c:v>7.6978693636753522E-4</c:v>
                </c:pt>
                <c:pt idx="27">
                  <c:v>8.4676556124137355E-4</c:v>
                </c:pt>
                <c:pt idx="28">
                  <c:v>9.2374416646868866E-4</c:v>
                </c:pt>
                <c:pt idx="29">
                  <c:v>1.0007227502633724E-3</c:v>
                </c:pt>
                <c:pt idx="30">
                  <c:v>1.0777013108394268E-3</c:v>
                </c:pt>
                <c:pt idx="31">
                  <c:v>1.1546798464108308E-3</c:v>
                </c:pt>
                <c:pt idx="32">
                  <c:v>1.2316583551914928E-3</c:v>
                </c:pt>
                <c:pt idx="33">
                  <c:v>1.3086368353953063E-3</c:v>
                </c:pt>
                <c:pt idx="34">
                  <c:v>1.3856152852363835E-3</c:v>
                </c:pt>
                <c:pt idx="35">
                  <c:v>1.4625937029285156E-3</c:v>
                </c:pt>
                <c:pt idx="36">
                  <c:v>1.5395720866858312E-3</c:v>
                </c:pt>
                <c:pt idx="37">
                  <c:v>2.3093536649098439E-3</c:v>
                </c:pt>
                <c:pt idx="38">
                  <c:v>3.0791298850022164E-3</c:v>
                </c:pt>
                <c:pt idx="39">
                  <c:v>3.848898960939122E-3</c:v>
                </c:pt>
                <c:pt idx="40">
                  <c:v>4.6186591067122734E-3</c:v>
                </c:pt>
                <c:pt idx="41">
                  <c:v>5.3884085363344793E-3</c:v>
                </c:pt>
                <c:pt idx="42">
                  <c:v>6.1581454638434526E-3</c:v>
                </c:pt>
                <c:pt idx="43">
                  <c:v>6.9278681033054712E-3</c:v>
                </c:pt>
                <c:pt idx="44">
                  <c:v>7.6975746688201247E-3</c:v>
                </c:pt>
                <c:pt idx="45">
                  <c:v>8.467263374524428E-3</c:v>
                </c:pt>
                <c:pt idx="46">
                  <c:v>9.2369324345969069E-3</c:v>
                </c:pt>
                <c:pt idx="47">
                  <c:v>1.0006580063260074E-2</c:v>
                </c:pt>
                <c:pt idx="48">
                  <c:v>1.0776204474786827E-2</c:v>
                </c:pt>
                <c:pt idx="49">
                  <c:v>1.1545803883506071E-2</c:v>
                </c:pt>
                <c:pt idx="50">
                  <c:v>1.231537650380261E-2</c:v>
                </c:pt>
                <c:pt idx="51">
                  <c:v>1.3084920550120834E-2</c:v>
                </c:pt>
                <c:pt idx="52">
                  <c:v>1.3854434236975504E-2</c:v>
                </c:pt>
                <c:pt idx="53">
                  <c:v>1.4623915778950371E-2</c:v>
                </c:pt>
                <c:pt idx="54">
                  <c:v>1.5393363390701069E-2</c:v>
                </c:pt>
                <c:pt idx="55">
                  <c:v>2.3085580632125333E-2</c:v>
                </c:pt>
                <c:pt idx="56">
                  <c:v>3.0772441686203498E-2</c:v>
                </c:pt>
                <c:pt idx="57">
                  <c:v>3.8452163085509722E-2</c:v>
                </c:pt>
                <c:pt idx="58">
                  <c:v>4.6122963014268298E-2</c:v>
                </c:pt>
                <c:pt idx="59">
                  <c:v>5.378306171977551E-2</c:v>
                </c:pt>
                <c:pt idx="60">
                  <c:v>6.1430681922788596E-2</c:v>
                </c:pt>
                <c:pt idx="61">
                  <c:v>6.9064049226725821E-2</c:v>
                </c:pt>
                <c:pt idx="62">
                  <c:v>7.6681392525457817E-2</c:v>
                </c:pt>
                <c:pt idx="63">
                  <c:v>8.4280944409495309E-2</c:v>
                </c:pt>
                <c:pt idx="64">
                  <c:v>9.1860941570398466E-2</c:v>
                </c:pt>
                <c:pt idx="65">
                  <c:v>9.9419625203181636E-2</c:v>
                </c:pt>
                <c:pt idx="66">
                  <c:v>0.10695524140652266</c:v>
                </c:pt>
                <c:pt idx="67">
                  <c:v>0.11446604158064175</c:v>
                </c:pt>
                <c:pt idx="68">
                  <c:v>0.12195028282256974</c:v>
                </c:pt>
                <c:pt idx="69">
                  <c:v>0.12940622831873747</c:v>
                </c:pt>
                <c:pt idx="70">
                  <c:v>0.13683214773452015</c:v>
                </c:pt>
                <c:pt idx="71">
                  <c:v>0.14422631760079391</c:v>
                </c:pt>
                <c:pt idx="72">
                  <c:v>0.15158702169711236</c:v>
                </c:pt>
                <c:pt idx="73">
                  <c:v>0.22298180833870548</c:v>
                </c:pt>
                <c:pt idx="74">
                  <c:v>0.28921009277994564</c:v>
                </c:pt>
                <c:pt idx="75">
                  <c:v>0.34873063175543523</c:v>
                </c:pt>
                <c:pt idx="76">
                  <c:v>0.40014636608757059</c:v>
                </c:pt>
                <c:pt idx="77">
                  <c:v>0.4422278706422364</c:v>
                </c:pt>
                <c:pt idx="78">
                  <c:v>0.47392985752505251</c:v>
                </c:pt>
                <c:pt idx="79">
                  <c:v>0.49440057103429946</c:v>
                </c:pt>
                <c:pt idx="80">
                  <c:v>0.50298434361518363</c:v>
                </c:pt>
                <c:pt idx="81">
                  <c:v>0.49921794089335347</c:v>
                </c:pt>
                <c:pt idx="82">
                  <c:v>0.48282158874352499</c:v>
                </c:pt>
                <c:pt idx="83">
                  <c:v>0.45368573790166794</c:v>
                </c:pt>
                <c:pt idx="84">
                  <c:v>0.41185468568829825</c:v>
                </c:pt>
                <c:pt idx="85">
                  <c:v>0.35750815306476696</c:v>
                </c:pt>
                <c:pt idx="86">
                  <c:v>0.29094182725241063</c:v>
                </c:pt>
                <c:pt idx="87">
                  <c:v>0.2125477464656258</c:v>
                </c:pt>
                <c:pt idx="88">
                  <c:v>0.12279524419738627</c:v>
                </c:pt>
                <c:pt idx="89">
                  <c:v>2.2213003528794746E-2</c:v>
                </c:pt>
                <c:pt idx="90">
                  <c:v>-8.8627389146772456E-2</c:v>
                </c:pt>
                <c:pt idx="91">
                  <c:v>-1.6287713864686184</c:v>
                </c:pt>
                <c:pt idx="92">
                  <c:v>-3.6009365698079825</c:v>
                </c:pt>
                <c:pt idx="93">
                  <c:v>-5.6966204635581095</c:v>
                </c:pt>
                <c:pt idx="94">
                  <c:v>-7.7886608096578227</c:v>
                </c:pt>
                <c:pt idx="95">
                  <c:v>-9.8329209885979818</c:v>
                </c:pt>
                <c:pt idx="96">
                  <c:v>-11.817000702379032</c:v>
                </c:pt>
                <c:pt idx="97">
                  <c:v>-13.739578095968266</c:v>
                </c:pt>
                <c:pt idx="98">
                  <c:v>-15.602726173990806</c:v>
                </c:pt>
                <c:pt idx="99">
                  <c:v>-17.409192645117688</c:v>
                </c:pt>
                <c:pt idx="100">
                  <c:v>-19.161523745165205</c:v>
                </c:pt>
                <c:pt idx="101">
                  <c:v>-20.861857001995052</c:v>
                </c:pt>
                <c:pt idx="102">
                  <c:v>-22.511942005843029</c:v>
                </c:pt>
                <c:pt idx="103">
                  <c:v>-24.113224952656751</c:v>
                </c:pt>
                <c:pt idx="104">
                  <c:v>-25.666938006272446</c:v>
                </c:pt>
                <c:pt idx="105">
                  <c:v>-27.174174691732798</c:v>
                </c:pt>
                <c:pt idx="106">
                  <c:v>-28.635947566063695</c:v>
                </c:pt>
                <c:pt idx="107">
                  <c:v>-30.05322965909658</c:v>
                </c:pt>
                <c:pt idx="108">
                  <c:v>-31.426982640244034</c:v>
                </c:pt>
                <c:pt idx="109">
                  <c:v>-42.992760098320161</c:v>
                </c:pt>
                <c:pt idx="110">
                  <c:v>-51.351052243809683</c:v>
                </c:pt>
                <c:pt idx="111">
                  <c:v>-57.462861840529783</c:v>
                </c:pt>
                <c:pt idx="112">
                  <c:v>-62.038331191173206</c:v>
                </c:pt>
                <c:pt idx="113">
                  <c:v>-65.55333750520451</c:v>
                </c:pt>
                <c:pt idx="114">
                  <c:v>-68.320070626207809</c:v>
                </c:pt>
                <c:pt idx="115">
                  <c:v>-70.545337530395898</c:v>
                </c:pt>
                <c:pt idx="116">
                  <c:v>-72.369041632253087</c:v>
                </c:pt>
                <c:pt idx="117">
                  <c:v>-73.888137146886294</c:v>
                </c:pt>
                <c:pt idx="118">
                  <c:v>-75.171440803956671</c:v>
                </c:pt>
                <c:pt idx="119">
                  <c:v>-76.268905868833428</c:v>
                </c:pt>
                <c:pt idx="120">
                  <c:v>-77.217545000570226</c:v>
                </c:pt>
                <c:pt idx="121">
                  <c:v>-78.045297207306604</c:v>
                </c:pt>
                <c:pt idx="122">
                  <c:v>-78.773608887197909</c:v>
                </c:pt>
                <c:pt idx="123">
                  <c:v>-79.419193375176832</c:v>
                </c:pt>
                <c:pt idx="124">
                  <c:v>-79.995254458918367</c:v>
                </c:pt>
                <c:pt idx="125">
                  <c:v>-80.512352930887999</c:v>
                </c:pt>
                <c:pt idx="126">
                  <c:v>-80.97903080742752</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82.341764647886521</c:v>
                </c:pt>
                <c:pt idx="1">
                  <c:v>78.861509098513579</c:v>
                </c:pt>
                <c:pt idx="2">
                  <c:v>76.377379375635442</c:v>
                </c:pt>
                <c:pt idx="3">
                  <c:v>74.445975651994871</c:v>
                </c:pt>
                <c:pt idx="4">
                  <c:v>72.866048450091213</c:v>
                </c:pt>
                <c:pt idx="5">
                  <c:v>71.529345153823698</c:v>
                </c:pt>
                <c:pt idx="6">
                  <c:v>70.370957212905139</c:v>
                </c:pt>
                <c:pt idx="7">
                  <c:v>69.348903285574352</c:v>
                </c:pt>
                <c:pt idx="8">
                  <c:v>68.434467889092645</c:v>
                </c:pt>
                <c:pt idx="9">
                  <c:v>67.607144338174578</c:v>
                </c:pt>
                <c:pt idx="10">
                  <c:v>66.851777896989276</c:v>
                </c:pt>
                <c:pt idx="11">
                  <c:v>66.156852334035818</c:v>
                </c:pt>
                <c:pt idx="12">
                  <c:v>65.513411403755768</c:v>
                </c:pt>
                <c:pt idx="13">
                  <c:v>64.914352392423481</c:v>
                </c:pt>
                <c:pt idx="14">
                  <c:v>64.353947638902127</c:v>
                </c:pt>
                <c:pt idx="15">
                  <c:v>63.827511097536444</c:v>
                </c:pt>
                <c:pt idx="16">
                  <c:v>63.331160196994659</c:v>
                </c:pt>
                <c:pt idx="17">
                  <c:v>62.861642078584254</c:v>
                </c:pt>
                <c:pt idx="18">
                  <c:v>62.416204399403284</c:v>
                </c:pt>
                <c:pt idx="19">
                  <c:v>58.894907495033209</c:v>
                </c:pt>
                <c:pt idx="20">
                  <c:v>56.396430445311253</c:v>
                </c:pt>
                <c:pt idx="21">
                  <c:v>54.458491696185341</c:v>
                </c:pt>
                <c:pt idx="22">
                  <c:v>52.875140089062292</c:v>
                </c:pt>
                <c:pt idx="23">
                  <c:v>51.53650584664463</c:v>
                </c:pt>
                <c:pt idx="24">
                  <c:v>50.377003552924009</c:v>
                </c:pt>
                <c:pt idx="25">
                  <c:v>49.354328116761927</c:v>
                </c:pt>
                <c:pt idx="26">
                  <c:v>48.439593402475658</c:v>
                </c:pt>
                <c:pt idx="27">
                  <c:v>47.61219584866798</c:v>
                </c:pt>
                <c:pt idx="28">
                  <c:v>46.856922409116926</c:v>
                </c:pt>
                <c:pt idx="29">
                  <c:v>46.162220048523295</c:v>
                </c:pt>
                <c:pt idx="30">
                  <c:v>45.519108360304763</c:v>
                </c:pt>
                <c:pt idx="31">
                  <c:v>44.920468235017481</c:v>
                </c:pt>
                <c:pt idx="32">
                  <c:v>44.360560565423285</c:v>
                </c:pt>
                <c:pt idx="33">
                  <c:v>43.834691116426839</c:v>
                </c:pt>
                <c:pt idx="34">
                  <c:v>43.338971329766025</c:v>
                </c:pt>
                <c:pt idx="35">
                  <c:v>42.870143885658301</c:v>
                </c:pt>
                <c:pt idx="36">
                  <c:v>42.425453059831909</c:v>
                </c:pt>
                <c:pt idx="37">
                  <c:v>38.914338994954335</c:v>
                </c:pt>
                <c:pt idx="38">
                  <c:v>36.430511185365866</c:v>
                </c:pt>
                <c:pt idx="39">
                  <c:v>34.511451897879709</c:v>
                </c:pt>
                <c:pt idx="40">
                  <c:v>32.951107023057034</c:v>
                </c:pt>
                <c:pt idx="41">
                  <c:v>31.639523829698931</c:v>
                </c:pt>
                <c:pt idx="42">
                  <c:v>30.511032820904877</c:v>
                </c:pt>
                <c:pt idx="43">
                  <c:v>29.52323847732935</c:v>
                </c:pt>
                <c:pt idx="44">
                  <c:v>28.64715665074851</c:v>
                </c:pt>
                <c:pt idx="45">
                  <c:v>27.862078218636693</c:v>
                </c:pt>
                <c:pt idx="46">
                  <c:v>27.152677546652349</c:v>
                </c:pt>
                <c:pt idx="47">
                  <c:v>26.507282716258427</c:v>
                </c:pt>
                <c:pt idx="48">
                  <c:v>25.916788970682333</c:v>
                </c:pt>
                <c:pt idx="49">
                  <c:v>25.373948252332529</c:v>
                </c:pt>
                <c:pt idx="50">
                  <c:v>24.872888786148366</c:v>
                </c:pt>
                <c:pt idx="51">
                  <c:v>24.408780816636487</c:v>
                </c:pt>
                <c:pt idx="52">
                  <c:v>23.977598253913996</c:v>
                </c:pt>
                <c:pt idx="53">
                  <c:v>23.575945040057572</c:v>
                </c:pt>
                <c:pt idx="54">
                  <c:v>23.200926265916259</c:v>
                </c:pt>
                <c:pt idx="55">
                  <c:v>20.494218725354187</c:v>
                </c:pt>
                <c:pt idx="56">
                  <c:v>18.928108402919495</c:v>
                </c:pt>
                <c:pt idx="57">
                  <c:v>17.953616620148054</c:v>
                </c:pt>
                <c:pt idx="58">
                  <c:v>17.315385740126384</c:v>
                </c:pt>
                <c:pt idx="59">
                  <c:v>16.879557972794629</c:v>
                </c:pt>
                <c:pt idx="60">
                  <c:v>16.571171750134837</c:v>
                </c:pt>
                <c:pt idx="61">
                  <c:v>16.346169997374599</c:v>
                </c:pt>
                <c:pt idx="62">
                  <c:v>16.177587636944782</c:v>
                </c:pt>
                <c:pt idx="63">
                  <c:v>16.048321365566782</c:v>
                </c:pt>
                <c:pt idx="64">
                  <c:v>15.947172584796409</c:v>
                </c:pt>
                <c:pt idx="65">
                  <c:v>15.866597577043425</c:v>
                </c:pt>
                <c:pt idx="66">
                  <c:v>15.801383849786607</c:v>
                </c:pt>
                <c:pt idx="67">
                  <c:v>15.747846771279196</c:v>
                </c:pt>
                <c:pt idx="68">
                  <c:v>15.703327948097057</c:v>
                </c:pt>
                <c:pt idx="69">
                  <c:v>15.66587379228338</c:v>
                </c:pt>
                <c:pt idx="70">
                  <c:v>15.634024624926708</c:v>
                </c:pt>
                <c:pt idx="71">
                  <c:v>15.606673285078669</c:v>
                </c:pt>
                <c:pt idx="72">
                  <c:v>15.582968448045643</c:v>
                </c:pt>
                <c:pt idx="73">
                  <c:v>15.450038914840157</c:v>
                </c:pt>
                <c:pt idx="74">
                  <c:v>15.386763714688051</c:v>
                </c:pt>
                <c:pt idx="75">
                  <c:v>15.339902269726553</c:v>
                </c:pt>
                <c:pt idx="76">
                  <c:v>15.296048169946069</c:v>
                </c:pt>
                <c:pt idx="77">
                  <c:v>15.250633735180031</c:v>
                </c:pt>
                <c:pt idx="78">
                  <c:v>15.201818515095088</c:v>
                </c:pt>
                <c:pt idx="79">
                  <c:v>15.148799565806355</c:v>
                </c:pt>
                <c:pt idx="80">
                  <c:v>15.091231978664435</c:v>
                </c:pt>
                <c:pt idx="81">
                  <c:v>15.028997399779684</c:v>
                </c:pt>
                <c:pt idx="82">
                  <c:v>14.962100134724562</c:v>
                </c:pt>
                <c:pt idx="83">
                  <c:v>14.890615879826676</c:v>
                </c:pt>
                <c:pt idx="84">
                  <c:v>14.814664269511246</c:v>
                </c:pt>
                <c:pt idx="85">
                  <c:v>14.734393052380589</c:v>
                </c:pt>
                <c:pt idx="86">
                  <c:v>14.649968326909955</c:v>
                </c:pt>
                <c:pt idx="87">
                  <c:v>14.561568125014229</c:v>
                </c:pt>
                <c:pt idx="88">
                  <c:v>14.469377950733156</c:v>
                </c:pt>
                <c:pt idx="89">
                  <c:v>14.373587525121803</c:v>
                </c:pt>
                <c:pt idx="90">
                  <c:v>14.274388317801797</c:v>
                </c:pt>
                <c:pt idx="91">
                  <c:v>13.135370129058057</c:v>
                </c:pt>
                <c:pt idx="92">
                  <c:v>11.837159902386393</c:v>
                </c:pt>
                <c:pt idx="93">
                  <c:v>10.486692656230662</c:v>
                </c:pt>
                <c:pt idx="94">
                  <c:v>9.1414750301706373</c:v>
                </c:pt>
                <c:pt idx="95">
                  <c:v>7.8294097680771007</c:v>
                </c:pt>
                <c:pt idx="96">
                  <c:v>6.5629132627960676</c:v>
                </c:pt>
                <c:pt idx="97">
                  <c:v>5.3466944804965078</c:v>
                </c:pt>
                <c:pt idx="98">
                  <c:v>4.1816712804524609</c:v>
                </c:pt>
                <c:pt idx="99">
                  <c:v>3.0668937019801916</c:v>
                </c:pt>
                <c:pt idx="100">
                  <c:v>2.0004967234770872</c:v>
                </c:pt>
                <c:pt idx="101">
                  <c:v>0.98018568336552092</c:v>
                </c:pt>
                <c:pt idx="102">
                  <c:v>3.493094247146381E-3</c:v>
                </c:pt>
                <c:pt idx="103">
                  <c:v>-0.93208032523405349</c:v>
                </c:pt>
                <c:pt idx="104">
                  <c:v>-1.8289861452642866</c:v>
                </c:pt>
                <c:pt idx="105">
                  <c:v>-2.6895832308361283</c:v>
                </c:pt>
                <c:pt idx="106">
                  <c:v>-3.5161131232713458</c:v>
                </c:pt>
                <c:pt idx="107">
                  <c:v>-4.3106879503673898</c:v>
                </c:pt>
                <c:pt idx="108">
                  <c:v>-5.0752862369774334</c:v>
                </c:pt>
                <c:pt idx="109">
                  <c:v>-11.42016869868055</c:v>
                </c:pt>
                <c:pt idx="110">
                  <c:v>-16.151048912958284</c:v>
                </c:pt>
                <c:pt idx="111">
                  <c:v>-19.899535918789329</c:v>
                </c:pt>
                <c:pt idx="112">
                  <c:v>-22.99603676351888</c:v>
                </c:pt>
                <c:pt idx="113">
                  <c:v>-25.63080443644731</c:v>
                </c:pt>
                <c:pt idx="114">
                  <c:v>-27.922323844911393</c:v>
                </c:pt>
                <c:pt idx="115">
                  <c:v>-29.949035427251832</c:v>
                </c:pt>
                <c:pt idx="116">
                  <c:v>-31.765423741096651</c:v>
                </c:pt>
                <c:pt idx="117">
                  <c:v>-33.410815541598105</c:v>
                </c:pt>
                <c:pt idx="118">
                  <c:v>-34.914499067854699</c:v>
                </c:pt>
                <c:pt idx="119">
                  <c:v>-36.298859414478891</c:v>
                </c:pt>
                <c:pt idx="120">
                  <c:v>-37.581382733932841</c:v>
                </c:pt>
                <c:pt idx="121">
                  <c:v>-38.775984472971686</c:v>
                </c:pt>
                <c:pt idx="122">
                  <c:v>-39.893917193718558</c:v>
                </c:pt>
                <c:pt idx="123">
                  <c:v>-40.94440778034199</c:v>
                </c:pt>
                <c:pt idx="124">
                  <c:v>-41.935115186175096</c:v>
                </c:pt>
                <c:pt idx="125">
                  <c:v>-42.872466026459094</c:v>
                </c:pt>
                <c:pt idx="126">
                  <c:v>-43.761905088403388</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-82.45072836444028</c:v>
                </c:pt>
                <c:pt idx="1">
                  <c:v>-84.930187284509145</c:v>
                </c:pt>
                <c:pt idx="2">
                  <c:v>-86.171436840948346</c:v>
                </c:pt>
                <c:pt idx="3">
                  <c:v>-86.912987626433306</c:v>
                </c:pt>
                <c:pt idx="4">
                  <c:v>-87.403771308573127</c:v>
                </c:pt>
                <c:pt idx="5">
                  <c:v>-87.750988752295498</c:v>
                </c:pt>
                <c:pt idx="6">
                  <c:v>-88.008378105167907</c:v>
                </c:pt>
                <c:pt idx="7">
                  <c:v>-88.205839885314404</c:v>
                </c:pt>
                <c:pt idx="8">
                  <c:v>-88.3613323548648</c:v>
                </c:pt>
                <c:pt idx="9">
                  <c:v>-88.486291364749633</c:v>
                </c:pt>
                <c:pt idx="10">
                  <c:v>-88.58834458545995</c:v>
                </c:pt>
                <c:pt idx="11">
                  <c:v>-88.672774652938244</c:v>
                </c:pt>
                <c:pt idx="12">
                  <c:v>-88.743355938353233</c:v>
                </c:pt>
                <c:pt idx="13">
                  <c:v>-88.802856921626088</c:v>
                </c:pt>
                <c:pt idx="14">
                  <c:v>-88.853354326017936</c:v>
                </c:pt>
                <c:pt idx="15">
                  <c:v>-88.896436459150109</c:v>
                </c:pt>
                <c:pt idx="16">
                  <c:v>-88.933338815312879</c:v>
                </c:pt>
                <c:pt idx="17">
                  <c:v>-88.965036879297784</c:v>
                </c:pt>
                <c:pt idx="18">
                  <c:v>-88.992311102603267</c:v>
                </c:pt>
                <c:pt idx="19">
                  <c:v>-89.119052946569056</c:v>
                </c:pt>
                <c:pt idx="20">
                  <c:v>-89.119692906010926</c:v>
                </c:pt>
                <c:pt idx="21">
                  <c:v>-89.069891124530358</c:v>
                </c:pt>
                <c:pt idx="22">
                  <c:v>-88.994871325342672</c:v>
                </c:pt>
                <c:pt idx="23">
                  <c:v>-88.905444918677858</c:v>
                </c:pt>
                <c:pt idx="24">
                  <c:v>-88.807018378120461</c:v>
                </c:pt>
                <c:pt idx="25">
                  <c:v>-88.702595905598244</c:v>
                </c:pt>
                <c:pt idx="26">
                  <c:v>-88.593980543247696</c:v>
                </c:pt>
                <c:pt idx="27">
                  <c:v>-88.482320146287364</c:v>
                </c:pt>
                <c:pt idx="28">
                  <c:v>-88.368380373755897</c:v>
                </c:pt>
                <c:pt idx="29">
                  <c:v>-88.252691685136654</c:v>
                </c:pt>
                <c:pt idx="30">
                  <c:v>-88.135633339086638</c:v>
                </c:pt>
                <c:pt idx="31">
                  <c:v>-88.017483792957236</c:v>
                </c:pt>
                <c:pt idx="32">
                  <c:v>-87.898452202618756</c:v>
                </c:pt>
                <c:pt idx="33">
                  <c:v>-87.77869880475113</c:v>
                </c:pt>
                <c:pt idx="34">
                  <c:v>-87.658348505055898</c:v>
                </c:pt>
                <c:pt idx="35">
                  <c:v>-87.537500175453303</c:v>
                </c:pt>
                <c:pt idx="36">
                  <c:v>-87.416233162112505</c:v>
                </c:pt>
                <c:pt idx="37">
                  <c:v>-86.190545153326298</c:v>
                </c:pt>
                <c:pt idx="38">
                  <c:v>-84.955991844823046</c:v>
                </c:pt>
                <c:pt idx="39">
                  <c:v>-83.721355906131322</c:v>
                </c:pt>
                <c:pt idx="40">
                  <c:v>-82.490346142247262</c:v>
                </c:pt>
                <c:pt idx="41">
                  <c:v>-81.265194774240882</c:v>
                </c:pt>
                <c:pt idx="42">
                  <c:v>-80.047552456163103</c:v>
                </c:pt>
                <c:pt idx="43">
                  <c:v>-78.838783239380803</c:v>
                </c:pt>
                <c:pt idx="44">
                  <c:v>-77.640079968679302</c:v>
                </c:pt>
                <c:pt idx="45">
                  <c:v>-76.452514813238551</c:v>
                </c:pt>
                <c:pt idx="46">
                  <c:v>-75.277063178976164</c:v>
                </c:pt>
                <c:pt idx="47">
                  <c:v>-74.114615713584072</c:v>
                </c:pt>
                <c:pt idx="48">
                  <c:v>-72.965984701488466</c:v>
                </c:pt>
                <c:pt idx="49">
                  <c:v>-71.831907773104987</c:v>
                </c:pt>
                <c:pt idx="50">
                  <c:v>-70.713050371371196</c:v>
                </c:pt>
                <c:pt idx="51">
                  <c:v>-69.610007717057186</c:v>
                </c:pt>
                <c:pt idx="52">
                  <c:v>-68.523306660542232</c:v>
                </c:pt>
                <c:pt idx="53">
                  <c:v>-67.453407619608981</c:v>
                </c:pt>
                <c:pt idx="54">
                  <c:v>-66.400706698416357</c:v>
                </c:pt>
                <c:pt idx="55">
                  <c:v>-56.865989544913361</c:v>
                </c:pt>
                <c:pt idx="56">
                  <c:v>-49.117004307052078</c:v>
                </c:pt>
                <c:pt idx="57">
                  <c:v>-42.933522178527895</c:v>
                </c:pt>
                <c:pt idx="58">
                  <c:v>-38.012646657122872</c:v>
                </c:pt>
                <c:pt idx="59">
                  <c:v>-34.074670436844826</c:v>
                </c:pt>
                <c:pt idx="60">
                  <c:v>-30.893917025477474</c:v>
                </c:pt>
                <c:pt idx="61">
                  <c:v>-28.297844381228277</c:v>
                </c:pt>
                <c:pt idx="62">
                  <c:v>-26.157029873539852</c:v>
                </c:pt>
                <c:pt idx="63">
                  <c:v>-24.374645719877257</c:v>
                </c:pt>
                <c:pt idx="64">
                  <c:v>-22.877851501533133</c:v>
                </c:pt>
                <c:pt idx="65">
                  <c:v>-21.611336807861807</c:v>
                </c:pt>
                <c:pt idx="66">
                  <c:v>-20.532636646444114</c:v>
                </c:pt>
                <c:pt idx="67">
                  <c:v>-19.608769675040762</c:v>
                </c:pt>
                <c:pt idx="68">
                  <c:v>-18.813825435970376</c:v>
                </c:pt>
                <c:pt idx="69">
                  <c:v>-18.127222761787262</c:v>
                </c:pt>
                <c:pt idx="70">
                  <c:v>-17.532441817326237</c:v>
                </c:pt>
                <c:pt idx="71">
                  <c:v>-17.01609173586316</c:v>
                </c:pt>
                <c:pt idx="72">
                  <c:v>-16.567217793284815</c:v>
                </c:pt>
                <c:pt idx="73">
                  <c:v>-14.366083835809945</c:v>
                </c:pt>
                <c:pt idx="74">
                  <c:v>-14.19523912567122</c:v>
                </c:pt>
                <c:pt idx="75">
                  <c:v>-14.852226725770816</c:v>
                </c:pt>
                <c:pt idx="76">
                  <c:v>-15.922132533881124</c:v>
                </c:pt>
                <c:pt idx="77">
                  <c:v>-17.223729700627185</c:v>
                </c:pt>
                <c:pt idx="78">
                  <c:v>-18.664970780566129</c:v>
                </c:pt>
                <c:pt idx="79">
                  <c:v>-20.193861483990322</c:v>
                </c:pt>
                <c:pt idx="80">
                  <c:v>-21.778595952327574</c:v>
                </c:pt>
                <c:pt idx="81">
                  <c:v>-23.398467749993561</c:v>
                </c:pt>
                <c:pt idx="82">
                  <c:v>-25.039306047497011</c:v>
                </c:pt>
                <c:pt idx="83">
                  <c:v>-26.691010973649878</c:v>
                </c:pt>
                <c:pt idx="84">
                  <c:v>-28.346141962696606</c:v>
                </c:pt>
                <c:pt idx="85">
                  <c:v>-29.999068748535663</c:v>
                </c:pt>
                <c:pt idx="86">
                  <c:v>-31.645439074146413</c:v>
                </c:pt>
                <c:pt idx="87">
                  <c:v>-33.281832646254408</c:v>
                </c:pt>
                <c:pt idx="88">
                  <c:v>-34.905528768179074</c:v>
                </c:pt>
                <c:pt idx="89">
                  <c:v>-36.514345629867016</c:v>
                </c:pt>
                <c:pt idx="90">
                  <c:v>-38.106526064139238</c:v>
                </c:pt>
                <c:pt idx="91">
                  <c:v>-52.909896747714093</c:v>
                </c:pt>
                <c:pt idx="92">
                  <c:v>-65.533815490978768</c:v>
                </c:pt>
                <c:pt idx="93">
                  <c:v>-76.189926481217782</c:v>
                </c:pt>
                <c:pt idx="94">
                  <c:v>-85.227603328518711</c:v>
                </c:pt>
                <c:pt idx="95">
                  <c:v>-92.962701840352466</c:v>
                </c:pt>
                <c:pt idx="96">
                  <c:v>-99.646073821421282</c:v>
                </c:pt>
                <c:pt idx="97">
                  <c:v>-105.47066505218559</c:v>
                </c:pt>
                <c:pt idx="98">
                  <c:v>-110.58514990308306</c:v>
                </c:pt>
                <c:pt idx="99">
                  <c:v>-115.1056558302449</c:v>
                </c:pt>
                <c:pt idx="100">
                  <c:v>-119.12437071269088</c:v>
                </c:pt>
                <c:pt idx="101">
                  <c:v>-122.71559741236722</c:v>
                </c:pt>
                <c:pt idx="102">
                  <c:v>-125.94000851112628</c:v>
                </c:pt>
                <c:pt idx="103">
                  <c:v>-128.84768610146705</c:v>
                </c:pt>
                <c:pt idx="104">
                  <c:v>-131.4803437276037</c:v>
                </c:pt>
                <c:pt idx="105">
                  <c:v>-133.87298887719021</c:v>
                </c:pt>
                <c:pt idx="106">
                  <c:v>-136.05519336651969</c:v>
                </c:pt>
                <c:pt idx="107">
                  <c:v>-138.05208154627474</c:v>
                </c:pt>
                <c:pt idx="108">
                  <c:v>-139.88511029429876</c:v>
                </c:pt>
                <c:pt idx="109">
                  <c:v>-152.26075633229982</c:v>
                </c:pt>
                <c:pt idx="110">
                  <c:v>-158.90306102113342</c:v>
                </c:pt>
                <c:pt idx="111">
                  <c:v>-163.00903631048331</c:v>
                </c:pt>
                <c:pt idx="112">
                  <c:v>-165.78832067185664</c:v>
                </c:pt>
                <c:pt idx="113">
                  <c:v>-167.79104252813326</c:v>
                </c:pt>
                <c:pt idx="114">
                  <c:v>-169.30140508752305</c:v>
                </c:pt>
                <c:pt idx="115">
                  <c:v>-170.48048279371221</c:v>
                </c:pt>
                <c:pt idx="116">
                  <c:v>-171.42619567021896</c:v>
                </c:pt>
                <c:pt idx="117">
                  <c:v>-172.20142496898183</c:v>
                </c:pt>
                <c:pt idx="118">
                  <c:v>-172.84836726389665</c:v>
                </c:pt>
                <c:pt idx="119">
                  <c:v>-173.39637876711916</c:v>
                </c:pt>
                <c:pt idx="120">
                  <c:v>-173.86650689074722</c:v>
                </c:pt>
                <c:pt idx="121">
                  <c:v>-174.27423174612002</c:v>
                </c:pt>
                <c:pt idx="122">
                  <c:v>-174.63119062302854</c:v>
                </c:pt>
                <c:pt idx="123">
                  <c:v>-174.94629952958039</c:v>
                </c:pt>
                <c:pt idx="124">
                  <c:v>-175.22650396630334</c:v>
                </c:pt>
                <c:pt idx="125">
                  <c:v>-175.4772943464823</c:v>
                </c:pt>
                <c:pt idx="126">
                  <c:v>-175.70306779965111</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32.610592141121757</c:v>
                </c:pt>
                <c:pt idx="1">
                  <c:v>32.610564010177463</c:v>
                </c:pt>
                <c:pt idx="2">
                  <c:v>32.610524627161546</c:v>
                </c:pt>
                <c:pt idx="3">
                  <c:v>32.610473992380228</c:v>
                </c:pt>
                <c:pt idx="4">
                  <c:v>32.610412106226946</c:v>
                </c:pt>
                <c:pt idx="5">
                  <c:v>32.610338969182806</c:v>
                </c:pt>
                <c:pt idx="6">
                  <c:v>32.610254581816186</c:v>
                </c:pt>
                <c:pt idx="7">
                  <c:v>32.610158944782903</c:v>
                </c:pt>
                <c:pt idx="8">
                  <c:v>32.610052058826255</c:v>
                </c:pt>
                <c:pt idx="9">
                  <c:v>32.609933924776826</c:v>
                </c:pt>
                <c:pt idx="10">
                  <c:v>32.609804543552599</c:v>
                </c:pt>
                <c:pt idx="11">
                  <c:v>32.60966391615883</c:v>
                </c:pt>
                <c:pt idx="12">
                  <c:v>32.609512043688085</c:v>
                </c:pt>
                <c:pt idx="13">
                  <c:v>32.609348927320333</c:v>
                </c:pt>
                <c:pt idx="14">
                  <c:v>32.609174568322608</c:v>
                </c:pt>
                <c:pt idx="15">
                  <c:v>32.608988968049331</c:v>
                </c:pt>
                <c:pt idx="16">
                  <c:v>32.608792127941925</c:v>
                </c:pt>
                <c:pt idx="17">
                  <c:v>32.608584049529043</c:v>
                </c:pt>
                <c:pt idx="18">
                  <c:v>32.608364734426488</c:v>
                </c:pt>
                <c:pt idx="19">
                  <c:v>32.605553983116934</c:v>
                </c:pt>
                <c:pt idx="20">
                  <c:v>32.601621984978323</c:v>
                </c:pt>
                <c:pt idx="21">
                  <c:v>32.596571784236943</c:v>
                </c:pt>
                <c:pt idx="22">
                  <c:v>32.590407281428725</c:v>
                </c:pt>
                <c:pt idx="23">
                  <c:v>32.583133223398171</c:v>
                </c:pt>
                <c:pt idx="24">
                  <c:v>32.574755191183954</c:v>
                </c:pt>
                <c:pt idx="25">
                  <c:v>32.565279585857532</c:v>
                </c:pt>
                <c:pt idx="26">
                  <c:v>32.554713612388305</c:v>
                </c:pt>
                <c:pt idx="27">
                  <c:v>32.54306526161993</c:v>
                </c:pt>
                <c:pt idx="28">
                  <c:v>32.530343290452535</c:v>
                </c:pt>
                <c:pt idx="29">
                  <c:v>32.516557200330247</c:v>
                </c:pt>
                <c:pt idx="30">
                  <c:v>32.501717214144549</c:v>
                </c:pt>
                <c:pt idx="31">
                  <c:v>32.485834251666752</c:v>
                </c:pt>
                <c:pt idx="32">
                  <c:v>32.468919903631402</c:v>
                </c:pt>
                <c:pt idx="33">
                  <c:v>32.450986404594758</c:v>
                </c:pt>
                <c:pt idx="34">
                  <c:v>32.432046604695131</c:v>
                </c:pt>
                <c:pt idx="35">
                  <c:v>32.412113940447703</c:v>
                </c:pt>
                <c:pt idx="36">
                  <c:v>32.39120240470379</c:v>
                </c:pt>
                <c:pt idx="37">
                  <c:v>32.131662499753936</c:v>
                </c:pt>
                <c:pt idx="38">
                  <c:v>31.792543125152374</c:v>
                </c:pt>
                <c:pt idx="39">
                  <c:v>31.392158667941324</c:v>
                </c:pt>
                <c:pt idx="40">
                  <c:v>30.948169986023249</c:v>
                </c:pt>
                <c:pt idx="41">
                  <c:v>30.476010635240776</c:v>
                </c:pt>
                <c:pt idx="42">
                  <c:v>29.98823164891423</c:v>
                </c:pt>
                <c:pt idx="43">
                  <c:v>29.494493307043953</c:v>
                </c:pt>
                <c:pt idx="44">
                  <c:v>29.001905567485149</c:v>
                </c:pt>
                <c:pt idx="45">
                  <c:v>28.515495897170819</c:v>
                </c:pt>
                <c:pt idx="46">
                  <c:v>28.038675553435027</c:v>
                </c:pt>
                <c:pt idx="47">
                  <c:v>27.573645059955613</c:v>
                </c:pt>
                <c:pt idx="48">
                  <c:v>27.12172139999911</c:v>
                </c:pt>
                <c:pt idx="49">
                  <c:v>26.683590264356031</c:v>
                </c:pt>
                <c:pt idx="50">
                  <c:v>26.259494864537139</c:v>
                </c:pt>
                <c:pt idx="51">
                  <c:v>25.849374470991588</c:v>
                </c:pt>
                <c:pt idx="52">
                  <c:v>25.452964629762441</c:v>
                </c:pt>
                <c:pt idx="53">
                  <c:v>25.069868871895142</c:v>
                </c:pt>
                <c:pt idx="54">
                  <c:v>24.699609546209299</c:v>
                </c:pt>
                <c:pt idx="55">
                  <c:v>21.587110095470447</c:v>
                </c:pt>
                <c:pt idx="56">
                  <c:v>19.241606294283159</c:v>
                </c:pt>
                <c:pt idx="57">
                  <c:v>17.376644421411974</c:v>
                </c:pt>
                <c:pt idx="58">
                  <c:v>15.833779028662443</c:v>
                </c:pt>
                <c:pt idx="59">
                  <c:v>14.520079491741511</c:v>
                </c:pt>
                <c:pt idx="60">
                  <c:v>13.377188253144659</c:v>
                </c:pt>
                <c:pt idx="61">
                  <c:v>12.3662975804535</c:v>
                </c:pt>
                <c:pt idx="62">
                  <c:v>11.460378709735602</c:v>
                </c:pt>
                <c:pt idx="63">
                  <c:v>10.63988786692399</c:v>
                </c:pt>
                <c:pt idx="64">
                  <c:v>9.8902521906031051</c:v>
                </c:pt>
                <c:pt idx="65">
                  <c:v>9.2003237395700221</c:v>
                </c:pt>
                <c:pt idx="66">
                  <c:v>8.5613885131296605</c:v>
                </c:pt>
                <c:pt idx="67">
                  <c:v>7.9665083887112056</c:v>
                </c:pt>
                <c:pt idx="68">
                  <c:v>7.410070678168112</c:v>
                </c:pt>
                <c:pt idx="69">
                  <c:v>6.8874715948694618</c:v>
                </c:pt>
                <c:pt idx="70">
                  <c:v>6.3948886622253145</c:v>
                </c:pt>
                <c:pt idx="71">
                  <c:v>5.9291137365362108</c:v>
                </c:pt>
                <c:pt idx="72">
                  <c:v>5.4874282900018114</c:v>
                </c:pt>
                <c:pt idx="73">
                  <c:v>2.0078587212814556</c:v>
                </c:pt>
                <c:pt idx="74">
                  <c:v>-0.43686119767300152</c:v>
                </c:pt>
                <c:pt idx="75">
                  <c:v>-2.3072781055945559</c:v>
                </c:pt>
                <c:pt idx="76">
                  <c:v>-3.8091331527709689</c:v>
                </c:pt>
                <c:pt idx="77">
                  <c:v>-5.0524533552726432</c:v>
                </c:pt>
                <c:pt idx="78">
                  <c:v>-6.103122704549552</c:v>
                </c:pt>
                <c:pt idx="79">
                  <c:v>-7.003820528695285</c:v>
                </c:pt>
                <c:pt idx="80">
                  <c:v>-7.7838569090546361</c:v>
                </c:pt>
                <c:pt idx="81">
                  <c:v>-8.4642957181841076</c:v>
                </c:pt>
                <c:pt idx="82">
                  <c:v>-9.0608383401135733</c:v>
                </c:pt>
                <c:pt idx="83">
                  <c:v>-9.5855484011830043</c:v>
                </c:pt>
                <c:pt idx="84">
                  <c:v>-10.047935113599268</c:v>
                </c:pt>
                <c:pt idx="85">
                  <c:v>-10.455662029793233</c:v>
                </c:pt>
                <c:pt idx="86">
                  <c:v>-10.815027152555004</c:v>
                </c:pt>
                <c:pt idx="87">
                  <c:v>-11.131298278011663</c:v>
                </c:pt>
                <c:pt idx="88">
                  <c:v>-11.408953830258149</c:v>
                </c:pt>
                <c:pt idx="89">
                  <c:v>-11.65186039675536</c:v>
                </c:pt>
                <c:pt idx="90">
                  <c:v>-11.863406950592912</c:v>
                </c:pt>
                <c:pt idx="91">
                  <c:v>-12.818567914653466</c:v>
                </c:pt>
                <c:pt idx="92">
                  <c:v>-13.243160497455325</c:v>
                </c:pt>
                <c:pt idx="93">
                  <c:v>-15.200238670449593</c:v>
                </c:pt>
                <c:pt idx="94">
                  <c:v>-18.507427734351783</c:v>
                </c:pt>
                <c:pt idx="95">
                  <c:v>-21.847412470520418</c:v>
                </c:pt>
                <c:pt idx="96">
                  <c:v>-24.780828602664204</c:v>
                </c:pt>
                <c:pt idx="97">
                  <c:v>-27.307540262497525</c:v>
                </c:pt>
                <c:pt idx="98">
                  <c:v>-29.503628894818512</c:v>
                </c:pt>
                <c:pt idx="99">
                  <c:v>-31.439128901729728</c:v>
                </c:pt>
                <c:pt idx="100">
                  <c:v>-33.167693438368111</c:v>
                </c:pt>
                <c:pt idx="101">
                  <c:v>-34.729186740525392</c:v>
                </c:pt>
                <c:pt idx="102">
                  <c:v>-36.153401457369313</c:v>
                </c:pt>
                <c:pt idx="103">
                  <c:v>-37.46296326001287</c:v>
                </c:pt>
                <c:pt idx="104">
                  <c:v>-38.675371562855659</c:v>
                </c:pt>
                <c:pt idx="105">
                  <c:v>-39.804403769206786</c:v>
                </c:pt>
                <c:pt idx="106">
                  <c:v>-40.861086432583321</c:v>
                </c:pt>
                <c:pt idx="107">
                  <c:v>-41.854376391219972</c:v>
                </c:pt>
                <c:pt idx="108">
                  <c:v>-42.791646651179356</c:v>
                </c:pt>
                <c:pt idx="109">
                  <c:v>-50.073858211068334</c:v>
                </c:pt>
                <c:pt idx="110">
                  <c:v>-55.155211883998859</c:v>
                </c:pt>
                <c:pt idx="111">
                  <c:v>-59.070447594310892</c:v>
                </c:pt>
                <c:pt idx="112">
                  <c:v>-62.258804425040452</c:v>
                </c:pt>
                <c:pt idx="113">
                  <c:v>-64.949406575355766</c:v>
                </c:pt>
                <c:pt idx="114">
                  <c:v>-67.277348545249254</c:v>
                </c:pt>
                <c:pt idx="115">
                  <c:v>-69.329115933539626</c:v>
                </c:pt>
                <c:pt idx="116">
                  <c:v>-71.163469088009663</c:v>
                </c:pt>
                <c:pt idx="117">
                  <c:v>-72.822175822827617</c:v>
                </c:pt>
                <c:pt idx="118">
                  <c:v>-74.335999591841428</c:v>
                </c:pt>
                <c:pt idx="119">
                  <c:v>-75.728259314521964</c:v>
                </c:pt>
                <c:pt idx="120">
                  <c:v>-77.017055468609144</c:v>
                </c:pt>
                <c:pt idx="121">
                  <c:v>-78.216720990529353</c:v>
                </c:pt>
                <c:pt idx="122">
                  <c:v>-79.338800163061848</c:v>
                </c:pt>
                <c:pt idx="123">
                  <c:v>-80.392728673148369</c:v>
                </c:pt>
                <c:pt idx="124">
                  <c:v>-81.386318102485035</c:v>
                </c:pt>
                <c:pt idx="125">
                  <c:v>-82.326108719463889</c:v>
                </c:pt>
                <c:pt idx="126">
                  <c:v>-83.217631346161909</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-0.13023651674578313</c:v>
                </c:pt>
                <c:pt idx="1">
                  <c:v>-0.1953543526956823</c:v>
                </c:pt>
                <c:pt idx="2">
                  <c:v>-0.26047168174534441</c:v>
                </c:pt>
                <c:pt idx="3">
                  <c:v>-0.32558833494028022</c:v>
                </c:pt>
                <c:pt idx="4">
                  <c:v>-0.39070414333651171</c:v>
                </c:pt>
                <c:pt idx="5">
                  <c:v>-0.45581893800318807</c:v>
                </c:pt>
                <c:pt idx="6">
                  <c:v>-0.52093255002521544</c:v>
                </c:pt>
                <c:pt idx="7">
                  <c:v>-0.58604481050588497</c:v>
                </c:pt>
                <c:pt idx="8">
                  <c:v>-0.65115555056948915</c:v>
                </c:pt>
                <c:pt idx="9">
                  <c:v>-0.71626460136395709</c:v>
                </c:pt>
                <c:pt idx="10">
                  <c:v>-0.78137179406346002</c:v>
                </c:pt>
                <c:pt idx="11">
                  <c:v>-0.84647695987105021</c:v>
                </c:pt>
                <c:pt idx="12">
                  <c:v>-0.91157993002126891</c:v>
                </c:pt>
                <c:pt idx="13">
                  <c:v>-0.97668053578276237</c:v>
                </c:pt>
                <c:pt idx="14">
                  <c:v>-1.0417786084609133</c:v>
                </c:pt>
                <c:pt idx="15">
                  <c:v>-1.1068739794004454</c:v>
                </c:pt>
                <c:pt idx="16">
                  <c:v>-1.1719664799880385</c:v>
                </c:pt>
                <c:pt idx="17">
                  <c:v>-1.2370559416549589</c:v>
                </c:pt>
                <c:pt idx="18">
                  <c:v>-1.3021421958796457</c:v>
                </c:pt>
                <c:pt idx="19">
                  <c:v>-1.9527912930146236</c:v>
                </c:pt>
                <c:pt idx="20">
                  <c:v>-2.6029347227276638</c:v>
                </c:pt>
                <c:pt idx="21">
                  <c:v>-3.2524051487384846</c:v>
                </c:pt>
                <c:pt idx="22">
                  <c:v>-3.9010362740062976</c:v>
                </c:pt>
                <c:pt idx="23">
                  <c:v>-4.5486630930048841</c:v>
                </c:pt>
                <c:pt idx="24">
                  <c:v>-5.1951221390535123</c:v>
                </c:pt>
                <c:pt idx="25">
                  <c:v>-5.8402517257942694</c:v>
                </c:pt>
                <c:pt idx="26">
                  <c:v>-6.4838921819457536</c:v>
                </c:pt>
                <c:pt idx="27">
                  <c:v>-7.1258860785119147</c:v>
                </c:pt>
                <c:pt idx="28">
                  <c:v>-7.7660784476752456</c:v>
                </c:pt>
                <c:pt idx="29">
                  <c:v>-8.4043169926612133</c:v>
                </c:pt>
                <c:pt idx="30">
                  <c:v>-9.040452287921795</c:v>
                </c:pt>
                <c:pt idx="31">
                  <c:v>-9.6743379690473734</c:v>
                </c:pt>
                <c:pt idx="32">
                  <c:v>-10.305830911887698</c:v>
                </c:pt>
                <c:pt idx="33">
                  <c:v>-10.934791400425576</c:v>
                </c:pt>
                <c:pt idx="34">
                  <c:v>-11.561083283020853</c:v>
                </c:pt>
                <c:pt idx="35">
                  <c:v>-12.184574116711939</c:v>
                </c:pt>
                <c:pt idx="36">
                  <c:v>-12.80513529933156</c:v>
                </c:pt>
                <c:pt idx="37">
                  <c:v>-18.824272401719305</c:v>
                </c:pt>
                <c:pt idx="38">
                  <c:v>-24.440538584262804</c:v>
                </c:pt>
                <c:pt idx="39">
                  <c:v>-29.59633986087481</c:v>
                </c:pt>
                <c:pt idx="40">
                  <c:v>-34.272505180725645</c:v>
                </c:pt>
                <c:pt idx="41">
                  <c:v>-38.478706004973454</c:v>
                </c:pt>
                <c:pt idx="42">
                  <c:v>-42.243127917424822</c:v>
                </c:pt>
                <c:pt idx="43">
                  <c:v>-45.603791813269744</c:v>
                </c:pt>
                <c:pt idx="44">
                  <c:v>-48.602314268662127</c:v>
                </c:pt>
                <c:pt idx="45">
                  <c:v>-51.279939447665619</c:v>
                </c:pt>
                <c:pt idx="46">
                  <c:v>-53.675308331826358</c:v>
                </c:pt>
                <c:pt idx="47">
                  <c:v>-55.823405612970667</c:v>
                </c:pt>
                <c:pt idx="48">
                  <c:v>-57.755235038257069</c:v>
                </c:pt>
                <c:pt idx="49">
                  <c:v>-59.497907710769859</c:v>
                </c:pt>
                <c:pt idx="50">
                  <c:v>-61.074939935767794</c:v>
                </c:pt>
                <c:pt idx="51">
                  <c:v>-62.50663786013088</c:v>
                </c:pt>
                <c:pt idx="52">
                  <c:v>-63.81049936223112</c:v>
                </c:pt>
                <c:pt idx="53">
                  <c:v>-65.001596738425278</c:v>
                </c:pt>
                <c:pt idx="54">
                  <c:v>-66.092923353996696</c:v>
                </c:pt>
                <c:pt idx="55">
                  <c:v>-73.389264758024026</c:v>
                </c:pt>
                <c:pt idx="56">
                  <c:v>-77.22860375015037</c:v>
                </c:pt>
                <c:pt idx="57">
                  <c:v>-79.554760275571425</c:v>
                </c:pt>
                <c:pt idx="58">
                  <c:v>-81.094407809545515</c:v>
                </c:pt>
                <c:pt idx="59">
                  <c:v>-82.175415505502812</c:v>
                </c:pt>
                <c:pt idx="60">
                  <c:v>-82.966334073306214</c:v>
                </c:pt>
                <c:pt idx="61">
                  <c:v>-83.5623889191437</c:v>
                </c:pt>
                <c:pt idx="62">
                  <c:v>-84.021346215091697</c:v>
                </c:pt>
                <c:pt idx="63">
                  <c:v>-84.380246940043918</c:v>
                </c:pt>
                <c:pt idx="64">
                  <c:v>-84.663921619339888</c:v>
                </c:pt>
                <c:pt idx="65">
                  <c:v>-84.88963214624853</c:v>
                </c:pt>
                <c:pt idx="66">
                  <c:v>-85.069748386826149</c:v>
                </c:pt>
                <c:pt idx="67">
                  <c:v>-85.213365186267183</c:v>
                </c:pt>
                <c:pt idx="68">
                  <c:v>-85.32731838461379</c:v>
                </c:pt>
                <c:pt idx="69">
                  <c:v>-85.416845012254399</c:v>
                </c:pt>
                <c:pt idx="70">
                  <c:v>-85.486024916121622</c:v>
                </c:pt>
                <c:pt idx="71">
                  <c:v>-85.53808376485712</c:v>
                </c:pt>
                <c:pt idx="72">
                  <c:v>-85.575605640885186</c:v>
                </c:pt>
                <c:pt idx="73">
                  <c:v>-85.474552839511418</c:v>
                </c:pt>
                <c:pt idx="74">
                  <c:v>-84.973526275898806</c:v>
                </c:pt>
                <c:pt idx="75">
                  <c:v>-84.329556237660313</c:v>
                </c:pt>
                <c:pt idx="76">
                  <c:v>-83.632274788796977</c:v>
                </c:pt>
                <c:pt idx="77">
                  <c:v>-82.923273434499464</c:v>
                </c:pt>
                <c:pt idx="78">
                  <c:v>-82.225978682485618</c:v>
                </c:pt>
                <c:pt idx="79">
                  <c:v>-81.555612520101931</c:v>
                </c:pt>
                <c:pt idx="80">
                  <c:v>-80.9231788845468</c:v>
                </c:pt>
                <c:pt idx="81">
                  <c:v>-80.337281584750471</c:v>
                </c:pt>
                <c:pt idx="82">
                  <c:v>-79.805042387194817</c:v>
                </c:pt>
                <c:pt idx="83">
                  <c:v>-79.332606805635209</c:v>
                </c:pt>
                <c:pt idx="84">
                  <c:v>-78.925445922280602</c:v>
                </c:pt>
                <c:pt idx="85">
                  <c:v>-78.588550779254376</c:v>
                </c:pt>
                <c:pt idx="86">
                  <c:v>-78.326566915019896</c:v>
                </c:pt>
                <c:pt idx="87">
                  <c:v>-78.143893541268199</c:v>
                </c:pt>
                <c:pt idx="88">
                  <c:v>-78.044760281789564</c:v>
                </c:pt>
                <c:pt idx="89">
                  <c:v>-78.033288260138846</c:v>
                </c:pt>
                <c:pt idx="90">
                  <c:v>-78.113538888519656</c:v>
                </c:pt>
                <c:pt idx="91">
                  <c:v>-84.849100866182567</c:v>
                </c:pt>
                <c:pt idx="92">
                  <c:v>-104.18347180728145</c:v>
                </c:pt>
                <c:pt idx="93">
                  <c:v>-129.92344441011448</c:v>
                </c:pt>
                <c:pt idx="94">
                  <c:v>-148.85581712690839</c:v>
                </c:pt>
                <c:pt idx="95">
                  <c:v>-159.55493029993784</c:v>
                </c:pt>
                <c:pt idx="96">
                  <c:v>-165.57300139208721</c:v>
                </c:pt>
                <c:pt idx="97">
                  <c:v>-169.18478117984216</c:v>
                </c:pt>
                <c:pt idx="98">
                  <c:v>-171.50241138004375</c:v>
                </c:pt>
                <c:pt idx="99">
                  <c:v>-173.07631422823241</c:v>
                </c:pt>
                <c:pt idx="100">
                  <c:v>-174.19591250470882</c:v>
                </c:pt>
                <c:pt idx="101">
                  <c:v>-175.02322547508442</c:v>
                </c:pt>
                <c:pt idx="102">
                  <c:v>-175.65413001910755</c:v>
                </c:pt>
                <c:pt idx="103">
                  <c:v>-176.14812717936638</c:v>
                </c:pt>
                <c:pt idx="104">
                  <c:v>-176.5436735658574</c:v>
                </c:pt>
                <c:pt idx="105">
                  <c:v>-176.86650553063427</c:v>
                </c:pt>
                <c:pt idx="106">
                  <c:v>-177.134373360729</c:v>
                </c:pt>
                <c:pt idx="107">
                  <c:v>-177.35984518763127</c:v>
                </c:pt>
                <c:pt idx="108">
                  <c:v>-177.55202772132029</c:v>
                </c:pt>
                <c:pt idx="109">
                  <c:v>-178.57073586099725</c:v>
                </c:pt>
                <c:pt idx="110">
                  <c:v>-178.98021928151874</c:v>
                </c:pt>
                <c:pt idx="111">
                  <c:v>-179.20335031289474</c:v>
                </c:pt>
                <c:pt idx="112">
                  <c:v>-179.34477600215845</c:v>
                </c:pt>
                <c:pt idx="113">
                  <c:v>-179.4428431819756</c:v>
                </c:pt>
                <c:pt idx="114">
                  <c:v>-179.51502114649705</c:v>
                </c:pt>
                <c:pt idx="115">
                  <c:v>-179.57045154751654</c:v>
                </c:pt>
                <c:pt idx="116">
                  <c:v>-179.61440074733673</c:v>
                </c:pt>
                <c:pt idx="117">
                  <c:v>-179.65012464720061</c:v>
                </c:pt>
                <c:pt idx="118">
                  <c:v>-179.67974824360377</c:v>
                </c:pt>
                <c:pt idx="119">
                  <c:v>-179.70471925625583</c:v>
                </c:pt>
                <c:pt idx="120">
                  <c:v>-179.72605899766373</c:v>
                </c:pt>
                <c:pt idx="121">
                  <c:v>-179.74450911557275</c:v>
                </c:pt>
                <c:pt idx="122">
                  <c:v>-179.76062147809358</c:v>
                </c:pt>
                <c:pt idx="123">
                  <c:v>-179.77481539877826</c:v>
                </c:pt>
                <c:pt idx="124">
                  <c:v>-179.78741528437763</c:v>
                </c:pt>
                <c:pt idx="125">
                  <c:v>-179.79867611291834</c:v>
                </c:pt>
                <c:pt idx="126">
                  <c:v>-179.80880110549739</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52.982207142342276</c:v>
                </c:pt>
                <c:pt idx="1">
                  <c:v>49.501951593033716</c:v>
                </c:pt>
                <c:pt idx="2">
                  <c:v>47.017821870245889</c:v>
                </c:pt>
                <c:pt idx="3">
                  <c:v>45.08641814672135</c:v>
                </c:pt>
                <c:pt idx="4">
                  <c:v>43.506490944959481</c:v>
                </c:pt>
                <c:pt idx="5">
                  <c:v>42.169787648859568</c:v>
                </c:pt>
                <c:pt idx="6">
                  <c:v>41.011399708134434</c:v>
                </c:pt>
                <c:pt idx="7">
                  <c:v>39.989345781022749</c:v>
                </c:pt>
                <c:pt idx="8">
                  <c:v>39.074910384786122</c:v>
                </c:pt>
                <c:pt idx="9">
                  <c:v>38.24758683413873</c:v>
                </c:pt>
                <c:pt idx="10">
                  <c:v>37.492220393249951</c:v>
                </c:pt>
                <c:pt idx="11">
                  <c:v>36.797294830618796</c:v>
                </c:pt>
                <c:pt idx="12">
                  <c:v>36.153853900686869</c:v>
                </c:pt>
                <c:pt idx="13">
                  <c:v>35.55479488972842</c:v>
                </c:pt>
                <c:pt idx="14">
                  <c:v>34.994390136606768</c:v>
                </c:pt>
                <c:pt idx="15">
                  <c:v>34.467953595666629</c:v>
                </c:pt>
                <c:pt idx="16">
                  <c:v>33.97160269557606</c:v>
                </c:pt>
                <c:pt idx="17">
                  <c:v>33.502084577642698</c:v>
                </c:pt>
                <c:pt idx="18">
                  <c:v>33.056646898964466</c:v>
                </c:pt>
                <c:pt idx="19">
                  <c:v>29.53535000104079</c:v>
                </c:pt>
                <c:pt idx="20">
                  <c:v>27.036872960343693</c:v>
                </c:pt>
                <c:pt idx="21">
                  <c:v>25.098934222821303</c:v>
                </c:pt>
                <c:pt idx="22">
                  <c:v>23.515582629880264</c:v>
                </c:pt>
                <c:pt idx="23">
                  <c:v>22.176948404223104</c:v>
                </c:pt>
                <c:pt idx="24">
                  <c:v>21.017446129841574</c:v>
                </c:pt>
                <c:pt idx="25">
                  <c:v>19.994770715597088</c:v>
                </c:pt>
                <c:pt idx="26">
                  <c:v>19.080036025806962</c:v>
                </c:pt>
                <c:pt idx="27">
                  <c:v>18.252638499074013</c:v>
                </c:pt>
                <c:pt idx="28">
                  <c:v>17.497365089176146</c:v>
                </c:pt>
                <c:pt idx="29">
                  <c:v>16.802662760814322</c:v>
                </c:pt>
                <c:pt idx="30">
                  <c:v>16.159551107406109</c:v>
                </c:pt>
                <c:pt idx="31">
                  <c:v>15.560911019507685</c:v>
                </c:pt>
                <c:pt idx="32">
                  <c:v>15.001003389880903</c:v>
                </c:pt>
                <c:pt idx="33">
                  <c:v>14.475133983430442</c:v>
                </c:pt>
                <c:pt idx="34">
                  <c:v>13.979414241894098</c:v>
                </c:pt>
                <c:pt idx="35">
                  <c:v>13.510586845489406</c:v>
                </c:pt>
                <c:pt idx="36">
                  <c:v>13.065896069944586</c:v>
                </c:pt>
                <c:pt idx="37">
                  <c:v>9.554782649701913</c:v>
                </c:pt>
                <c:pt idx="38">
                  <c:v>7.0709557426011251</c:v>
                </c:pt>
                <c:pt idx="39">
                  <c:v>5.1518976154540468</c:v>
                </c:pt>
                <c:pt idx="40">
                  <c:v>3.5915541588201663</c:v>
                </c:pt>
                <c:pt idx="41">
                  <c:v>2.2799726414985173</c:v>
                </c:pt>
                <c:pt idx="42">
                  <c:v>1.151483566586311</c:v>
                </c:pt>
                <c:pt idx="43">
                  <c:v>0.16369141473515114</c:v>
                </c:pt>
                <c:pt idx="44">
                  <c:v>-0.71238796228188406</c:v>
                </c:pt>
                <c:pt idx="45">
                  <c:v>-1.4974636869939992</c:v>
                </c:pt>
                <c:pt idx="46">
                  <c:v>-2.2068613937465216</c:v>
                </c:pt>
                <c:pt idx="47">
                  <c:v>-2.8522530010808111</c:v>
                </c:pt>
                <c:pt idx="48">
                  <c:v>-3.4427432657741122</c:v>
                </c:pt>
                <c:pt idx="49">
                  <c:v>-3.9855802454228844</c:v>
                </c:pt>
                <c:pt idx="50">
                  <c:v>-4.4866357150931364</c:v>
                </c:pt>
                <c:pt idx="51">
                  <c:v>-4.9507394302838748</c:v>
                </c:pt>
                <c:pt idx="52">
                  <c:v>-5.3819174808842014</c:v>
                </c:pt>
                <c:pt idx="53">
                  <c:v>-5.7835659248237015</c:v>
                </c:pt>
                <c:pt idx="54">
                  <c:v>-6.1585796712603766</c:v>
                </c:pt>
                <c:pt idx="55">
                  <c:v>-8.8652227582074232</c:v>
                </c:pt>
                <c:pt idx="56">
                  <c:v>-10.431242858475592</c:v>
                </c:pt>
                <c:pt idx="57">
                  <c:v>-11.405618663418252</c:v>
                </c:pt>
                <c:pt idx="58">
                  <c:v>-12.04370782651301</c:v>
                </c:pt>
                <c:pt idx="59">
                  <c:v>-12.479368158053031</c:v>
                </c:pt>
                <c:pt idx="60">
                  <c:v>-12.787561249951647</c:v>
                </c:pt>
                <c:pt idx="61">
                  <c:v>-13.012344204530645</c:v>
                </c:pt>
                <c:pt idx="62">
                  <c:v>-13.180682130552931</c:v>
                </c:pt>
                <c:pt idx="63">
                  <c:v>-13.309678366124285</c:v>
                </c:pt>
                <c:pt idx="64">
                  <c:v>-13.41053154813758</c:v>
                </c:pt>
                <c:pt idx="65">
                  <c:v>-13.490785436239999</c:v>
                </c:pt>
                <c:pt idx="66">
                  <c:v>-13.555652568603232</c:v>
                </c:pt>
                <c:pt idx="67">
                  <c:v>-13.608817626202576</c:v>
                </c:pt>
                <c:pt idx="68">
                  <c:v>-13.652939055251577</c:v>
                </c:pt>
                <c:pt idx="69">
                  <c:v>-13.689970500039463</c:v>
                </c:pt>
                <c:pt idx="70">
                  <c:v>-13.721371699333384</c:v>
                </c:pt>
                <c:pt idx="71">
                  <c:v>-13.748249877440427</c:v>
                </c:pt>
                <c:pt idx="72">
                  <c:v>-13.771456425894277</c:v>
                </c:pt>
                <c:pt idx="73">
                  <c:v>-13.898038242062086</c:v>
                </c:pt>
                <c:pt idx="74">
                  <c:v>-13.952551394596561</c:v>
                </c:pt>
                <c:pt idx="75">
                  <c:v>-13.988356161727564</c:v>
                </c:pt>
                <c:pt idx="76">
                  <c:v>-14.019005986488608</c:v>
                </c:pt>
                <c:pt idx="77">
                  <c:v>-14.04923834742425</c:v>
                </c:pt>
                <c:pt idx="78">
                  <c:v>-14.081081253606065</c:v>
                </c:pt>
                <c:pt idx="79">
                  <c:v>-14.115537784252227</c:v>
                </c:pt>
                <c:pt idx="80">
                  <c:v>-14.153160440556167</c:v>
                </c:pt>
                <c:pt idx="81">
                  <c:v>-14.194277782583026</c:v>
                </c:pt>
                <c:pt idx="82">
                  <c:v>-14.23909392564385</c:v>
                </c:pt>
                <c:pt idx="83">
                  <c:v>-14.287735975613874</c:v>
                </c:pt>
                <c:pt idx="84">
                  <c:v>-14.340278286267315</c:v>
                </c:pt>
                <c:pt idx="85">
                  <c:v>-14.396755753827836</c:v>
                </c:pt>
                <c:pt idx="86">
                  <c:v>-14.457171707665308</c:v>
                </c:pt>
                <c:pt idx="87">
                  <c:v>-14.521503068765451</c:v>
                </c:pt>
                <c:pt idx="88">
                  <c:v>-14.589704107292581</c:v>
                </c:pt>
                <c:pt idx="89">
                  <c:v>-14.661709473601462</c:v>
                </c:pt>
                <c:pt idx="90">
                  <c:v>-14.737436841710171</c:v>
                </c:pt>
                <c:pt idx="91">
                  <c:v>-15.673590521342813</c:v>
                </c:pt>
                <c:pt idx="92">
                  <c:v>-16.840155241335477</c:v>
                </c:pt>
                <c:pt idx="93">
                  <c:v>-18.119822941811485</c:v>
                </c:pt>
                <c:pt idx="94">
                  <c:v>-19.437935604930139</c:v>
                </c:pt>
                <c:pt idx="95">
                  <c:v>-20.753753652685475</c:v>
                </c:pt>
                <c:pt idx="96">
                  <c:v>-22.046498519463249</c:v>
                </c:pt>
                <c:pt idx="97">
                  <c:v>-23.306105941260128</c:v>
                </c:pt>
                <c:pt idx="98">
                  <c:v>-24.528142932136234</c:v>
                </c:pt>
                <c:pt idx="99">
                  <c:v>-25.711153964646261</c:v>
                </c:pt>
                <c:pt idx="100">
                  <c:v>-26.855276166142666</c:v>
                </c:pt>
                <c:pt idx="101">
                  <c:v>-27.96150014547085</c:v>
                </c:pt>
                <c:pt idx="102">
                  <c:v>-29.031262570407975</c:v>
                </c:pt>
                <c:pt idx="103">
                  <c:v>-30.066214262339749</c:v>
                </c:pt>
                <c:pt idx="104">
                  <c:v>-31.068084865048654</c:v>
                </c:pt>
                <c:pt idx="105">
                  <c:v>-32.038602931608267</c:v>
                </c:pt>
                <c:pt idx="106">
                  <c:v>-32.97944906581823</c:v>
                </c:pt>
                <c:pt idx="107">
                  <c:v>-33.892229394256987</c:v>
                </c:pt>
                <c:pt idx="108">
                  <c:v>-34.778461796800016</c:v>
                </c:pt>
                <c:pt idx="109">
                  <c:v>-42.450263453153951</c:v>
                </c:pt>
                <c:pt idx="110">
                  <c:v>-48.549292072764786</c:v>
                </c:pt>
                <c:pt idx="111">
                  <c:v>-53.594001236018926</c:v>
                </c:pt>
                <c:pt idx="112">
                  <c:v>-57.881369560884252</c:v>
                </c:pt>
                <c:pt idx="113">
                  <c:v>-61.599979008549795</c:v>
                </c:pt>
                <c:pt idx="114">
                  <c:v>-64.877424343774265</c:v>
                </c:pt>
                <c:pt idx="115">
                  <c:v>-67.803819691613342</c:v>
                </c:pt>
                <c:pt idx="116">
                  <c:v>-70.444925751016427</c:v>
                </c:pt>
                <c:pt idx="117">
                  <c:v>-72.850034981697831</c:v>
                </c:pt>
                <c:pt idx="118">
                  <c:v>-75.056944967534889</c:v>
                </c:pt>
                <c:pt idx="119">
                  <c:v>-77.095213055309188</c:v>
                </c:pt>
                <c:pt idx="120">
                  <c:v>-78.988351661539241</c:v>
                </c:pt>
                <c:pt idx="121">
                  <c:v>-80.755348000163522</c:v>
                </c:pt>
                <c:pt idx="122">
                  <c:v>-82.411740409442586</c:v>
                </c:pt>
                <c:pt idx="123">
                  <c:v>-83.970396276249787</c:v>
                </c:pt>
                <c:pt idx="124">
                  <c:v>-85.442084612464512</c:v>
                </c:pt>
                <c:pt idx="125">
                  <c:v>-86.835904459313241</c:v>
                </c:pt>
                <c:pt idx="126">
                  <c:v>-88.159610217910824</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-82.450712968695598</c:v>
                </c:pt>
                <c:pt idx="1">
                  <c:v>-84.930164190892128</c:v>
                </c:pt>
                <c:pt idx="2">
                  <c:v>-86.171406049459009</c:v>
                </c:pt>
                <c:pt idx="3">
                  <c:v>-86.912949137071635</c:v>
                </c:pt>
                <c:pt idx="4">
                  <c:v>-87.40372512133915</c:v>
                </c:pt>
                <c:pt idx="5">
                  <c:v>-87.750934867189216</c:v>
                </c:pt>
                <c:pt idx="6">
                  <c:v>-88.008316522189332</c:v>
                </c:pt>
                <c:pt idx="7">
                  <c:v>-88.205770604463552</c:v>
                </c:pt>
                <c:pt idx="8">
                  <c:v>-88.361255376141699</c:v>
                </c:pt>
                <c:pt idx="9">
                  <c:v>-88.486206688154283</c:v>
                </c:pt>
                <c:pt idx="10">
                  <c:v>-88.58825221099238</c:v>
                </c:pt>
                <c:pt idx="11">
                  <c:v>-88.672674580598468</c:v>
                </c:pt>
                <c:pt idx="12">
                  <c:v>-88.743248168141278</c:v>
                </c:pt>
                <c:pt idx="13">
                  <c:v>-88.802741453541984</c:v>
                </c:pt>
                <c:pt idx="14">
                  <c:v>-88.853231160061711</c:v>
                </c:pt>
                <c:pt idx="15">
                  <c:v>-88.896305595321792</c:v>
                </c:pt>
                <c:pt idx="16">
                  <c:v>-88.933200253612483</c:v>
                </c:pt>
                <c:pt idx="17">
                  <c:v>-88.964890619725352</c:v>
                </c:pt>
                <c:pt idx="18">
                  <c:v>-88.992157145158842</c:v>
                </c:pt>
                <c:pt idx="19">
                  <c:v>-89.118822010406873</c:v>
                </c:pt>
                <c:pt idx="20">
                  <c:v>-89.119384991136357</c:v>
                </c:pt>
                <c:pt idx="21">
                  <c:v>-89.069506230950552</c:v>
                </c:pt>
                <c:pt idx="22">
                  <c:v>-88.994409453066538</c:v>
                </c:pt>
                <c:pt idx="23">
                  <c:v>-88.904906067716126</c:v>
                </c:pt>
                <c:pt idx="24">
                  <c:v>-88.806402548485636</c:v>
                </c:pt>
                <c:pt idx="25">
                  <c:v>-88.701903097304609</c:v>
                </c:pt>
                <c:pt idx="26">
                  <c:v>-88.593210756311322</c:v>
                </c:pt>
                <c:pt idx="27">
                  <c:v>-88.481473380726129</c:v>
                </c:pt>
                <c:pt idx="28">
                  <c:v>-88.367456629589427</c:v>
                </c:pt>
                <c:pt idx="29">
                  <c:v>-88.251690962386391</c:v>
                </c:pt>
                <c:pt idx="30">
                  <c:v>-88.134555637775804</c:v>
                </c:pt>
                <c:pt idx="31">
                  <c:v>-88.016329113110828</c:v>
                </c:pt>
                <c:pt idx="32">
                  <c:v>-87.897220544263561</c:v>
                </c:pt>
                <c:pt idx="33">
                  <c:v>-87.77739016791574</c:v>
                </c:pt>
                <c:pt idx="34">
                  <c:v>-87.656962889770668</c:v>
                </c:pt>
                <c:pt idx="35">
                  <c:v>-87.536037581750378</c:v>
                </c:pt>
                <c:pt idx="36">
                  <c:v>-87.41469359002582</c:v>
                </c:pt>
                <c:pt idx="37">
                  <c:v>-86.188235799661385</c:v>
                </c:pt>
                <c:pt idx="38">
                  <c:v>-84.952912714938037</c:v>
                </c:pt>
                <c:pt idx="39">
                  <c:v>-83.717507007170383</c:v>
                </c:pt>
                <c:pt idx="40">
                  <c:v>-82.48572748314055</c:v>
                </c:pt>
                <c:pt idx="41">
                  <c:v>-81.259806365704549</c:v>
                </c:pt>
                <c:pt idx="42">
                  <c:v>-80.04139431069926</c:v>
                </c:pt>
                <c:pt idx="43">
                  <c:v>-78.831855371277499</c:v>
                </c:pt>
                <c:pt idx="44">
                  <c:v>-77.632382394010477</c:v>
                </c:pt>
                <c:pt idx="45">
                  <c:v>-76.444047549864024</c:v>
                </c:pt>
                <c:pt idx="46">
                  <c:v>-75.26782624654156</c:v>
                </c:pt>
                <c:pt idx="47">
                  <c:v>-74.10460913352081</c:v>
                </c:pt>
                <c:pt idx="48">
                  <c:v>-72.955208497013686</c:v>
                </c:pt>
                <c:pt idx="49">
                  <c:v>-71.82036196922148</c:v>
                </c:pt>
                <c:pt idx="50">
                  <c:v>-70.700734994867389</c:v>
                </c:pt>
                <c:pt idx="51">
                  <c:v>-69.596922796507059</c:v>
                </c:pt>
                <c:pt idx="52">
                  <c:v>-68.509452226305257</c:v>
                </c:pt>
                <c:pt idx="53">
                  <c:v>-67.438783703830026</c:v>
                </c:pt>
                <c:pt idx="54">
                  <c:v>-66.385313335025657</c:v>
                </c:pt>
                <c:pt idx="55">
                  <c:v>-56.842903964281234</c:v>
                </c:pt>
                <c:pt idx="56">
                  <c:v>-49.086231865365875</c:v>
                </c:pt>
                <c:pt idx="57">
                  <c:v>-42.895070015442386</c:v>
                </c:pt>
                <c:pt idx="58">
                  <c:v>-37.966523694108602</c:v>
                </c:pt>
                <c:pt idx="59">
                  <c:v>-34.020887375125049</c:v>
                </c:pt>
                <c:pt idx="60">
                  <c:v>-30.832486343554685</c:v>
                </c:pt>
                <c:pt idx="61">
                  <c:v>-28.228780332001552</c:v>
                </c:pt>
                <c:pt idx="62">
                  <c:v>-26.080348481014394</c:v>
                </c:pt>
                <c:pt idx="63">
                  <c:v>-24.290364775467761</c:v>
                </c:pt>
                <c:pt idx="64">
                  <c:v>-22.785990559962734</c:v>
                </c:pt>
                <c:pt idx="65">
                  <c:v>-21.511917182658625</c:v>
                </c:pt>
                <c:pt idx="66">
                  <c:v>-20.42568140503759</c:v>
                </c:pt>
                <c:pt idx="67">
                  <c:v>-19.49430363346012</c:v>
                </c:pt>
                <c:pt idx="68">
                  <c:v>-18.691875153147805</c:v>
                </c:pt>
                <c:pt idx="69">
                  <c:v>-17.997816533468527</c:v>
                </c:pt>
                <c:pt idx="70">
                  <c:v>-17.395609669591718</c:v>
                </c:pt>
                <c:pt idx="71">
                  <c:v>-16.871865418262367</c:v>
                </c:pt>
                <c:pt idx="72">
                  <c:v>-16.415630771587704</c:v>
                </c:pt>
                <c:pt idx="73">
                  <c:v>-14.14310202747124</c:v>
                </c:pt>
                <c:pt idx="74">
                  <c:v>-13.906029032891274</c:v>
                </c:pt>
                <c:pt idx="75">
                  <c:v>-14.503496094015381</c:v>
                </c:pt>
                <c:pt idx="76">
                  <c:v>-15.521986167793553</c:v>
                </c:pt>
                <c:pt idx="77">
                  <c:v>-16.781501829984951</c:v>
                </c:pt>
                <c:pt idx="78">
                  <c:v>-18.191040923041076</c:v>
                </c:pt>
                <c:pt idx="79">
                  <c:v>-19.699460912956024</c:v>
                </c:pt>
                <c:pt idx="80">
                  <c:v>-21.275611608712392</c:v>
                </c:pt>
                <c:pt idx="81">
                  <c:v>-22.899249809100208</c:v>
                </c:pt>
                <c:pt idx="82">
                  <c:v>-24.556484458753484</c:v>
                </c:pt>
                <c:pt idx="83">
                  <c:v>-26.237325235748209</c:v>
                </c:pt>
                <c:pt idx="84">
                  <c:v>-27.934287277008309</c:v>
                </c:pt>
                <c:pt idx="85">
                  <c:v>-29.641560595470896</c:v>
                </c:pt>
                <c:pt idx="86">
                  <c:v>-31.354497246894002</c:v>
                </c:pt>
                <c:pt idx="87">
                  <c:v>-33.069284899788784</c:v>
                </c:pt>
                <c:pt idx="88">
                  <c:v>-34.78273352398169</c:v>
                </c:pt>
                <c:pt idx="89">
                  <c:v>-36.492132626338218</c:v>
                </c:pt>
                <c:pt idx="90">
                  <c:v>-38.195153453286011</c:v>
                </c:pt>
                <c:pt idx="91">
                  <c:v>-54.538668134182714</c:v>
                </c:pt>
                <c:pt idx="92">
                  <c:v>-69.134752060786752</c:v>
                </c:pt>
                <c:pt idx="93">
                  <c:v>-81.886546944775887</c:v>
                </c:pt>
                <c:pt idx="94">
                  <c:v>-93.016264138176538</c:v>
                </c:pt>
                <c:pt idx="95">
                  <c:v>-102.79562282895044</c:v>
                </c:pt>
                <c:pt idx="96">
                  <c:v>-111.46307452380032</c:v>
                </c:pt>
                <c:pt idx="97">
                  <c:v>-119.21024314815386</c:v>
                </c:pt>
                <c:pt idx="98">
                  <c:v>-126.18787607707387</c:v>
                </c:pt>
                <c:pt idx="99">
                  <c:v>-132.51484847536258</c:v>
                </c:pt>
                <c:pt idx="100">
                  <c:v>-138.28589445785607</c:v>
                </c:pt>
                <c:pt idx="101">
                  <c:v>-143.57745441436228</c:v>
                </c:pt>
                <c:pt idx="102">
                  <c:v>-148.4519505169693</c:v>
                </c:pt>
                <c:pt idx="103">
                  <c:v>-152.96091105412381</c:v>
                </c:pt>
                <c:pt idx="104">
                  <c:v>-157.14728173387613</c:v>
                </c:pt>
                <c:pt idx="105">
                  <c:v>-161.047163568923</c:v>
                </c:pt>
                <c:pt idx="106">
                  <c:v>-164.69114093258338</c:v>
                </c:pt>
                <c:pt idx="107">
                  <c:v>-168.10531120537132</c:v>
                </c:pt>
                <c:pt idx="108">
                  <c:v>-171.31209293454279</c:v>
                </c:pt>
                <c:pt idx="109">
                  <c:v>-195.25351643061998</c:v>
                </c:pt>
                <c:pt idx="110">
                  <c:v>-210.2541132649431</c:v>
                </c:pt>
                <c:pt idx="111">
                  <c:v>-220.47189815101308</c:v>
                </c:pt>
                <c:pt idx="112">
                  <c:v>-227.82665186302984</c:v>
                </c:pt>
                <c:pt idx="113">
                  <c:v>-233.34438003333776</c:v>
                </c:pt>
                <c:pt idx="114">
                  <c:v>-237.62147571373086</c:v>
                </c:pt>
                <c:pt idx="115">
                  <c:v>-241.02582032410811</c:v>
                </c:pt>
                <c:pt idx="116">
                  <c:v>-243.79523730247206</c:v>
                </c:pt>
                <c:pt idx="117">
                  <c:v>-246.08956211586812</c:v>
                </c:pt>
                <c:pt idx="118">
                  <c:v>-248.01980806785332</c:v>
                </c:pt>
                <c:pt idx="119">
                  <c:v>-249.66528463595259</c:v>
                </c:pt>
                <c:pt idx="120">
                  <c:v>-251.08405189131744</c:v>
                </c:pt>
                <c:pt idx="121">
                  <c:v>-252.31952895342664</c:v>
                </c:pt>
                <c:pt idx="122">
                  <c:v>-253.40479951022644</c:v>
                </c:pt>
                <c:pt idx="123">
                  <c:v>-254.36549290475722</c:v>
                </c:pt>
                <c:pt idx="124">
                  <c:v>-255.22175842522171</c:v>
                </c:pt>
                <c:pt idx="125">
                  <c:v>-255.9896472773703</c:v>
                </c:pt>
                <c:pt idx="126">
                  <c:v>-256.68209860707861</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85.592799283464032</c:v>
                </c:pt>
                <c:pt idx="1">
                  <c:v>82.112515603211179</c:v>
                </c:pt>
                <c:pt idx="2">
                  <c:v>79.628346497407435</c:v>
                </c:pt>
                <c:pt idx="3">
                  <c:v>77.696892139101578</c:v>
                </c:pt>
                <c:pt idx="4">
                  <c:v>76.116903051186426</c:v>
                </c:pt>
                <c:pt idx="5">
                  <c:v>74.780126618042374</c:v>
                </c:pt>
                <c:pt idx="6">
                  <c:v>73.621654289950612</c:v>
                </c:pt>
                <c:pt idx="7">
                  <c:v>72.599504725805645</c:v>
                </c:pt>
                <c:pt idx="8">
                  <c:v>71.684962443612378</c:v>
                </c:pt>
                <c:pt idx="9">
                  <c:v>70.857520758915555</c:v>
                </c:pt>
                <c:pt idx="10">
                  <c:v>70.10202493680255</c:v>
                </c:pt>
                <c:pt idx="11">
                  <c:v>69.406958746777633</c:v>
                </c:pt>
                <c:pt idx="12">
                  <c:v>68.763365944374954</c:v>
                </c:pt>
                <c:pt idx="13">
                  <c:v>68.164143817048753</c:v>
                </c:pt>
                <c:pt idx="14">
                  <c:v>67.603564704929369</c:v>
                </c:pt>
                <c:pt idx="15">
                  <c:v>67.07694256371596</c:v>
                </c:pt>
                <c:pt idx="16">
                  <c:v>66.580394823517992</c:v>
                </c:pt>
                <c:pt idx="17">
                  <c:v>66.110668627171748</c:v>
                </c:pt>
                <c:pt idx="18">
                  <c:v>65.665011633390947</c:v>
                </c:pt>
                <c:pt idx="19">
                  <c:v>62.140903984157724</c:v>
                </c:pt>
                <c:pt idx="20">
                  <c:v>59.638494945322016</c:v>
                </c:pt>
                <c:pt idx="21">
                  <c:v>57.695506007058242</c:v>
                </c:pt>
                <c:pt idx="22">
                  <c:v>56.105989911308988</c:v>
                </c:pt>
                <c:pt idx="23">
                  <c:v>54.760081627621275</c:v>
                </c:pt>
                <c:pt idx="24">
                  <c:v>53.592201321025527</c:v>
                </c:pt>
                <c:pt idx="25">
                  <c:v>52.560050301454623</c:v>
                </c:pt>
                <c:pt idx="26">
                  <c:v>51.634749638195267</c:v>
                </c:pt>
                <c:pt idx="27">
                  <c:v>50.795703760693939</c:v>
                </c:pt>
                <c:pt idx="28">
                  <c:v>50.027708379628677</c:v>
                </c:pt>
                <c:pt idx="29">
                  <c:v>49.319219961144569</c:v>
                </c:pt>
                <c:pt idx="30">
                  <c:v>48.661268321550658</c:v>
                </c:pt>
                <c:pt idx="31">
                  <c:v>48.046745271174437</c:v>
                </c:pt>
                <c:pt idx="32">
                  <c:v>47.469923293512309</c:v>
                </c:pt>
                <c:pt idx="33">
                  <c:v>46.926120388025197</c:v>
                </c:pt>
                <c:pt idx="34">
                  <c:v>46.411460846589229</c:v>
                </c:pt>
                <c:pt idx="35">
                  <c:v>45.92270078593711</c:v>
                </c:pt>
                <c:pt idx="36">
                  <c:v>45.457098474648376</c:v>
                </c:pt>
                <c:pt idx="37">
                  <c:v>41.686445149455849</c:v>
                </c:pt>
                <c:pt idx="38">
                  <c:v>38.863498867753499</c:v>
                </c:pt>
                <c:pt idx="39">
                  <c:v>36.544056283395371</c:v>
                </c:pt>
                <c:pt idx="40">
                  <c:v>34.539724144843419</c:v>
                </c:pt>
                <c:pt idx="41">
                  <c:v>32.755983276739293</c:v>
                </c:pt>
                <c:pt idx="42">
                  <c:v>31.139715215500541</c:v>
                </c:pt>
                <c:pt idx="43">
                  <c:v>29.658184721779104</c:v>
                </c:pt>
                <c:pt idx="44">
                  <c:v>28.289517605203265</c:v>
                </c:pt>
                <c:pt idx="45">
                  <c:v>27.01803221017682</c:v>
                </c:pt>
                <c:pt idx="46">
                  <c:v>25.831814159688506</c:v>
                </c:pt>
                <c:pt idx="47">
                  <c:v>24.721392058874802</c:v>
                </c:pt>
                <c:pt idx="48">
                  <c:v>23.678978134224998</c:v>
                </c:pt>
                <c:pt idx="49">
                  <c:v>22.698010018933147</c:v>
                </c:pt>
                <c:pt idx="50">
                  <c:v>21.772859149444002</c:v>
                </c:pt>
                <c:pt idx="51">
                  <c:v>20.898635040707713</c:v>
                </c:pt>
                <c:pt idx="52">
                  <c:v>20.07104714887824</c:v>
                </c:pt>
                <c:pt idx="53">
                  <c:v>19.286302947071441</c:v>
                </c:pt>
                <c:pt idx="54">
                  <c:v>18.541029874948922</c:v>
                </c:pt>
                <c:pt idx="55">
                  <c:v>12.721887337263023</c:v>
                </c:pt>
                <c:pt idx="56">
                  <c:v>8.8103634358075666</c:v>
                </c:pt>
                <c:pt idx="57">
                  <c:v>5.971025757993722</c:v>
                </c:pt>
                <c:pt idx="58">
                  <c:v>3.7900712021494325</c:v>
                </c:pt>
                <c:pt idx="59">
                  <c:v>2.0407113336884795</c:v>
                </c:pt>
                <c:pt idx="60">
                  <c:v>0.5896270031930122</c:v>
                </c:pt>
                <c:pt idx="61">
                  <c:v>-0.64604662407714564</c:v>
                </c:pt>
                <c:pt idx="62">
                  <c:v>-1.7203034208173289</c:v>
                </c:pt>
                <c:pt idx="63">
                  <c:v>-2.6697904992002943</c:v>
                </c:pt>
                <c:pt idx="64">
                  <c:v>-3.5202793575344753</c:v>
                </c:pt>
                <c:pt idx="65">
                  <c:v>-4.2904616966699773</c:v>
                </c:pt>
                <c:pt idx="66">
                  <c:v>-4.9942640554735718</c:v>
                </c:pt>
                <c:pt idx="67">
                  <c:v>-5.6423092374913706</c:v>
                </c:pt>
                <c:pt idx="68">
                  <c:v>-6.2428683770834654</c:v>
                </c:pt>
                <c:pt idx="69">
                  <c:v>-6.8024989051700011</c:v>
                </c:pt>
                <c:pt idx="70">
                  <c:v>-7.3264830371080691</c:v>
                </c:pt>
                <c:pt idx="71">
                  <c:v>-7.8191361409042166</c:v>
                </c:pt>
                <c:pt idx="72">
                  <c:v>-8.2840281358924663</c:v>
                </c:pt>
                <c:pt idx="73">
                  <c:v>-11.890179520780631</c:v>
                </c:pt>
                <c:pt idx="74">
                  <c:v>-14.389412592269563</c:v>
                </c:pt>
                <c:pt idx="75">
                  <c:v>-16.295634267322122</c:v>
                </c:pt>
                <c:pt idx="76">
                  <c:v>-17.828139139259576</c:v>
                </c:pt>
                <c:pt idx="77">
                  <c:v>-19.101691702696893</c:v>
                </c:pt>
                <c:pt idx="78">
                  <c:v>-20.184203958155617</c:v>
                </c:pt>
                <c:pt idx="79">
                  <c:v>-21.119358312947512</c:v>
                </c:pt>
                <c:pt idx="80">
                  <c:v>-21.937017349610805</c:v>
                </c:pt>
                <c:pt idx="81">
                  <c:v>-22.658573500767133</c:v>
                </c:pt>
                <c:pt idx="82">
                  <c:v>-23.299932265757423</c:v>
                </c:pt>
                <c:pt idx="83">
                  <c:v>-23.873284376796878</c:v>
                </c:pt>
                <c:pt idx="84">
                  <c:v>-24.388213399866583</c:v>
                </c:pt>
                <c:pt idx="85">
                  <c:v>-24.852417783621071</c:v>
                </c:pt>
                <c:pt idx="86">
                  <c:v>-25.272198860220314</c:v>
                </c:pt>
                <c:pt idx="87">
                  <c:v>-25.652801346777114</c:v>
                </c:pt>
                <c:pt idx="88">
                  <c:v>-25.998657937550732</c:v>
                </c:pt>
                <c:pt idx="89">
                  <c:v>-26.313569870356822</c:v>
                </c:pt>
                <c:pt idx="90">
                  <c:v>-26.600843792303081</c:v>
                </c:pt>
                <c:pt idx="91">
                  <c:v>-28.492158435996281</c:v>
                </c:pt>
                <c:pt idx="92">
                  <c:v>-30.083315738790802</c:v>
                </c:pt>
                <c:pt idx="93">
                  <c:v>-33.320061612261078</c:v>
                </c:pt>
                <c:pt idx="94">
                  <c:v>-37.945363339281926</c:v>
                </c:pt>
                <c:pt idx="95">
                  <c:v>-42.601166123205893</c:v>
                </c:pt>
                <c:pt idx="96">
                  <c:v>-46.827327122127457</c:v>
                </c:pt>
                <c:pt idx="97">
                  <c:v>-50.613646203757654</c:v>
                </c:pt>
                <c:pt idx="98">
                  <c:v>-54.031771826954746</c:v>
                </c:pt>
                <c:pt idx="99">
                  <c:v>-57.150282866375989</c:v>
                </c:pt>
                <c:pt idx="100">
                  <c:v>-60.022969604510777</c:v>
                </c:pt>
                <c:pt idx="101">
                  <c:v>-62.690686885996243</c:v>
                </c:pt>
                <c:pt idx="102">
                  <c:v>-65.184664027777288</c:v>
                </c:pt>
                <c:pt idx="103">
                  <c:v>-67.529177522352626</c:v>
                </c:pt>
                <c:pt idx="104">
                  <c:v>-69.743456427904306</c:v>
                </c:pt>
                <c:pt idx="105">
                  <c:v>-71.843006700815053</c:v>
                </c:pt>
                <c:pt idx="106">
                  <c:v>-73.84053549840155</c:v>
                </c:pt>
                <c:pt idx="107">
                  <c:v>-75.746605785476959</c:v>
                </c:pt>
                <c:pt idx="108">
                  <c:v>-77.570108447979379</c:v>
                </c:pt>
                <c:pt idx="109">
                  <c:v>-92.524121664222292</c:v>
                </c:pt>
                <c:pt idx="110">
                  <c:v>-103.70450395676365</c:v>
                </c:pt>
                <c:pt idx="111">
                  <c:v>-112.66444883032982</c:v>
                </c:pt>
                <c:pt idx="112">
                  <c:v>-120.1401739859247</c:v>
                </c:pt>
                <c:pt idx="113">
                  <c:v>-126.54938558390556</c:v>
                </c:pt>
                <c:pt idx="114">
                  <c:v>-132.15477288902352</c:v>
                </c:pt>
                <c:pt idx="115">
                  <c:v>-137.13293562515298</c:v>
                </c:pt>
                <c:pt idx="116">
                  <c:v>-141.60839483902609</c:v>
                </c:pt>
                <c:pt idx="117">
                  <c:v>-145.67221080452543</c:v>
                </c:pt>
                <c:pt idx="118">
                  <c:v>-149.3929445593763</c:v>
                </c:pt>
                <c:pt idx="119">
                  <c:v>-152.82347236983117</c:v>
                </c:pt>
                <c:pt idx="120">
                  <c:v>-156.0054071301484</c:v>
                </c:pt>
                <c:pt idx="121">
                  <c:v>-158.97206899069289</c:v>
                </c:pt>
                <c:pt idx="122">
                  <c:v>-161.75054057250443</c:v>
                </c:pt>
                <c:pt idx="123">
                  <c:v>-164.36312494939816</c:v>
                </c:pt>
                <c:pt idx="124">
                  <c:v>-166.82840271494956</c:v>
                </c:pt>
                <c:pt idx="125">
                  <c:v>-169.16201317877713</c:v>
                </c:pt>
                <c:pt idx="126">
                  <c:v>-171.37724156407273</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-82.58094948544138</c:v>
                </c:pt>
                <c:pt idx="1">
                  <c:v>-85.125518543587816</c:v>
                </c:pt>
                <c:pt idx="2">
                  <c:v>-86.431877731204352</c:v>
                </c:pt>
                <c:pt idx="3">
                  <c:v>-87.238537472011913</c:v>
                </c:pt>
                <c:pt idx="4">
                  <c:v>-87.794429264675657</c:v>
                </c:pt>
                <c:pt idx="5">
                  <c:v>-88.206753805192406</c:v>
                </c:pt>
                <c:pt idx="6">
                  <c:v>-88.529249072214554</c:v>
                </c:pt>
                <c:pt idx="7">
                  <c:v>-88.791815414969435</c:v>
                </c:pt>
                <c:pt idx="8">
                  <c:v>-89.012410926711183</c:v>
                </c:pt>
                <c:pt idx="9">
                  <c:v>-89.202471289518243</c:v>
                </c:pt>
                <c:pt idx="10">
                  <c:v>-89.36962400505584</c:v>
                </c:pt>
                <c:pt idx="11">
                  <c:v>-89.519151540469522</c:v>
                </c:pt>
                <c:pt idx="12">
                  <c:v>-89.654828098162554</c:v>
                </c:pt>
                <c:pt idx="13">
                  <c:v>-89.779421989324746</c:v>
                </c:pt>
                <c:pt idx="14">
                  <c:v>-89.895009768522627</c:v>
                </c:pt>
                <c:pt idx="15">
                  <c:v>-90.003179574722239</c:v>
                </c:pt>
                <c:pt idx="16">
                  <c:v>-90.105166733600527</c:v>
                </c:pt>
                <c:pt idx="17">
                  <c:v>-90.201946561380311</c:v>
                </c:pt>
                <c:pt idx="18">
                  <c:v>-90.294299341038482</c:v>
                </c:pt>
                <c:pt idx="19">
                  <c:v>-91.071613303421501</c:v>
                </c:pt>
                <c:pt idx="20">
                  <c:v>-91.722319713864024</c:v>
                </c:pt>
                <c:pt idx="21">
                  <c:v>-92.321911379689041</c:v>
                </c:pt>
                <c:pt idx="22">
                  <c:v>-92.89544572707284</c:v>
                </c:pt>
                <c:pt idx="23">
                  <c:v>-93.453569160721017</c:v>
                </c:pt>
                <c:pt idx="24">
                  <c:v>-94.001524687539145</c:v>
                </c:pt>
                <c:pt idx="25">
                  <c:v>-94.542154823098883</c:v>
                </c:pt>
                <c:pt idx="26">
                  <c:v>-95.07710293825707</c:v>
                </c:pt>
                <c:pt idx="27">
                  <c:v>-95.60735945923804</c:v>
                </c:pt>
                <c:pt idx="28">
                  <c:v>-96.133535077264668</c:v>
                </c:pt>
                <c:pt idx="29">
                  <c:v>-96.656007955047599</c:v>
                </c:pt>
                <c:pt idx="30">
                  <c:v>-97.175007925697599</c:v>
                </c:pt>
                <c:pt idx="31">
                  <c:v>-97.6906670821582</c:v>
                </c:pt>
                <c:pt idx="32">
                  <c:v>-98.203051456151258</c:v>
                </c:pt>
                <c:pt idx="33">
                  <c:v>-98.712181568341322</c:v>
                </c:pt>
                <c:pt idx="34">
                  <c:v>-99.218046172791517</c:v>
                </c:pt>
                <c:pt idx="35">
                  <c:v>-99.720611698462321</c:v>
                </c:pt>
                <c:pt idx="36">
                  <c:v>-100.21982888935739</c:v>
                </c:pt>
                <c:pt idx="37">
                  <c:v>-105.01250820138068</c:v>
                </c:pt>
                <c:pt idx="38">
                  <c:v>-109.39345129920085</c:v>
                </c:pt>
                <c:pt idx="39">
                  <c:v>-113.31384686804519</c:v>
                </c:pt>
                <c:pt idx="40">
                  <c:v>-116.7582326638662</c:v>
                </c:pt>
                <c:pt idx="41">
                  <c:v>-119.738512370678</c:v>
                </c:pt>
                <c:pt idx="42">
                  <c:v>-122.28452222812408</c:v>
                </c:pt>
                <c:pt idx="43">
                  <c:v>-124.43564718454724</c:v>
                </c:pt>
                <c:pt idx="44">
                  <c:v>-126.2346966626726</c:v>
                </c:pt>
                <c:pt idx="45">
                  <c:v>-127.72398699752964</c:v>
                </c:pt>
                <c:pt idx="46">
                  <c:v>-128.9431345783679</c:v>
                </c:pt>
                <c:pt idx="47">
                  <c:v>-129.92801474649147</c:v>
                </c:pt>
                <c:pt idx="48">
                  <c:v>-130.71044353527077</c:v>
                </c:pt>
                <c:pt idx="49">
                  <c:v>-131.31826967999135</c:v>
                </c:pt>
                <c:pt idx="50">
                  <c:v>-131.77567493063518</c:v>
                </c:pt>
                <c:pt idx="51">
                  <c:v>-132.10356065663794</c:v>
                </c:pt>
                <c:pt idx="52">
                  <c:v>-132.31995158853638</c:v>
                </c:pt>
                <c:pt idx="53">
                  <c:v>-132.4403804422553</c:v>
                </c:pt>
                <c:pt idx="54">
                  <c:v>-132.47823668902237</c:v>
                </c:pt>
                <c:pt idx="55">
                  <c:v>-130.23216872230526</c:v>
                </c:pt>
                <c:pt idx="56">
                  <c:v>-126.31483561551624</c:v>
                </c:pt>
                <c:pt idx="57">
                  <c:v>-122.44983029101381</c:v>
                </c:pt>
                <c:pt idx="58">
                  <c:v>-119.06093150365412</c:v>
                </c:pt>
                <c:pt idx="59">
                  <c:v>-116.19630288062785</c:v>
                </c:pt>
                <c:pt idx="60">
                  <c:v>-113.79882041686091</c:v>
                </c:pt>
                <c:pt idx="61">
                  <c:v>-111.79116925114525</c:v>
                </c:pt>
                <c:pt idx="62">
                  <c:v>-110.10169469610609</c:v>
                </c:pt>
                <c:pt idx="63">
                  <c:v>-108.67061171551168</c:v>
                </c:pt>
                <c:pt idx="64">
                  <c:v>-107.44991217930263</c:v>
                </c:pt>
                <c:pt idx="65">
                  <c:v>-106.40154932890715</c:v>
                </c:pt>
                <c:pt idx="66">
                  <c:v>-105.49542979186374</c:v>
                </c:pt>
                <c:pt idx="67">
                  <c:v>-104.7076688197273</c:v>
                </c:pt>
                <c:pt idx="68">
                  <c:v>-104.01919353776159</c:v>
                </c:pt>
                <c:pt idx="69">
                  <c:v>-103.41466154572292</c:v>
                </c:pt>
                <c:pt idx="70">
                  <c:v>-102.88163458571334</c:v>
                </c:pt>
                <c:pt idx="71">
                  <c:v>-102.40994918311949</c:v>
                </c:pt>
                <c:pt idx="72">
                  <c:v>-101.99123641247289</c:v>
                </c:pt>
                <c:pt idx="73">
                  <c:v>-99.617654866982662</c:v>
                </c:pt>
                <c:pt idx="74">
                  <c:v>-98.879555308790074</c:v>
                </c:pt>
                <c:pt idx="75">
                  <c:v>-98.833052331675688</c:v>
                </c:pt>
                <c:pt idx="76">
                  <c:v>-99.154260956590534</c:v>
                </c:pt>
                <c:pt idx="77">
                  <c:v>-99.704775264484411</c:v>
                </c:pt>
                <c:pt idx="78">
                  <c:v>-100.41701960552669</c:v>
                </c:pt>
                <c:pt idx="79">
                  <c:v>-101.25507343305796</c:v>
                </c:pt>
                <c:pt idx="80">
                  <c:v>-102.1987904932592</c:v>
                </c:pt>
                <c:pt idx="81">
                  <c:v>-103.23653139385068</c:v>
                </c:pt>
                <c:pt idx="82">
                  <c:v>-104.3615268459483</c:v>
                </c:pt>
                <c:pt idx="83">
                  <c:v>-105.56993204138342</c:v>
                </c:pt>
                <c:pt idx="84">
                  <c:v>-106.85973319928891</c:v>
                </c:pt>
                <c:pt idx="85">
                  <c:v>-108.23011137472527</c:v>
                </c:pt>
                <c:pt idx="86">
                  <c:v>-109.68106416191389</c:v>
                </c:pt>
                <c:pt idx="87">
                  <c:v>-111.21317844105698</c:v>
                </c:pt>
                <c:pt idx="88">
                  <c:v>-112.82749380577125</c:v>
                </c:pt>
                <c:pt idx="89">
                  <c:v>-114.52542088647706</c:v>
                </c:pt>
                <c:pt idx="90">
                  <c:v>-116.30869234180567</c:v>
                </c:pt>
                <c:pt idx="91">
                  <c:v>-139.38776900036527</c:v>
                </c:pt>
                <c:pt idx="92">
                  <c:v>-173.3182238680682</c:v>
                </c:pt>
                <c:pt idx="93">
                  <c:v>-211.80999135489037</c:v>
                </c:pt>
                <c:pt idx="94">
                  <c:v>-241.87208126508494</c:v>
                </c:pt>
                <c:pt idx="95">
                  <c:v>-262.35055312888829</c:v>
                </c:pt>
                <c:pt idx="96">
                  <c:v>-277.03607591588752</c:v>
                </c:pt>
                <c:pt idx="97">
                  <c:v>-288.395024327996</c:v>
                </c:pt>
                <c:pt idx="98">
                  <c:v>-297.69028745711762</c:v>
                </c:pt>
                <c:pt idx="99">
                  <c:v>-305.59116270359499</c:v>
                </c:pt>
                <c:pt idx="100">
                  <c:v>-312.48180696256486</c:v>
                </c:pt>
                <c:pt idx="101">
                  <c:v>-318.60067988944672</c:v>
                </c:pt>
                <c:pt idx="102">
                  <c:v>-324.10608053607689</c:v>
                </c:pt>
                <c:pt idx="103">
                  <c:v>-329.1090382334902</c:v>
                </c:pt>
                <c:pt idx="104">
                  <c:v>-333.69095529973356</c:v>
                </c:pt>
                <c:pt idx="105">
                  <c:v>-337.9136690995573</c:v>
                </c:pt>
                <c:pt idx="106">
                  <c:v>-341.82551429331238</c:v>
                </c:pt>
                <c:pt idx="107">
                  <c:v>-345.46515639300259</c:v>
                </c:pt>
                <c:pt idx="108">
                  <c:v>-348.86412065586308</c:v>
                </c:pt>
                <c:pt idx="109">
                  <c:v>-373.8242522916172</c:v>
                </c:pt>
                <c:pt idx="110">
                  <c:v>-389.23433254646181</c:v>
                </c:pt>
                <c:pt idx="111">
                  <c:v>-399.67524846390779</c:v>
                </c:pt>
                <c:pt idx="112">
                  <c:v>-407.17142786518832</c:v>
                </c:pt>
                <c:pt idx="113">
                  <c:v>-412.78722321531336</c:v>
                </c:pt>
                <c:pt idx="114">
                  <c:v>-417.13649686022791</c:v>
                </c:pt>
                <c:pt idx="115">
                  <c:v>-420.59627187162465</c:v>
                </c:pt>
                <c:pt idx="116">
                  <c:v>-423.40963804980879</c:v>
                </c:pt>
                <c:pt idx="117">
                  <c:v>-425.73968676306873</c:v>
                </c:pt>
                <c:pt idx="118">
                  <c:v>-427.69955631145706</c:v>
                </c:pt>
                <c:pt idx="119">
                  <c:v>-429.37000389220839</c:v>
                </c:pt>
                <c:pt idx="120">
                  <c:v>-430.81011088898117</c:v>
                </c:pt>
                <c:pt idx="121">
                  <c:v>-432.06403806899937</c:v>
                </c:pt>
                <c:pt idx="122">
                  <c:v>-433.16542098832002</c:v>
                </c:pt>
                <c:pt idx="123">
                  <c:v>-434.14030830353545</c:v>
                </c:pt>
                <c:pt idx="124">
                  <c:v>-435.00917370959934</c:v>
                </c:pt>
                <c:pt idx="125">
                  <c:v>-435.78832339028861</c:v>
                </c:pt>
                <c:pt idx="126">
                  <c:v>-436.49089971257604</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14.353398380543075</c:v>
                </c:pt>
                <c:pt idx="1">
                  <c:v>14.353383781209562</c:v>
                </c:pt>
                <c:pt idx="2">
                  <c:v>14.353363342225045</c:v>
                </c:pt>
                <c:pt idx="3">
                  <c:v>14.353337063672051</c:v>
                </c:pt>
                <c:pt idx="4">
                  <c:v>14.353304945656557</c:v>
                </c:pt>
                <c:pt idx="5">
                  <c:v>14.353266988308107</c:v>
                </c:pt>
                <c:pt idx="6">
                  <c:v>14.353223191779772</c:v>
                </c:pt>
                <c:pt idx="7">
                  <c:v>14.353173556248244</c:v>
                </c:pt>
                <c:pt idx="8">
                  <c:v>14.353118081913776</c:v>
                </c:pt>
                <c:pt idx="9">
                  <c:v>14.353056769000055</c:v>
                </c:pt>
                <c:pt idx="10">
                  <c:v>14.352989617754391</c:v>
                </c:pt>
                <c:pt idx="11">
                  <c:v>14.352916628447602</c:v>
                </c:pt>
                <c:pt idx="12">
                  <c:v>14.352837801374088</c:v>
                </c:pt>
                <c:pt idx="13">
                  <c:v>14.352753136851696</c:v>
                </c:pt>
                <c:pt idx="14">
                  <c:v>14.352662635221877</c:v>
                </c:pt>
                <c:pt idx="15">
                  <c:v>14.352566296849588</c:v>
                </c:pt>
                <c:pt idx="16">
                  <c:v>14.352464122123237</c:v>
                </c:pt>
                <c:pt idx="17">
                  <c:v>14.352356111454805</c:v>
                </c:pt>
                <c:pt idx="18">
                  <c:v>14.352242265279806</c:v>
                </c:pt>
                <c:pt idx="19">
                  <c:v>14.350782963266447</c:v>
                </c:pt>
                <c:pt idx="20">
                  <c:v>14.348740763885047</c:v>
                </c:pt>
                <c:pt idx="21">
                  <c:v>14.346116489246121</c:v>
                </c:pt>
                <c:pt idx="22">
                  <c:v>14.34291119445761</c:v>
                </c:pt>
                <c:pt idx="23">
                  <c:v>14.339126166213934</c:v>
                </c:pt>
                <c:pt idx="24">
                  <c:v>14.334762921079205</c:v>
                </c:pt>
                <c:pt idx="25">
                  <c:v>14.329823203470223</c:v>
                </c:pt>
                <c:pt idx="26">
                  <c:v>14.324308983343752</c:v>
                </c:pt>
                <c:pt idx="27">
                  <c:v>14.318222453595837</c:v>
                </c:pt>
                <c:pt idx="28">
                  <c:v>14.311566027178962</c:v>
                </c:pt>
                <c:pt idx="29">
                  <c:v>14.304342333946103</c:v>
                </c:pt>
                <c:pt idx="30">
                  <c:v>14.296554217229325</c:v>
                </c:pt>
                <c:pt idx="31">
                  <c:v>14.288204730162803</c:v>
                </c:pt>
                <c:pt idx="32">
                  <c:v>14.279297131759739</c:v>
                </c:pt>
                <c:pt idx="33">
                  <c:v>14.269834882753752</c:v>
                </c:pt>
                <c:pt idx="34">
                  <c:v>14.259821641215586</c:v>
                </c:pt>
                <c:pt idx="35">
                  <c:v>14.249261257956558</c:v>
                </c:pt>
                <c:pt idx="36">
                  <c:v>14.23815777173038</c:v>
                </c:pt>
                <c:pt idx="37">
                  <c:v>14.098264679744384</c:v>
                </c:pt>
                <c:pt idx="38">
                  <c:v>13.909689066617606</c:v>
                </c:pt>
                <c:pt idx="39">
                  <c:v>13.67867758735426</c:v>
                </c:pt>
                <c:pt idx="40">
                  <c:v>13.412062089508012</c:v>
                </c:pt>
                <c:pt idx="41">
                  <c:v>13.116721743294315</c:v>
                </c:pt>
                <c:pt idx="42">
                  <c:v>12.799171042767579</c:v>
                </c:pt>
                <c:pt idx="43">
                  <c:v>12.465292083968862</c:v>
                </c:pt>
                <c:pt idx="44">
                  <c:v>12.120197802285478</c:v>
                </c:pt>
                <c:pt idx="45">
                  <c:v>11.768196664742554</c:v>
                </c:pt>
                <c:pt idx="46">
                  <c:v>11.4128258766754</c:v>
                </c:pt>
                <c:pt idx="47">
                  <c:v>11.056924295554021</c:v>
                </c:pt>
                <c:pt idx="48">
                  <c:v>10.702723358766885</c:v>
                </c:pt>
                <c:pt idx="49">
                  <c:v>10.351941510335038</c:v>
                </c:pt>
                <c:pt idx="50">
                  <c:v>10.005873492051913</c:v>
                </c:pt>
                <c:pt idx="51">
                  <c:v>9.6654701053997538</c:v>
                </c:pt>
                <c:pt idx="52">
                  <c:v>9.3314068219690611</c:v>
                </c:pt>
                <c:pt idx="53">
                  <c:v>9.0041412684216553</c:v>
                </c:pt>
                <c:pt idx="54">
                  <c:v>8.6839604853569643</c:v>
                </c:pt>
                <c:pt idx="55">
                  <c:v>5.8709375050780483</c:v>
                </c:pt>
                <c:pt idx="56">
                  <c:v>3.6503586292087498</c:v>
                </c:pt>
                <c:pt idx="57">
                  <c:v>1.8472153439443517</c:v>
                </c:pt>
                <c:pt idx="58">
                  <c:v>0.33875405985436369</c:v>
                </c:pt>
                <c:pt idx="59">
                  <c:v>-0.95422365442163382</c:v>
                </c:pt>
                <c:pt idx="60">
                  <c:v>-2.083971643650973</c:v>
                </c:pt>
                <c:pt idx="61">
                  <c:v>-3.0862707022528371</c:v>
                </c:pt>
                <c:pt idx="62">
                  <c:v>-3.9865161015927608</c:v>
                </c:pt>
                <c:pt idx="63">
                  <c:v>-4.803309208695075</c:v>
                </c:pt>
                <c:pt idx="64">
                  <c:v>-5.5506490354865532</c:v>
                </c:pt>
                <c:pt idx="65">
                  <c:v>-6.2393182109249503</c:v>
                </c:pt>
                <c:pt idx="66">
                  <c:v>-6.8777893563672112</c:v>
                </c:pt>
                <c:pt idx="67">
                  <c:v>-7.4728359778601847</c:v>
                </c:pt>
                <c:pt idx="68">
                  <c:v>-8.0299554011351315</c:v>
                </c:pt>
                <c:pt idx="69">
                  <c:v>-8.553668631250277</c:v>
                </c:pt>
                <c:pt idx="70">
                  <c:v>-9.0477374947515514</c:v>
                </c:pt>
                <c:pt idx="71">
                  <c:v>-9.5153248737647065</c:v>
                </c:pt>
                <c:pt idx="72">
                  <c:v>-9.9591149578705647</c:v>
                </c:pt>
                <c:pt idx="73">
                  <c:v>-13.471992538017844</c:v>
                </c:pt>
                <c:pt idx="74">
                  <c:v>-15.96763124962694</c:v>
                </c:pt>
                <c:pt idx="75">
                  <c:v>-17.904379213273572</c:v>
                </c:pt>
                <c:pt idx="76">
                  <c:v>-19.487215028807348</c:v>
                </c:pt>
                <c:pt idx="77">
                  <c:v>-20.82567494643774</c:v>
                </c:pt>
                <c:pt idx="78">
                  <c:v>-21.985204996915819</c:v>
                </c:pt>
                <c:pt idx="79">
                  <c:v>-23.00804365983204</c:v>
                </c:pt>
                <c:pt idx="80">
                  <c:v>-23.923041975404065</c:v>
                </c:pt>
                <c:pt idx="81">
                  <c:v>-24.750783585522321</c:v>
                </c:pt>
                <c:pt idx="82">
                  <c:v>-25.506469545415719</c:v>
                </c:pt>
                <c:pt idx="83">
                  <c:v>-26.20164531874898</c:v>
                </c:pt>
                <c:pt idx="84">
                  <c:v>-26.845286337290059</c:v>
                </c:pt>
                <c:pt idx="85">
                  <c:v>-27.444508329935321</c:v>
                </c:pt>
                <c:pt idx="86">
                  <c:v>-28.00504803903172</c:v>
                </c:pt>
                <c:pt idx="87">
                  <c:v>-28.531598002616686</c:v>
                </c:pt>
                <c:pt idx="88">
                  <c:v>-29.028045533184393</c:v>
                </c:pt>
                <c:pt idx="89">
                  <c:v>-29.497647017057389</c:v>
                </c:pt>
                <c:pt idx="90">
                  <c:v>-29.943157465736711</c:v>
                </c:pt>
                <c:pt idx="91">
                  <c:v>-33.464892932776785</c:v>
                </c:pt>
                <c:pt idx="92">
                  <c:v>-35.963636264354186</c:v>
                </c:pt>
                <c:pt idx="93">
                  <c:v>-37.901821990204787</c:v>
                </c:pt>
                <c:pt idx="94">
                  <c:v>-39.485439015693963</c:v>
                </c:pt>
                <c:pt idx="95">
                  <c:v>-40.824370047310978</c:v>
                </c:pt>
                <c:pt idx="96">
                  <c:v>-41.984205896511654</c:v>
                </c:pt>
                <c:pt idx="97">
                  <c:v>-43.007254226434242</c:v>
                </c:pt>
                <c:pt idx="98">
                  <c:v>-43.922402521627745</c:v>
                </c:pt>
                <c:pt idx="99">
                  <c:v>-44.75025510281101</c:v>
                </c:pt>
                <c:pt idx="100">
                  <c:v>-45.506025466938844</c:v>
                </c:pt>
                <c:pt idx="101">
                  <c:v>-46.201266927470272</c:v>
                </c:pt>
                <c:pt idx="102">
                  <c:v>-46.84496006720952</c:v>
                </c:pt>
                <c:pt idx="103">
                  <c:v>-47.444224108736577</c:v>
                </c:pt>
                <c:pt idx="104">
                  <c:v>-48.0047982317624</c:v>
                </c:pt>
                <c:pt idx="105">
                  <c:v>-48.531376716670778</c:v>
                </c:pt>
                <c:pt idx="106">
                  <c:v>-49.027848148220407</c:v>
                </c:pt>
                <c:pt idx="107">
                  <c:v>-49.497469859285133</c:v>
                </c:pt>
                <c:pt idx="108">
                  <c:v>-49.942997577374442</c:v>
                </c:pt>
                <c:pt idx="109">
                  <c:v>-53.464821839894043</c:v>
                </c:pt>
                <c:pt idx="110">
                  <c:v>-55.963596228048964</c:v>
                </c:pt>
                <c:pt idx="111">
                  <c:v>-57.901796304292922</c:v>
                </c:pt>
                <c:pt idx="112">
                  <c:v>-59.485421099145697</c:v>
                </c:pt>
                <c:pt idx="113">
                  <c:v>-60.824356788431302</c:v>
                </c:pt>
                <c:pt idx="114">
                  <c:v>-61.984195632793195</c:v>
                </c:pt>
                <c:pt idx="115">
                  <c:v>-63.00724598769051</c:v>
                </c:pt>
                <c:pt idx="116">
                  <c:v>-63.922395702311974</c:v>
                </c:pt>
                <c:pt idx="117">
                  <c:v>-64.75024930425306</c:v>
                </c:pt>
                <c:pt idx="118">
                  <c:v>-65.506020414929168</c:v>
                </c:pt>
                <c:pt idx="119">
                  <c:v>-66.20126242631973</c:v>
                </c:pt>
                <c:pt idx="120">
                  <c:v>-66.844955972752032</c:v>
                </c:pt>
                <c:pt idx="121">
                  <c:v>-67.444220311750044</c:v>
                </c:pt>
                <c:pt idx="122">
                  <c:v>-68.004794647402747</c:v>
                </c:pt>
                <c:pt idx="123">
                  <c:v>-68.531373277520217</c:v>
                </c:pt>
                <c:pt idx="124">
                  <c:v>-69.027844799585424</c:v>
                </c:pt>
                <c:pt idx="125">
                  <c:v>-69.497466555938999</c:v>
                </c:pt>
                <c:pt idx="126">
                  <c:v>-69.942994281251231</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-9.3959915770994343E-2</c:v>
                </c:pt>
                <c:pt idx="1">
                  <c:v>-0.1409397157276806</c:v>
                </c:pt>
                <c:pt idx="2">
                  <c:v>-0.18791932617121768</c:v>
                </c:pt>
                <c:pt idx="3">
                  <c:v>-0.23489868393293789</c:v>
                </c:pt>
                <c:pt idx="4">
                  <c:v>-0.28187772584620513</c:v>
                </c:pt>
                <c:pt idx="5">
                  <c:v>-0.32885638874693945</c:v>
                </c:pt>
                <c:pt idx="6">
                  <c:v>-0.3758346094741144</c:v>
                </c:pt>
                <c:pt idx="7">
                  <c:v>-0.4228123248702701</c:v>
                </c:pt>
                <c:pt idx="8">
                  <c:v>-0.46978947178201796</c:v>
                </c:pt>
                <c:pt idx="9">
                  <c:v>-0.51676598706056776</c:v>
                </c:pt>
                <c:pt idx="10">
                  <c:v>-0.56374180756221393</c:v>
                </c:pt>
                <c:pt idx="11">
                  <c:v>-0.610716870148859</c:v>
                </c:pt>
                <c:pt idx="12">
                  <c:v>-0.65769111168851846</c:v>
                </c:pt>
                <c:pt idx="13">
                  <c:v>-0.7046644690558268</c:v>
                </c:pt>
                <c:pt idx="14">
                  <c:v>-0.75163687913255306</c:v>
                </c:pt>
                <c:pt idx="15">
                  <c:v>-0.79860827880809926</c:v>
                </c:pt>
                <c:pt idx="16">
                  <c:v>-0.84557860498002924</c:v>
                </c:pt>
                <c:pt idx="17">
                  <c:v>-0.8925477945545468</c:v>
                </c:pt>
                <c:pt idx="18">
                  <c:v>-0.93951578444701767</c:v>
                </c:pt>
                <c:pt idx="19">
                  <c:v>-1.4091158298103112</c:v>
                </c:pt>
                <c:pt idx="20">
                  <c:v>-1.878526601449235</c:v>
                </c:pt>
                <c:pt idx="21">
                  <c:v>-2.3476852453279848</c:v>
                </c:pt>
                <c:pt idx="22">
                  <c:v>-2.8165291101159662</c:v>
                </c:pt>
                <c:pt idx="23">
                  <c:v>-3.2849957970996675</c:v>
                </c:pt>
                <c:pt idx="24">
                  <c:v>-3.7530232095887452</c:v>
                </c:pt>
                <c:pt idx="25">
                  <c:v>-4.2205496017197737</c:v>
                </c:pt>
                <c:pt idx="26">
                  <c:v>-4.6875136265630015</c:v>
                </c:pt>
                <c:pt idx="27">
                  <c:v>-5.1538543834395467</c:v>
                </c:pt>
                <c:pt idx="28">
                  <c:v>-5.6195114643603752</c:v>
                </c:pt>
                <c:pt idx="29">
                  <c:v>-6.0844249995004711</c:v>
                </c:pt>
                <c:pt idx="30">
                  <c:v>-6.5485357016263794</c:v>
                </c:pt>
                <c:pt idx="31">
                  <c:v>-7.011784909397365</c:v>
                </c:pt>
                <c:pt idx="32">
                  <c:v>-7.4741146294665226</c:v>
                </c:pt>
                <c:pt idx="33">
                  <c:v>-7.9354675773103542</c:v>
                </c:pt>
                <c:pt idx="34">
                  <c:v>-8.3957872167213576</c:v>
                </c:pt>
                <c:pt idx="35">
                  <c:v>-8.855017797901489</c:v>
                </c:pt>
                <c:pt idx="36">
                  <c:v>-9.3131043941005469</c:v>
                </c:pt>
                <c:pt idx="37">
                  <c:v>-13.819621312146431</c:v>
                </c:pt>
                <c:pt idx="38">
                  <c:v>-18.158573616716321</c:v>
                </c:pt>
                <c:pt idx="39">
                  <c:v>-22.29254258226516</c:v>
                </c:pt>
                <c:pt idx="40">
                  <c:v>-26.195959959637893</c:v>
                </c:pt>
                <c:pt idx="41">
                  <c:v>-29.854487719141385</c:v>
                </c:pt>
                <c:pt idx="42">
                  <c:v>-33.263455540367964</c:v>
                </c:pt>
                <c:pt idx="43">
                  <c:v>-36.425847392550473</c:v>
                </c:pt>
                <c:pt idx="44">
                  <c:v>-39.350235914211098</c:v>
                </c:pt>
                <c:pt idx="45">
                  <c:v>-42.048921625781276</c:v>
                </c:pt>
                <c:pt idx="46">
                  <c:v>-44.536401389428583</c:v>
                </c:pt>
                <c:pt idx="47">
                  <c:v>-46.828193983592371</c:v>
                </c:pt>
                <c:pt idx="48">
                  <c:v>-48.939993591103381</c:v>
                </c:pt>
                <c:pt idx="49">
                  <c:v>-50.887096123961918</c:v>
                </c:pt>
                <c:pt idx="50">
                  <c:v>-52.684037579592896</c:v>
                </c:pt>
                <c:pt idx="51">
                  <c:v>-54.344388706761123</c:v>
                </c:pt>
                <c:pt idx="52">
                  <c:v>-55.880659797459074</c:v>
                </c:pt>
                <c:pt idx="53">
                  <c:v>-57.304279729961813</c:v>
                </c:pt>
                <c:pt idx="54">
                  <c:v>-58.625622669903336</c:v>
                </c:pt>
                <c:pt idx="55">
                  <c:v>-67.876983040937887</c:v>
                </c:pt>
                <c:pt idx="56">
                  <c:v>-73.04382839750518</c:v>
                </c:pt>
                <c:pt idx="57">
                  <c:v>-76.292330734742151</c:v>
                </c:pt>
                <c:pt idx="58">
                  <c:v>-78.51041798373538</c:v>
                </c:pt>
                <c:pt idx="59">
                  <c:v>-80.116822647790784</c:v>
                </c:pt>
                <c:pt idx="60">
                  <c:v>-81.332152546926395</c:v>
                </c:pt>
                <c:pt idx="61">
                  <c:v>-82.28293030948889</c:v>
                </c:pt>
                <c:pt idx="62">
                  <c:v>-83.046668522164794</c:v>
                </c:pt>
                <c:pt idx="63">
                  <c:v>-83.673409616064163</c:v>
                </c:pt>
                <c:pt idx="64">
                  <c:v>-84.196863780210421</c:v>
                </c:pt>
                <c:pt idx="65">
                  <c:v>-84.640550305467173</c:v>
                </c:pt>
                <c:pt idx="66">
                  <c:v>-85.021368587579445</c:v>
                </c:pt>
                <c:pt idx="67">
                  <c:v>-85.351769164784699</c:v>
                </c:pt>
                <c:pt idx="68">
                  <c:v>-85.641124569423198</c:v>
                </c:pt>
                <c:pt idx="69">
                  <c:v>-85.896623567383187</c:v>
                </c:pt>
                <c:pt idx="70">
                  <c:v>-86.123871225043857</c:v>
                </c:pt>
                <c:pt idx="71">
                  <c:v>-86.327301681899286</c:v>
                </c:pt>
                <c:pt idx="72">
                  <c:v>-86.510468374449914</c:v>
                </c:pt>
                <c:pt idx="73">
                  <c:v>-87.67202307932277</c:v>
                </c:pt>
                <c:pt idx="74">
                  <c:v>-88.25357011859532</c:v>
                </c:pt>
                <c:pt idx="75">
                  <c:v>-88.602671683254073</c:v>
                </c:pt>
                <c:pt idx="76">
                  <c:v>-88.835459327849549</c:v>
                </c:pt>
                <c:pt idx="77">
                  <c:v>-89.001755069487402</c:v>
                </c:pt>
                <c:pt idx="78">
                  <c:v>-89.126483569348252</c:v>
                </c:pt>
                <c:pt idx="79">
                  <c:v>-89.223496410850601</c:v>
                </c:pt>
                <c:pt idx="80">
                  <c:v>-89.301106317365509</c:v>
                </c:pt>
                <c:pt idx="81">
                  <c:v>-89.364603980102459</c:v>
                </c:pt>
                <c:pt idx="82">
                  <c:v>-89.417516898360347</c:v>
                </c:pt>
                <c:pt idx="83">
                  <c:v>-89.462287378378761</c:v>
                </c:pt>
                <c:pt idx="84">
                  <c:v>-89.500660029037746</c:v>
                </c:pt>
                <c:pt idx="85">
                  <c:v>-89.533914290036023</c:v>
                </c:pt>
                <c:pt idx="86">
                  <c:v>-89.563009776911599</c:v>
                </c:pt>
                <c:pt idx="87">
                  <c:v>-89.588680335458335</c:v>
                </c:pt>
                <c:pt idx="88">
                  <c:v>-89.611496748774357</c:v>
                </c:pt>
                <c:pt idx="89">
                  <c:v>-89.63190964438175</c:v>
                </c:pt>
                <c:pt idx="90">
                  <c:v>-89.650279530542605</c:v>
                </c:pt>
                <c:pt idx="91">
                  <c:v>-89.766557657839314</c:v>
                </c:pt>
                <c:pt idx="92">
                  <c:v>-89.824607503355821</c:v>
                </c:pt>
                <c:pt idx="93">
                  <c:v>-89.859365591581664</c:v>
                </c:pt>
                <c:pt idx="94">
                  <c:v>-89.882477709742403</c:v>
                </c:pt>
                <c:pt idx="95">
                  <c:v>-89.898934961016295</c:v>
                </c:pt>
                <c:pt idx="96">
                  <c:v>-89.911232910672368</c:v>
                </c:pt>
                <c:pt idx="97">
                  <c:v>-89.920757988415929</c:v>
                </c:pt>
                <c:pt idx="98">
                  <c:v>-89.928342053845356</c:v>
                </c:pt>
                <c:pt idx="99">
                  <c:v>-89.934514472936584</c:v>
                </c:pt>
                <c:pt idx="100">
                  <c:v>-89.939628156712274</c:v>
                </c:pt>
                <c:pt idx="101">
                  <c:v>-89.943927428379595</c:v>
                </c:pt>
                <c:pt idx="102">
                  <c:v>-89.947586804619547</c:v>
                </c:pt>
                <c:pt idx="103">
                  <c:v>-89.950734264391428</c:v>
                </c:pt>
                <c:pt idx="104">
                  <c:v>-89.953465791950435</c:v>
                </c:pt>
                <c:pt idx="105">
                  <c:v>-89.955854787043364</c:v>
                </c:pt>
                <c:pt idx="106">
                  <c:v>-89.957958338376258</c:v>
                </c:pt>
                <c:pt idx="107">
                  <c:v>-89.959821515989503</c:v>
                </c:pt>
                <c:pt idx="108">
                  <c:v>-89.961480375921681</c:v>
                </c:pt>
                <c:pt idx="109">
                  <c:v>-89.971326490347451</c:v>
                </c:pt>
                <c:pt idx="110">
                  <c:v>-89.975349548358537</c:v>
                </c:pt>
                <c:pt idx="111">
                  <c:v>-89.977043383369079</c:v>
                </c:pt>
                <c:pt idx="112">
                  <c:v>-89.977572606798589</c:v>
                </c:pt>
                <c:pt idx="113">
                  <c:v>-89.977436337880405</c:v>
                </c:pt>
                <c:pt idx="114">
                  <c:v>-89.976884136246639</c:v>
                </c:pt>
                <c:pt idx="115">
                  <c:v>-89.976054646143496</c:v>
                </c:pt>
                <c:pt idx="116">
                  <c:v>-89.975031054121885</c:v>
                </c:pt>
                <c:pt idx="117">
                  <c:v>-89.973866297079937</c:v>
                </c:pt>
                <c:pt idx="118">
                  <c:v>-89.97259566628459</c:v>
                </c:pt>
                <c:pt idx="119">
                  <c:v>-89.971243594152725</c:v>
                </c:pt>
                <c:pt idx="120">
                  <c:v>-89.969827532411813</c:v>
                </c:pt>
                <c:pt idx="121">
                  <c:v>-89.968360278996315</c:v>
                </c:pt>
                <c:pt idx="122">
                  <c:v>-89.966851432358013</c:v>
                </c:pt>
                <c:pt idx="123">
                  <c:v>-89.965308332490324</c:v>
                </c:pt>
                <c:pt idx="124">
                  <c:v>-89.963736688277763</c:v>
                </c:pt>
                <c:pt idx="125">
                  <c:v>-89.962141006735251</c:v>
                </c:pt>
                <c:pt idx="126">
                  <c:v>-89.96052489347538</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1</xdr:row>
          <xdr:rowOff>350520</xdr:rowOff>
        </xdr:from>
        <xdr:to>
          <xdr:col>14</xdr:col>
          <xdr:colOff>213360</xdr:colOff>
          <xdr:row>2</xdr:row>
          <xdr:rowOff>68580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131622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47911" y="35837"/>
          <a:ext cx="2266327" cy="793825"/>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172902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46976"/>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136708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46977"/>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58500</xdr:colOff>
          <xdr:row>96</xdr:row>
          <xdr:rowOff>169865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46978"/>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22781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46979"/>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211364</xdr:colOff>
          <xdr:row>59</xdr:row>
          <xdr:rowOff>15508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46980"/>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148</xdr:row>
          <xdr:rowOff>99060</xdr:rowOff>
        </xdr:from>
        <xdr:to>
          <xdr:col>12</xdr:col>
          <xdr:colOff>472440</xdr:colOff>
          <xdr:row>151</xdr:row>
          <xdr:rowOff>30480</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525780</xdr:colOff>
          <xdr:row>148</xdr:row>
          <xdr:rowOff>83820</xdr:rowOff>
        </xdr:from>
        <xdr:to>
          <xdr:col>10</xdr:col>
          <xdr:colOff>327660</xdr:colOff>
          <xdr:row>150</xdr:row>
          <xdr:rowOff>106680</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NOW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76200</xdr:rowOff>
        </xdr:from>
        <xdr:to>
          <xdr:col>0</xdr:col>
          <xdr:colOff>7200900</xdr:colOff>
          <xdr:row>0</xdr:row>
          <xdr:rowOff>4945380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xdr:row>
          <xdr:rowOff>60960</xdr:rowOff>
        </xdr:from>
        <xdr:to>
          <xdr:col>0</xdr:col>
          <xdr:colOff>7185660</xdr:colOff>
          <xdr:row>1</xdr:row>
          <xdr:rowOff>4351020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67 °</a:t>
          </a:fld>
          <a:endParaRPr lang="en-US" sz="1100"/>
        </a:p>
      </xdr:txBody>
    </xdr:sp>
    <xdr:clientData/>
  </xdr:oneCellAnchor>
  <xdr:oneCellAnchor>
    <xdr:from>
      <xdr:col>0</xdr:col>
      <xdr:colOff>5581898</xdr:colOff>
      <xdr:row>0</xdr:row>
      <xdr:rowOff>4356586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81898" y="435658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30.6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7441810"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74 °</a:t>
          </a:fld>
          <a:endParaRPr lang="en-US" sz="1100"/>
        </a:p>
      </xdr:txBody>
    </xdr:sp>
    <xdr:clientData/>
  </xdr:oneCellAnchor>
  <xdr:oneCellAnchor>
    <xdr:from>
      <xdr:col>82</xdr:col>
      <xdr:colOff>5551715</xdr:colOff>
      <xdr:row>0</xdr:row>
      <xdr:rowOff>4282291</xdr:rowOff>
    </xdr:from>
    <xdr:ext cx="206518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7412286" y="4282291"/>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17.8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98.1 %</a:t>
          </a:fld>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9994-1D0A-4928-9799-DE1851F3F477}">
  <sheetPr>
    <tabColor rgb="FFFF0000"/>
  </sheetPr>
  <dimension ref="B2:B44"/>
  <sheetViews>
    <sheetView topLeftCell="A5" workbookViewId="0">
      <selection activeCell="E35" sqref="E35"/>
    </sheetView>
  </sheetViews>
  <sheetFormatPr defaultRowHeight="13.2" x14ac:dyDescent="0.25"/>
  <cols>
    <col min="2" max="2" width="15.44140625" bestFit="1" customWidth="1"/>
  </cols>
  <sheetData>
    <row r="2" spans="2:2" ht="22.8" x14ac:dyDescent="0.4">
      <c r="B2" s="159" t="s">
        <v>517</v>
      </c>
    </row>
    <row r="3" spans="2:2" ht="17.399999999999999" x14ac:dyDescent="0.3">
      <c r="B3" s="160" t="s">
        <v>516</v>
      </c>
    </row>
    <row r="4" spans="2:2" x14ac:dyDescent="0.25">
      <c r="B4" s="51" t="s">
        <v>540</v>
      </c>
    </row>
    <row r="5" spans="2:2" x14ac:dyDescent="0.25">
      <c r="B5" t="s">
        <v>536</v>
      </c>
    </row>
    <row r="6" spans="2:2" x14ac:dyDescent="0.25">
      <c r="B6" t="s">
        <v>537</v>
      </c>
    </row>
    <row r="7" spans="2:2" x14ac:dyDescent="0.25">
      <c r="B7" t="s">
        <v>519</v>
      </c>
    </row>
    <row r="9" spans="2:2" ht="22.8" x14ac:dyDescent="0.4">
      <c r="B9" s="159" t="s">
        <v>518</v>
      </c>
    </row>
    <row r="10" spans="2:2" ht="17.399999999999999" x14ac:dyDescent="0.3">
      <c r="B10" s="160" t="s">
        <v>541</v>
      </c>
    </row>
    <row r="11" spans="2:2" x14ac:dyDescent="0.25">
      <c r="B11" s="51" t="s">
        <v>526</v>
      </c>
    </row>
    <row r="12" spans="2:2" x14ac:dyDescent="0.25">
      <c r="B12" t="s">
        <v>536</v>
      </c>
    </row>
    <row r="13" spans="2:2" x14ac:dyDescent="0.25">
      <c r="B13" t="s">
        <v>537</v>
      </c>
    </row>
    <row r="14" spans="2:2" x14ac:dyDescent="0.25">
      <c r="B14" t="s">
        <v>538</v>
      </c>
    </row>
    <row r="15" spans="2:2" x14ac:dyDescent="0.25">
      <c r="B15" t="s">
        <v>539</v>
      </c>
    </row>
    <row r="16" spans="2:2" x14ac:dyDescent="0.25">
      <c r="B16" t="s">
        <v>523</v>
      </c>
    </row>
    <row r="31" spans="2:2" ht="22.8" x14ac:dyDescent="0.4">
      <c r="B31" s="159" t="s">
        <v>520</v>
      </c>
    </row>
    <row r="32" spans="2:2" ht="17.399999999999999" x14ac:dyDescent="0.3">
      <c r="B32" s="160" t="s">
        <v>522</v>
      </c>
    </row>
    <row r="33" spans="2:2" x14ac:dyDescent="0.25">
      <c r="B33" s="51" t="s">
        <v>526</v>
      </c>
    </row>
    <row r="34" spans="2:2" x14ac:dyDescent="0.25">
      <c r="B34" t="s">
        <v>535</v>
      </c>
    </row>
    <row r="35" spans="2:2" x14ac:dyDescent="0.25">
      <c r="B35" t="s">
        <v>525</v>
      </c>
    </row>
    <row r="36" spans="2:2" ht="15.6" x14ac:dyDescent="0.35">
      <c r="B36" t="s">
        <v>528</v>
      </c>
    </row>
    <row r="37" spans="2:2" ht="15.6" x14ac:dyDescent="0.35">
      <c r="B37" t="s">
        <v>529</v>
      </c>
    </row>
    <row r="38" spans="2:2" ht="15.6" x14ac:dyDescent="0.35">
      <c r="B38" t="s">
        <v>530</v>
      </c>
    </row>
    <row r="39" spans="2:2" x14ac:dyDescent="0.25">
      <c r="B39" t="s">
        <v>527</v>
      </c>
    </row>
    <row r="40" spans="2:2" ht="15.6" x14ac:dyDescent="0.35">
      <c r="B40" t="s">
        <v>531</v>
      </c>
    </row>
    <row r="41" spans="2:2" ht="15.6" x14ac:dyDescent="0.35">
      <c r="B41" t="s">
        <v>534</v>
      </c>
    </row>
    <row r="42" spans="2:2" ht="15.6" x14ac:dyDescent="0.35">
      <c r="B42" t="s">
        <v>532</v>
      </c>
    </row>
    <row r="43" spans="2:2" ht="15.6" x14ac:dyDescent="0.35">
      <c r="B43" t="s">
        <v>533</v>
      </c>
    </row>
    <row r="44" spans="2:2" x14ac:dyDescent="0.25">
      <c r="B44" t="s">
        <v>524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0B4C-AE95-470F-96C6-7DF782CD492A}">
  <sheetPr codeName="Sheet1">
    <tabColor rgb="FF2F75B5"/>
  </sheetPr>
  <dimension ref="A1:AB153"/>
  <sheetViews>
    <sheetView tabSelected="1" topLeftCell="A4" zoomScaleNormal="100" zoomScaleSheetLayoutView="25" workbookViewId="0">
      <selection activeCell="G11" sqref="G11"/>
    </sheetView>
  </sheetViews>
  <sheetFormatPr defaultRowHeight="13.2" x14ac:dyDescent="0.25"/>
  <cols>
    <col min="1" max="1" width="26.21875" style="1" customWidth="1"/>
    <col min="2" max="6" width="8.88671875" style="1"/>
    <col min="7" max="7" width="13.21875" style="1" customWidth="1"/>
    <col min="8" max="16384" width="8.88671875" style="1"/>
  </cols>
  <sheetData>
    <row r="1" spans="1:28" ht="40.799999999999997" customHeight="1" x14ac:dyDescent="0.25">
      <c r="A1" s="5"/>
      <c r="B1" s="5"/>
      <c r="C1" s="5"/>
      <c r="D1" s="5"/>
      <c r="E1" s="5"/>
      <c r="F1" s="5"/>
      <c r="G1" s="5"/>
      <c r="H1" s="5"/>
      <c r="I1" s="6"/>
      <c r="J1" s="6"/>
      <c r="K1" s="6"/>
      <c r="L1" s="6"/>
      <c r="M1" s="6"/>
      <c r="N1" s="6"/>
      <c r="O1" s="6"/>
      <c r="P1" s="6"/>
      <c r="Q1" s="6"/>
      <c r="R1" s="6"/>
      <c r="S1" s="6"/>
      <c r="T1" s="6"/>
      <c r="U1" s="6"/>
      <c r="V1" s="6"/>
      <c r="W1" s="130"/>
      <c r="X1" s="130"/>
      <c r="Y1" s="130"/>
      <c r="Z1" s="130"/>
      <c r="AA1" s="130"/>
      <c r="AB1" s="130"/>
    </row>
    <row r="2" spans="1:28" x14ac:dyDescent="0.25">
      <c r="A2" s="5"/>
      <c r="B2" s="5"/>
      <c r="C2" s="5"/>
      <c r="D2" s="5"/>
      <c r="E2" s="5"/>
      <c r="F2" s="5"/>
      <c r="G2" s="5"/>
      <c r="H2" s="5"/>
      <c r="I2" s="6"/>
      <c r="J2" s="6"/>
      <c r="K2" s="6"/>
      <c r="L2" s="6"/>
      <c r="M2" s="6"/>
      <c r="N2" s="6"/>
      <c r="O2" s="6"/>
      <c r="P2" s="6"/>
      <c r="Q2" s="6"/>
      <c r="R2" s="6"/>
      <c r="S2" s="6"/>
      <c r="T2" s="6"/>
      <c r="U2" s="6"/>
      <c r="V2" s="6"/>
      <c r="W2" s="130"/>
      <c r="X2" s="130"/>
      <c r="Y2" s="130"/>
      <c r="Z2" s="130"/>
      <c r="AA2" s="130"/>
      <c r="AB2" s="130"/>
    </row>
    <row r="3" spans="1:28" ht="15.6" x14ac:dyDescent="0.3">
      <c r="A3" s="7" t="s">
        <v>10</v>
      </c>
      <c r="B3" s="7"/>
      <c r="C3" s="8" t="s">
        <v>11</v>
      </c>
      <c r="D3" s="9"/>
      <c r="E3" s="10"/>
      <c r="F3" s="10"/>
      <c r="G3" s="25"/>
      <c r="H3" s="11" t="s">
        <v>12</v>
      </c>
      <c r="I3" s="12"/>
      <c r="J3" s="13"/>
      <c r="K3" s="163" t="s">
        <v>13</v>
      </c>
      <c r="L3" s="163"/>
      <c r="M3" s="14"/>
      <c r="N3" s="14"/>
      <c r="O3" s="6"/>
      <c r="P3" s="6"/>
      <c r="Q3" s="6"/>
      <c r="R3" s="6"/>
      <c r="S3" s="6"/>
      <c r="T3" s="6"/>
      <c r="U3" s="6"/>
      <c r="V3" s="6"/>
      <c r="W3" s="130"/>
      <c r="X3" s="130"/>
      <c r="Y3" s="130"/>
      <c r="Z3" s="130"/>
      <c r="AA3" s="130"/>
      <c r="AB3" s="130"/>
    </row>
    <row r="4" spans="1:28" x14ac:dyDescent="0.25">
      <c r="A4" s="143"/>
      <c r="B4" s="143"/>
      <c r="C4" s="143"/>
      <c r="D4" s="143"/>
      <c r="E4" s="143"/>
    </row>
    <row r="5" spans="1:28" x14ac:dyDescent="0.25">
      <c r="A5" s="143"/>
      <c r="B5" s="143"/>
      <c r="C5" s="143"/>
      <c r="D5" s="143"/>
      <c r="E5" s="143"/>
    </row>
    <row r="6" spans="1:28" ht="15.6" x14ac:dyDescent="0.25">
      <c r="A6" s="143"/>
      <c r="B6" s="144" t="s">
        <v>0</v>
      </c>
      <c r="C6" s="143"/>
      <c r="D6" s="143"/>
      <c r="E6" s="143"/>
    </row>
    <row r="7" spans="1:28" ht="15.6" x14ac:dyDescent="0.25">
      <c r="A7" s="143"/>
      <c r="B7" s="143"/>
      <c r="C7" s="143"/>
      <c r="D7" s="143"/>
      <c r="E7" s="143"/>
      <c r="F7" s="2" t="s">
        <v>14</v>
      </c>
      <c r="G7" s="43">
        <v>23</v>
      </c>
      <c r="H7" s="3" t="s">
        <v>6</v>
      </c>
    </row>
    <row r="8" spans="1:28" ht="15.6" x14ac:dyDescent="0.25">
      <c r="A8" s="143"/>
      <c r="B8" s="143"/>
      <c r="C8" s="143"/>
      <c r="D8" s="143"/>
      <c r="E8" s="143"/>
      <c r="F8" s="2" t="s">
        <v>1</v>
      </c>
      <c r="G8" s="43">
        <v>24</v>
      </c>
      <c r="H8" s="3" t="s">
        <v>6</v>
      </c>
    </row>
    <row r="9" spans="1:28" ht="15.6" x14ac:dyDescent="0.25">
      <c r="A9" s="143"/>
      <c r="B9" s="143"/>
      <c r="C9" s="143"/>
      <c r="D9" s="143"/>
      <c r="E9" s="143"/>
      <c r="F9" s="2" t="s">
        <v>2</v>
      </c>
      <c r="G9" s="43">
        <v>24</v>
      </c>
      <c r="H9" s="3" t="s">
        <v>6</v>
      </c>
    </row>
    <row r="10" spans="1:28" ht="15.6" x14ac:dyDescent="0.25">
      <c r="A10" s="143"/>
      <c r="B10" s="143"/>
      <c r="C10" s="143"/>
      <c r="D10" s="143"/>
      <c r="E10" s="143"/>
      <c r="F10" s="2" t="s">
        <v>15</v>
      </c>
      <c r="G10" s="43">
        <v>23.5</v>
      </c>
      <c r="H10" s="3" t="s">
        <v>6</v>
      </c>
    </row>
    <row r="11" spans="1:28" ht="15.6" x14ac:dyDescent="0.25">
      <c r="A11" s="143"/>
      <c r="B11" s="143"/>
      <c r="C11" s="143"/>
      <c r="D11" s="143"/>
      <c r="E11" s="143"/>
      <c r="F11" s="2" t="s">
        <v>521</v>
      </c>
      <c r="G11" s="43">
        <v>10</v>
      </c>
      <c r="H11" s="3" t="s">
        <v>7</v>
      </c>
    </row>
    <row r="12" spans="1:28" ht="15.6" x14ac:dyDescent="0.25">
      <c r="A12" s="143"/>
      <c r="B12" s="143"/>
      <c r="C12" s="143"/>
      <c r="D12" s="143"/>
      <c r="E12" s="143"/>
      <c r="F12" s="2" t="s">
        <v>3</v>
      </c>
      <c r="G12" s="43">
        <v>470</v>
      </c>
      <c r="H12" s="3" t="s">
        <v>8</v>
      </c>
    </row>
    <row r="13" spans="1:28" x14ac:dyDescent="0.25">
      <c r="A13" s="146"/>
      <c r="B13" s="143"/>
      <c r="C13" s="143"/>
      <c r="D13" s="143"/>
      <c r="E13" s="143"/>
      <c r="F13" s="2" t="s">
        <v>5</v>
      </c>
      <c r="G13" s="44" t="s">
        <v>16</v>
      </c>
      <c r="H13" s="17"/>
    </row>
    <row r="14" spans="1:28" x14ac:dyDescent="0.25">
      <c r="A14" s="143"/>
      <c r="B14" s="143"/>
      <c r="C14" s="143"/>
      <c r="D14" s="143"/>
      <c r="E14" s="143"/>
      <c r="F14" s="2" t="s">
        <v>17</v>
      </c>
      <c r="G14" s="44" t="s">
        <v>132</v>
      </c>
      <c r="H14" s="3"/>
    </row>
    <row r="15" spans="1:28" ht="15.6" x14ac:dyDescent="0.25">
      <c r="A15" s="143"/>
      <c r="B15" s="143"/>
      <c r="C15" s="143"/>
      <c r="D15" s="143"/>
      <c r="E15" s="143"/>
      <c r="F15" s="15" t="s">
        <v>4</v>
      </c>
      <c r="G15" s="149">
        <f>Calc!C24</f>
        <v>49.900000000000006</v>
      </c>
      <c r="H15" s="17" t="s">
        <v>9</v>
      </c>
    </row>
    <row r="16" spans="1:28" x14ac:dyDescent="0.25">
      <c r="A16" s="143"/>
      <c r="B16" s="143"/>
      <c r="C16" s="143"/>
      <c r="D16" s="143"/>
      <c r="E16" s="143"/>
    </row>
    <row r="17" spans="1:8" x14ac:dyDescent="0.25">
      <c r="A17" s="143"/>
      <c r="B17" s="143"/>
      <c r="C17" s="143"/>
      <c r="D17" s="143"/>
      <c r="E17" s="143"/>
      <c r="H17" s="3"/>
    </row>
    <row r="18" spans="1:8" ht="15.6" x14ac:dyDescent="0.25">
      <c r="A18" s="143"/>
      <c r="B18" s="144" t="s">
        <v>19</v>
      </c>
      <c r="C18" s="143"/>
      <c r="D18" s="143"/>
      <c r="E18" s="143"/>
      <c r="H18" s="3"/>
    </row>
    <row r="19" spans="1:8" ht="15.6" x14ac:dyDescent="0.35">
      <c r="A19" s="143"/>
      <c r="B19" s="143"/>
      <c r="C19" s="143"/>
      <c r="D19" s="143"/>
      <c r="E19" s="143"/>
      <c r="F19" s="20" t="s">
        <v>508</v>
      </c>
      <c r="G19" s="43">
        <v>12</v>
      </c>
      <c r="H19" s="3" t="s">
        <v>23</v>
      </c>
    </row>
    <row r="20" spans="1:8" x14ac:dyDescent="0.25">
      <c r="A20" s="143"/>
      <c r="B20" s="143"/>
      <c r="C20" s="143"/>
      <c r="D20" s="143"/>
      <c r="E20" s="143"/>
      <c r="F20" s="19" t="s">
        <v>30</v>
      </c>
      <c r="G20" s="149">
        <f>R.s_desired*1000</f>
        <v>4.5</v>
      </c>
      <c r="H20" s="17" t="s">
        <v>18</v>
      </c>
    </row>
    <row r="21" spans="1:8" ht="15.6" x14ac:dyDescent="0.35">
      <c r="A21" s="143"/>
      <c r="B21" s="143"/>
      <c r="C21" s="143"/>
      <c r="D21" s="143"/>
      <c r="E21" s="143"/>
      <c r="F21" s="20" t="s">
        <v>26</v>
      </c>
      <c r="G21" s="43">
        <v>4</v>
      </c>
      <c r="H21" s="3" t="s">
        <v>18</v>
      </c>
    </row>
    <row r="22" spans="1:8" ht="15.6" x14ac:dyDescent="0.35">
      <c r="A22" s="143"/>
      <c r="B22" s="143"/>
      <c r="C22" s="143"/>
      <c r="D22" s="143"/>
      <c r="E22" s="143"/>
      <c r="F22" s="21" t="s">
        <v>27</v>
      </c>
      <c r="G22" s="150">
        <f>P.rs</f>
        <v>0.57600000000000007</v>
      </c>
      <c r="H22" s="17" t="s">
        <v>24</v>
      </c>
    </row>
    <row r="23" spans="1:8" x14ac:dyDescent="0.25">
      <c r="A23" s="143"/>
      <c r="B23" s="143"/>
      <c r="C23" s="143"/>
      <c r="D23" s="143"/>
      <c r="E23" s="143"/>
    </row>
    <row r="24" spans="1:8" x14ac:dyDescent="0.25">
      <c r="A24" s="143"/>
      <c r="B24" s="143"/>
      <c r="C24" s="143"/>
      <c r="D24" s="143"/>
      <c r="E24" s="143"/>
    </row>
    <row r="25" spans="1:8" ht="15.6" x14ac:dyDescent="0.25">
      <c r="A25" s="143"/>
      <c r="B25" s="144" t="s">
        <v>20</v>
      </c>
      <c r="C25" s="143"/>
      <c r="D25" s="143"/>
      <c r="E25" s="143"/>
    </row>
    <row r="26" spans="1:8" ht="15.6" x14ac:dyDescent="0.35">
      <c r="A26" s="143"/>
      <c r="B26" s="143"/>
      <c r="C26" s="143"/>
      <c r="D26" s="143"/>
      <c r="E26" s="143"/>
      <c r="F26" s="21" t="s">
        <v>496</v>
      </c>
      <c r="G26" s="150">
        <f>L.out_desired*10^6</f>
        <v>0.26041666666666669</v>
      </c>
      <c r="H26" s="17" t="s">
        <v>21</v>
      </c>
    </row>
    <row r="27" spans="1:8" x14ac:dyDescent="0.25">
      <c r="A27" s="143"/>
      <c r="B27" s="143"/>
      <c r="C27" s="143"/>
      <c r="D27" s="143"/>
      <c r="E27" s="143"/>
      <c r="F27" s="21" t="s">
        <v>22</v>
      </c>
      <c r="G27" s="150">
        <f>L.smalest*10^6</f>
        <v>-0.15527950310559008</v>
      </c>
      <c r="H27" s="17" t="s">
        <v>21</v>
      </c>
    </row>
    <row r="28" spans="1:8" ht="15.6" x14ac:dyDescent="0.35">
      <c r="A28" s="143"/>
      <c r="B28" s="143"/>
      <c r="C28" s="143"/>
      <c r="D28" s="143"/>
      <c r="E28" s="143"/>
      <c r="F28" s="20" t="s">
        <v>25</v>
      </c>
      <c r="G28" s="49">
        <v>3.3</v>
      </c>
      <c r="H28" s="3" t="s">
        <v>21</v>
      </c>
    </row>
    <row r="29" spans="1:8" ht="15.6" x14ac:dyDescent="0.35">
      <c r="A29" s="143"/>
      <c r="B29" s="143"/>
      <c r="C29" s="143"/>
      <c r="D29" s="143"/>
      <c r="E29" s="143"/>
      <c r="F29" s="21" t="s">
        <v>465</v>
      </c>
      <c r="G29" s="149">
        <f>Ipeak_atvinmax</f>
        <v>10.157828282828282</v>
      </c>
      <c r="H29" s="17" t="s">
        <v>23</v>
      </c>
    </row>
    <row r="30" spans="1:8" ht="15.6" x14ac:dyDescent="0.35">
      <c r="A30" s="143"/>
      <c r="B30" s="143"/>
      <c r="C30" s="143"/>
      <c r="D30" s="143"/>
      <c r="E30" s="143"/>
      <c r="F30" s="21" t="s">
        <v>457</v>
      </c>
      <c r="G30" s="149">
        <f>I.peak_tblank</f>
        <v>16.511363636363637</v>
      </c>
      <c r="H30" s="17" t="s">
        <v>23</v>
      </c>
    </row>
    <row r="31" spans="1:8" ht="15.6" x14ac:dyDescent="0.35">
      <c r="A31" s="143"/>
      <c r="B31" s="143"/>
      <c r="C31" s="143"/>
      <c r="D31" s="143"/>
      <c r="E31" s="143"/>
      <c r="F31" s="21" t="s">
        <v>514</v>
      </c>
      <c r="G31" s="151" t="str">
        <f>IF(T.on_min_ideal/1.1&lt;T.onmin_IC,"can happen", "doesn't happen")</f>
        <v>doesn't happen</v>
      </c>
      <c r="H31" s="3"/>
    </row>
    <row r="32" spans="1:8" ht="15.6" x14ac:dyDescent="0.35">
      <c r="A32" s="143"/>
      <c r="B32" s="143"/>
      <c r="C32" s="143"/>
      <c r="D32" s="143"/>
      <c r="E32" s="143"/>
      <c r="F32" s="21" t="s">
        <v>29</v>
      </c>
      <c r="G32" s="151" t="str">
        <f>IF(T.off_min_150/1.1&lt;T.offmin_IC,"can happen", "doesn't happen")</f>
        <v>can happen</v>
      </c>
      <c r="H32" s="3"/>
    </row>
    <row r="33" spans="1:8" x14ac:dyDescent="0.25">
      <c r="A33" s="143"/>
      <c r="B33" s="143"/>
      <c r="C33" s="143"/>
      <c r="D33" s="143"/>
      <c r="E33" s="143"/>
      <c r="F33" s="21"/>
      <c r="G33" s="18"/>
      <c r="H33" s="3"/>
    </row>
    <row r="34" spans="1:8" x14ac:dyDescent="0.25">
      <c r="A34" s="143"/>
      <c r="B34" s="143"/>
      <c r="C34" s="143"/>
      <c r="D34" s="143"/>
      <c r="E34" s="143"/>
      <c r="F34" s="21"/>
      <c r="G34" s="18"/>
      <c r="H34" s="3"/>
    </row>
    <row r="35" spans="1:8" ht="18" x14ac:dyDescent="0.25">
      <c r="A35" s="143"/>
      <c r="B35" s="144" t="s">
        <v>500</v>
      </c>
      <c r="C35" s="143"/>
      <c r="D35" s="143"/>
      <c r="E35" s="143"/>
      <c r="F35" s="21"/>
      <c r="G35" s="18"/>
      <c r="H35" s="3"/>
    </row>
    <row r="36" spans="1:8" ht="15.6" x14ac:dyDescent="0.35">
      <c r="A36" s="143"/>
      <c r="B36" s="144"/>
      <c r="C36" s="143"/>
      <c r="D36" s="143"/>
      <c r="E36" s="143"/>
      <c r="F36" s="21" t="s">
        <v>32</v>
      </c>
      <c r="G36" s="149">
        <f>MAX(MinCvcc2,MAX(MinCvcc*10^6,2.2))</f>
        <v>2.2000000000000002</v>
      </c>
      <c r="H36" s="17" t="s">
        <v>33</v>
      </c>
    </row>
    <row r="37" spans="1:8" ht="15.6" x14ac:dyDescent="0.35">
      <c r="A37" s="143"/>
      <c r="B37" s="144"/>
      <c r="C37" s="143"/>
      <c r="D37" s="143"/>
      <c r="E37" s="143"/>
      <c r="F37" s="21" t="s">
        <v>35</v>
      </c>
      <c r="G37" s="152">
        <f>MAX(MinCboot*10^9,100)</f>
        <v>100</v>
      </c>
      <c r="H37" s="17" t="s">
        <v>34</v>
      </c>
    </row>
    <row r="38" spans="1:8" ht="15.6" x14ac:dyDescent="0.35">
      <c r="A38" s="143"/>
      <c r="B38" s="144"/>
      <c r="C38" s="143"/>
      <c r="D38" s="143"/>
      <c r="E38" s="143"/>
      <c r="F38" s="21" t="s">
        <v>36</v>
      </c>
      <c r="G38" s="152">
        <v>220</v>
      </c>
      <c r="H38" s="17" t="s">
        <v>34</v>
      </c>
    </row>
    <row r="39" spans="1:8" ht="15.6" x14ac:dyDescent="0.35">
      <c r="A39" s="143"/>
      <c r="B39" s="144"/>
      <c r="C39" s="143"/>
      <c r="D39" s="143"/>
      <c r="E39" s="143"/>
      <c r="F39" s="21" t="s">
        <v>133</v>
      </c>
      <c r="G39" s="152">
        <v>100</v>
      </c>
      <c r="H39" s="17" t="s">
        <v>9</v>
      </c>
    </row>
    <row r="40" spans="1:8" ht="15.6" x14ac:dyDescent="0.35">
      <c r="A40" s="143"/>
      <c r="B40" s="144"/>
      <c r="C40" s="143"/>
      <c r="D40" s="143"/>
      <c r="E40" s="143"/>
      <c r="F40" s="21" t="s">
        <v>494</v>
      </c>
      <c r="G40" s="150">
        <v>2.75</v>
      </c>
      <c r="H40" s="17" t="s">
        <v>37</v>
      </c>
    </row>
    <row r="41" spans="1:8" x14ac:dyDescent="0.25">
      <c r="A41" s="143"/>
      <c r="B41" s="143"/>
      <c r="C41" s="143"/>
      <c r="D41" s="143"/>
      <c r="E41" s="143"/>
      <c r="F41" s="21"/>
      <c r="G41" s="18"/>
      <c r="H41" s="3"/>
    </row>
    <row r="42" spans="1:8" x14ac:dyDescent="0.25">
      <c r="A42" s="143"/>
      <c r="B42" s="143"/>
      <c r="C42" s="143"/>
      <c r="D42" s="143"/>
      <c r="E42" s="143"/>
      <c r="F42" s="21"/>
      <c r="G42" s="18"/>
      <c r="H42" s="3"/>
    </row>
    <row r="43" spans="1:8" ht="15.6" x14ac:dyDescent="0.25">
      <c r="A43" s="143"/>
      <c r="B43" s="144" t="s">
        <v>31</v>
      </c>
      <c r="C43" s="143"/>
      <c r="D43" s="143"/>
      <c r="E43" s="143"/>
    </row>
    <row r="44" spans="1:8" x14ac:dyDescent="0.25">
      <c r="A44" s="143"/>
      <c r="B44" s="143"/>
      <c r="C44" s="143"/>
      <c r="D44" s="143"/>
      <c r="E44" s="143"/>
      <c r="F44" s="22" t="s">
        <v>510</v>
      </c>
      <c r="G44" s="43">
        <v>4</v>
      </c>
      <c r="H44" s="3" t="s">
        <v>6</v>
      </c>
    </row>
    <row r="45" spans="1:8" ht="15.6" x14ac:dyDescent="0.35">
      <c r="A45" s="143"/>
      <c r="B45" s="143"/>
      <c r="C45" s="143"/>
      <c r="D45" s="143"/>
      <c r="E45" s="143"/>
      <c r="F45" s="20" t="s">
        <v>59</v>
      </c>
      <c r="G45" s="43">
        <v>100</v>
      </c>
      <c r="H45" s="3" t="s">
        <v>9</v>
      </c>
    </row>
    <row r="46" spans="1:8" ht="15.6" x14ac:dyDescent="0.35">
      <c r="A46" s="143"/>
      <c r="B46" s="143"/>
      <c r="C46" s="143"/>
      <c r="D46" s="143"/>
      <c r="E46" s="143"/>
      <c r="F46" s="21" t="s">
        <v>60</v>
      </c>
      <c r="G46" s="150">
        <f>R.enb/1000</f>
        <v>35.593220338983045</v>
      </c>
      <c r="H46" s="17" t="s">
        <v>9</v>
      </c>
    </row>
    <row r="47" spans="1:8" x14ac:dyDescent="0.25">
      <c r="A47" s="143"/>
      <c r="B47" s="143"/>
      <c r="C47" s="143"/>
      <c r="D47" s="143"/>
      <c r="E47" s="143"/>
      <c r="F47" s="21" t="s">
        <v>509</v>
      </c>
      <c r="G47" s="149">
        <f>Vshutdown</f>
        <v>3.6190476190476195</v>
      </c>
      <c r="H47" s="17" t="s">
        <v>6</v>
      </c>
    </row>
    <row r="48" spans="1:8" x14ac:dyDescent="0.25">
      <c r="A48" s="143"/>
      <c r="B48" s="143"/>
      <c r="C48" s="143"/>
      <c r="D48" s="143"/>
      <c r="E48" s="143"/>
    </row>
    <row r="49" spans="1:8" x14ac:dyDescent="0.25">
      <c r="A49" s="143"/>
      <c r="B49" s="143"/>
      <c r="C49" s="143"/>
      <c r="D49" s="143"/>
      <c r="E49" s="143"/>
    </row>
    <row r="50" spans="1:8" ht="15.6" x14ac:dyDescent="0.25">
      <c r="A50" s="143"/>
      <c r="B50" s="144" t="s">
        <v>38</v>
      </c>
      <c r="C50" s="143"/>
      <c r="D50" s="143"/>
      <c r="E50" s="143"/>
    </row>
    <row r="51" spans="1:8" x14ac:dyDescent="0.25">
      <c r="A51" s="143"/>
      <c r="B51" s="143"/>
      <c r="C51" s="143"/>
      <c r="D51" s="143"/>
      <c r="E51" s="143"/>
      <c r="F51" s="22" t="s">
        <v>463</v>
      </c>
      <c r="G51" s="43">
        <v>6</v>
      </c>
      <c r="H51" s="3" t="s">
        <v>39</v>
      </c>
    </row>
    <row r="52" spans="1:8" ht="15.6" x14ac:dyDescent="0.25">
      <c r="A52" s="143"/>
      <c r="B52" s="143"/>
      <c r="C52" s="143"/>
      <c r="D52" s="143"/>
      <c r="E52" s="143"/>
      <c r="F52" s="22" t="s">
        <v>464</v>
      </c>
      <c r="G52" s="43">
        <v>28</v>
      </c>
      <c r="H52" s="3" t="s">
        <v>8</v>
      </c>
    </row>
    <row r="53" spans="1:8" x14ac:dyDescent="0.25">
      <c r="A53" s="143"/>
      <c r="B53" s="143"/>
      <c r="C53" s="143"/>
      <c r="D53" s="143"/>
      <c r="E53" s="143"/>
      <c r="F53" s="23" t="s">
        <v>40</v>
      </c>
      <c r="G53" s="149">
        <f>C.outb_derated_min*10^6</f>
        <v>20.156405294218334</v>
      </c>
      <c r="H53" s="17" t="s">
        <v>33</v>
      </c>
    </row>
    <row r="54" spans="1:8" x14ac:dyDescent="0.25">
      <c r="A54" s="143"/>
      <c r="B54" s="143"/>
      <c r="C54" s="143"/>
      <c r="D54" s="143"/>
      <c r="E54" s="143"/>
      <c r="F54" s="23"/>
      <c r="G54" s="16"/>
      <c r="H54" s="17"/>
    </row>
    <row r="55" spans="1:8" ht="15.6" x14ac:dyDescent="0.25">
      <c r="A55" s="143"/>
      <c r="B55" s="143"/>
      <c r="C55" s="143"/>
      <c r="D55" s="143"/>
      <c r="E55" s="143"/>
      <c r="F55" s="22" t="s">
        <v>61</v>
      </c>
      <c r="G55" s="48">
        <v>424</v>
      </c>
      <c r="H55" s="3" t="s">
        <v>33</v>
      </c>
    </row>
    <row r="56" spans="1:8" x14ac:dyDescent="0.25">
      <c r="A56" s="143"/>
      <c r="B56" s="143"/>
      <c r="C56" s="143"/>
      <c r="D56" s="143"/>
      <c r="E56" s="143"/>
      <c r="F56" s="22" t="s">
        <v>42</v>
      </c>
      <c r="G56" s="43">
        <v>0.5</v>
      </c>
      <c r="H56" s="3"/>
    </row>
    <row r="57" spans="1:8" x14ac:dyDescent="0.25">
      <c r="A57" s="143"/>
      <c r="B57" s="143"/>
      <c r="C57" s="143"/>
      <c r="D57" s="143"/>
      <c r="E57" s="143"/>
      <c r="F57" s="23" t="s">
        <v>43</v>
      </c>
      <c r="G57" s="149">
        <f>C.outb_derated*10^6</f>
        <v>212</v>
      </c>
      <c r="H57" s="17" t="s">
        <v>33</v>
      </c>
    </row>
    <row r="58" spans="1:8" ht="15.6" x14ac:dyDescent="0.25">
      <c r="A58" s="143"/>
      <c r="B58" s="143"/>
      <c r="C58" s="143"/>
      <c r="D58" s="143"/>
      <c r="E58" s="143"/>
      <c r="F58" s="22" t="s">
        <v>62</v>
      </c>
      <c r="G58" s="48">
        <v>5</v>
      </c>
      <c r="H58" s="3" t="s">
        <v>18</v>
      </c>
    </row>
    <row r="59" spans="1:8" x14ac:dyDescent="0.25">
      <c r="A59" s="143"/>
      <c r="B59" s="143"/>
      <c r="C59" s="143"/>
      <c r="D59" s="143"/>
      <c r="E59" s="143"/>
      <c r="F59" s="22"/>
      <c r="G59" s="4"/>
      <c r="H59" s="3"/>
    </row>
    <row r="60" spans="1:8" ht="15.6" x14ac:dyDescent="0.25">
      <c r="A60" s="143"/>
      <c r="B60" s="143"/>
      <c r="C60" s="143"/>
      <c r="D60" s="143"/>
      <c r="E60" s="143"/>
      <c r="F60" s="22" t="s">
        <v>515</v>
      </c>
      <c r="G60" s="43">
        <v>0.1</v>
      </c>
      <c r="H60" s="3" t="s">
        <v>33</v>
      </c>
    </row>
    <row r="61" spans="1:8" x14ac:dyDescent="0.25">
      <c r="A61" s="143"/>
      <c r="B61" s="143"/>
      <c r="C61" s="143"/>
      <c r="D61" s="143"/>
      <c r="E61" s="143"/>
      <c r="F61" s="22" t="s">
        <v>44</v>
      </c>
      <c r="G61" s="43">
        <v>0.7</v>
      </c>
      <c r="H61" s="3"/>
    </row>
    <row r="62" spans="1:8" x14ac:dyDescent="0.25">
      <c r="A62" s="143"/>
      <c r="B62" s="143"/>
      <c r="C62" s="143"/>
      <c r="D62" s="143"/>
      <c r="E62" s="143"/>
      <c r="F62" s="23" t="s">
        <v>45</v>
      </c>
      <c r="G62" s="149">
        <f>C.outhf_derated*10^6</f>
        <v>6.9999999999999993E-2</v>
      </c>
      <c r="H62" s="17" t="s">
        <v>33</v>
      </c>
    </row>
    <row r="63" spans="1:8" ht="15.6" x14ac:dyDescent="0.25">
      <c r="A63" s="143"/>
      <c r="B63" s="143"/>
      <c r="C63" s="143"/>
      <c r="D63" s="143"/>
      <c r="E63" s="143"/>
      <c r="F63" s="22" t="s">
        <v>63</v>
      </c>
      <c r="G63" s="48">
        <v>1</v>
      </c>
      <c r="H63" s="3" t="s">
        <v>18</v>
      </c>
    </row>
    <row r="64" spans="1:8" x14ac:dyDescent="0.25">
      <c r="A64" s="143"/>
      <c r="B64" s="143"/>
      <c r="C64" s="143"/>
      <c r="D64" s="143"/>
      <c r="E64" s="143"/>
      <c r="F64" s="22"/>
      <c r="G64" s="4"/>
      <c r="H64" s="3"/>
    </row>
    <row r="65" spans="1:8" x14ac:dyDescent="0.25">
      <c r="A65" s="143"/>
      <c r="B65" s="143"/>
      <c r="C65" s="143"/>
      <c r="D65" s="143"/>
      <c r="E65" s="143"/>
      <c r="F65" s="23" t="s">
        <v>46</v>
      </c>
      <c r="G65" s="149">
        <f>C.outtotal_derated*10^6</f>
        <v>212.07</v>
      </c>
      <c r="H65" s="17" t="s">
        <v>33</v>
      </c>
    </row>
    <row r="66" spans="1:8" ht="15.6" x14ac:dyDescent="0.25">
      <c r="A66" s="143"/>
      <c r="B66" s="143"/>
      <c r="C66" s="143"/>
      <c r="D66" s="143"/>
      <c r="E66" s="143"/>
      <c r="F66" s="23" t="s">
        <v>460</v>
      </c>
      <c r="G66" s="153">
        <f>dV.out_max_rms*1000</f>
        <v>0.14827142578378533</v>
      </c>
      <c r="H66" s="17" t="s">
        <v>41</v>
      </c>
    </row>
    <row r="67" spans="1:8" x14ac:dyDescent="0.25">
      <c r="A67" s="143"/>
      <c r="B67" s="143"/>
      <c r="C67" s="143"/>
      <c r="D67" s="143"/>
      <c r="E67" s="143"/>
      <c r="F67" s="23" t="s">
        <v>461</v>
      </c>
      <c r="G67" s="149">
        <f>V.overshoot_calc1/V.load*100</f>
        <v>0.14078726596392668</v>
      </c>
      <c r="H67" s="17" t="s">
        <v>39</v>
      </c>
    </row>
    <row r="68" spans="1:8" x14ac:dyDescent="0.25">
      <c r="A68" s="143"/>
      <c r="B68" s="143"/>
      <c r="C68" s="143"/>
      <c r="D68" s="143"/>
      <c r="E68" s="143"/>
      <c r="F68" s="23" t="s">
        <v>462</v>
      </c>
      <c r="G68" s="149">
        <f>V.undershoot_calc/V.load*100</f>
        <v>7.5344612015682264</v>
      </c>
      <c r="H68" s="17" t="s">
        <v>39</v>
      </c>
    </row>
    <row r="69" spans="1:8" x14ac:dyDescent="0.25">
      <c r="A69" s="143"/>
      <c r="B69" s="143"/>
      <c r="C69" s="143"/>
      <c r="D69" s="143"/>
      <c r="E69" s="143"/>
    </row>
    <row r="70" spans="1:8" x14ac:dyDescent="0.25">
      <c r="A70" s="146"/>
      <c r="B70" s="143"/>
      <c r="C70" s="143"/>
      <c r="D70" s="143"/>
      <c r="E70" s="143"/>
    </row>
    <row r="71" spans="1:8" ht="15.6" x14ac:dyDescent="0.25">
      <c r="A71" s="143"/>
      <c r="B71" s="144" t="s">
        <v>49</v>
      </c>
      <c r="C71" s="143"/>
      <c r="D71" s="143"/>
      <c r="E71" s="143"/>
    </row>
    <row r="72" spans="1:8" ht="15.6" x14ac:dyDescent="0.25">
      <c r="A72" s="146"/>
      <c r="B72" s="143"/>
      <c r="C72" s="143"/>
      <c r="D72" s="143"/>
      <c r="E72" s="143"/>
      <c r="F72" s="22" t="s">
        <v>495</v>
      </c>
      <c r="G72" s="43">
        <v>150</v>
      </c>
      <c r="H72" s="3" t="s">
        <v>9</v>
      </c>
    </row>
    <row r="73" spans="1:8" ht="15.6" x14ac:dyDescent="0.25">
      <c r="A73" s="143"/>
      <c r="B73" s="143"/>
      <c r="C73" s="143"/>
      <c r="D73" s="143"/>
      <c r="E73" s="143"/>
      <c r="F73" s="23" t="s">
        <v>48</v>
      </c>
      <c r="G73" s="150">
        <f>R.fbb/1000</f>
        <v>5.286343612334802</v>
      </c>
      <c r="H73" s="17" t="s">
        <v>9</v>
      </c>
    </row>
    <row r="74" spans="1:8" x14ac:dyDescent="0.25">
      <c r="A74" s="143"/>
      <c r="B74" s="143"/>
      <c r="C74" s="143"/>
      <c r="D74" s="143"/>
      <c r="E74" s="143"/>
    </row>
    <row r="75" spans="1:8" x14ac:dyDescent="0.25">
      <c r="A75" s="143"/>
      <c r="B75" s="143"/>
      <c r="C75" s="143"/>
      <c r="D75" s="143"/>
      <c r="E75" s="143"/>
    </row>
    <row r="76" spans="1:8" ht="15.6" x14ac:dyDescent="0.25">
      <c r="A76" s="143"/>
      <c r="B76" s="144" t="s">
        <v>50</v>
      </c>
      <c r="C76" s="143"/>
      <c r="D76" s="143"/>
      <c r="E76" s="143"/>
    </row>
    <row r="77" spans="1:8" ht="15.6" x14ac:dyDescent="0.25">
      <c r="A77" s="143"/>
      <c r="B77" s="144"/>
      <c r="C77" s="143"/>
      <c r="D77" s="143"/>
      <c r="E77" s="143"/>
      <c r="F77" s="23" t="s">
        <v>64</v>
      </c>
      <c r="G77" s="149">
        <f>Bode!AM8/1000</f>
        <v>0.44101677775608167</v>
      </c>
      <c r="H77" s="17" t="s">
        <v>8</v>
      </c>
    </row>
    <row r="78" spans="1:8" ht="15.6" x14ac:dyDescent="0.25">
      <c r="A78" s="143"/>
      <c r="B78" s="144"/>
      <c r="C78" s="143"/>
      <c r="D78" s="143"/>
      <c r="E78" s="143"/>
      <c r="F78" s="23" t="s">
        <v>65</v>
      </c>
      <c r="G78" s="152">
        <f>Bode!AO8/1000</f>
        <v>149.37687847269714</v>
      </c>
      <c r="H78" s="17" t="s">
        <v>8</v>
      </c>
    </row>
    <row r="79" spans="1:8" ht="15.6" x14ac:dyDescent="0.25">
      <c r="A79" s="143"/>
      <c r="B79" s="144"/>
      <c r="C79" s="143"/>
      <c r="D79" s="143"/>
      <c r="E79" s="143"/>
      <c r="F79" s="23"/>
      <c r="G79" s="26"/>
      <c r="H79" s="17"/>
    </row>
    <row r="80" spans="1:8" ht="15.6" x14ac:dyDescent="0.25">
      <c r="A80" s="143"/>
      <c r="B80" s="143"/>
      <c r="C80" s="143"/>
      <c r="D80" s="143"/>
      <c r="E80" s="143"/>
      <c r="F80" s="23" t="s">
        <v>69</v>
      </c>
      <c r="G80" s="150">
        <f>R.comp_desired/1000</f>
        <v>43.838421935951999</v>
      </c>
      <c r="H80" s="17" t="s">
        <v>9</v>
      </c>
    </row>
    <row r="81" spans="1:8" ht="15.6" x14ac:dyDescent="0.25">
      <c r="A81" s="143"/>
      <c r="B81" s="143"/>
      <c r="C81" s="143"/>
      <c r="D81" s="143"/>
      <c r="E81" s="143"/>
      <c r="F81" s="23" t="s">
        <v>70</v>
      </c>
      <c r="G81" s="149">
        <f>C.comp_desired*10^9</f>
        <v>1.2966037649060582</v>
      </c>
      <c r="H81" s="17" t="s">
        <v>34</v>
      </c>
    </row>
    <row r="82" spans="1:8" ht="15.6" x14ac:dyDescent="0.25">
      <c r="A82" s="143"/>
      <c r="B82" s="143"/>
      <c r="C82" s="143"/>
      <c r="D82" s="143"/>
      <c r="E82" s="143"/>
      <c r="F82" s="23" t="s">
        <v>71</v>
      </c>
      <c r="G82" s="152">
        <f>C.hf_desired*10^12</f>
        <v>24.179702489032604</v>
      </c>
      <c r="H82" s="17" t="s">
        <v>47</v>
      </c>
    </row>
    <row r="83" spans="1:8" x14ac:dyDescent="0.25">
      <c r="A83" s="143"/>
      <c r="B83" s="143"/>
      <c r="C83" s="143"/>
      <c r="D83" s="143"/>
      <c r="E83" s="143"/>
      <c r="F83" s="23" t="s">
        <v>56</v>
      </c>
      <c r="G83" s="150">
        <f>f.z_err_desired/1000</f>
        <v>2.8</v>
      </c>
      <c r="H83" s="17" t="s">
        <v>8</v>
      </c>
    </row>
    <row r="84" spans="1:8" x14ac:dyDescent="0.25">
      <c r="A84" s="143"/>
      <c r="B84" s="143"/>
      <c r="C84" s="143"/>
      <c r="D84" s="143"/>
      <c r="E84" s="143"/>
      <c r="F84" s="23" t="s">
        <v>57</v>
      </c>
      <c r="G84" s="152">
        <f>f.p_err_desired/1000</f>
        <v>152.94620396523391</v>
      </c>
      <c r="H84" s="17" t="s">
        <v>8</v>
      </c>
    </row>
    <row r="85" spans="1:8" x14ac:dyDescent="0.25">
      <c r="A85" s="143"/>
      <c r="B85" s="143"/>
      <c r="C85" s="143"/>
      <c r="D85" s="143"/>
      <c r="E85" s="143"/>
      <c r="F85" s="23"/>
      <c r="G85" s="26"/>
      <c r="H85" s="17"/>
    </row>
    <row r="86" spans="1:8" ht="15.6" x14ac:dyDescent="0.25">
      <c r="A86" s="143"/>
      <c r="B86" s="143"/>
      <c r="C86" s="143"/>
      <c r="D86" s="143"/>
      <c r="E86" s="143"/>
      <c r="F86" s="22" t="s">
        <v>72</v>
      </c>
      <c r="G86" s="49">
        <v>5.9</v>
      </c>
      <c r="H86" s="3" t="s">
        <v>9</v>
      </c>
    </row>
    <row r="87" spans="1:8" ht="15.6" x14ac:dyDescent="0.25">
      <c r="A87" s="143"/>
      <c r="B87" s="143"/>
      <c r="C87" s="143"/>
      <c r="D87" s="143"/>
      <c r="E87" s="143"/>
      <c r="F87" s="22" t="s">
        <v>73</v>
      </c>
      <c r="G87" s="49">
        <v>12</v>
      </c>
      <c r="H87" s="3" t="s">
        <v>34</v>
      </c>
    </row>
    <row r="88" spans="1:8" ht="15.6" x14ac:dyDescent="0.25">
      <c r="A88" s="143"/>
      <c r="B88" s="143"/>
      <c r="C88" s="143"/>
      <c r="D88" s="143"/>
      <c r="E88" s="143"/>
      <c r="F88" s="22" t="s">
        <v>74</v>
      </c>
      <c r="G88" s="48">
        <v>47</v>
      </c>
      <c r="H88" s="3" t="s">
        <v>47</v>
      </c>
    </row>
    <row r="89" spans="1:8" ht="15.6" x14ac:dyDescent="0.25">
      <c r="A89" s="143"/>
      <c r="B89" s="143"/>
      <c r="C89" s="143"/>
      <c r="D89" s="143"/>
      <c r="E89" s="143"/>
      <c r="F89" s="23" t="s">
        <v>66</v>
      </c>
      <c r="G89" s="150">
        <f>f.z_err/1000</f>
        <v>2.2479516412874001</v>
      </c>
      <c r="H89" s="1" t="s">
        <v>8</v>
      </c>
    </row>
    <row r="90" spans="1:8" ht="15.6" x14ac:dyDescent="0.25">
      <c r="A90" s="143"/>
      <c r="B90" s="143"/>
      <c r="C90" s="143"/>
      <c r="D90" s="143"/>
      <c r="E90" s="143"/>
      <c r="F90" s="23" t="s">
        <v>68</v>
      </c>
      <c r="G90" s="152">
        <f>f.p_err/1000</f>
        <v>576.19305154445362</v>
      </c>
      <c r="H90" s="1" t="s">
        <v>8</v>
      </c>
    </row>
    <row r="91" spans="1:8" x14ac:dyDescent="0.25">
      <c r="A91" s="143"/>
      <c r="B91" s="143"/>
      <c r="C91" s="143"/>
      <c r="D91" s="143"/>
      <c r="E91" s="143"/>
    </row>
    <row r="92" spans="1:8" ht="15.6" x14ac:dyDescent="0.25">
      <c r="A92" s="143"/>
      <c r="B92" s="143"/>
      <c r="C92" s="143"/>
      <c r="D92" s="143"/>
      <c r="E92" s="143"/>
      <c r="F92" s="22" t="s">
        <v>75</v>
      </c>
      <c r="G92" s="48">
        <v>1</v>
      </c>
      <c r="H92" s="3" t="s">
        <v>47</v>
      </c>
    </row>
    <row r="93" spans="1:8" ht="15.6" x14ac:dyDescent="0.25">
      <c r="A93" s="143"/>
      <c r="B93" s="143"/>
      <c r="C93" s="143"/>
      <c r="D93" s="143"/>
      <c r="E93" s="143"/>
      <c r="F93" s="22" t="s">
        <v>76</v>
      </c>
      <c r="G93" s="48">
        <v>1000</v>
      </c>
      <c r="H93" s="3" t="s">
        <v>9</v>
      </c>
    </row>
    <row r="94" spans="1:8" ht="15.6" x14ac:dyDescent="0.25">
      <c r="A94" s="143"/>
      <c r="B94" s="143"/>
      <c r="C94" s="143"/>
      <c r="D94" s="143"/>
      <c r="E94" s="143"/>
      <c r="F94" s="23" t="s">
        <v>67</v>
      </c>
      <c r="G94" s="152">
        <f>f.z_cff/1000</f>
        <v>1061.0331746876532</v>
      </c>
      <c r="H94" s="17" t="s">
        <v>8</v>
      </c>
    </row>
    <row r="95" spans="1:8" x14ac:dyDescent="0.25">
      <c r="A95" s="143"/>
      <c r="B95" s="143"/>
      <c r="C95" s="143"/>
      <c r="D95" s="143"/>
      <c r="E95" s="143"/>
      <c r="F95" s="23"/>
      <c r="G95" s="16"/>
      <c r="H95" s="17"/>
    </row>
    <row r="96" spans="1:8" x14ac:dyDescent="0.25">
      <c r="A96" s="143"/>
      <c r="B96" s="143"/>
      <c r="C96" s="143"/>
      <c r="D96" s="143"/>
      <c r="E96" s="143"/>
    </row>
    <row r="97" spans="1:8" ht="15.6" x14ac:dyDescent="0.25">
      <c r="A97" s="143"/>
      <c r="B97" s="144" t="s">
        <v>52</v>
      </c>
      <c r="C97" s="143"/>
      <c r="D97" s="143"/>
      <c r="E97" s="143"/>
    </row>
    <row r="98" spans="1:8" ht="15.6" x14ac:dyDescent="0.35">
      <c r="A98" s="146"/>
      <c r="B98" s="144"/>
      <c r="C98" s="143"/>
      <c r="D98" s="143"/>
      <c r="E98" s="143"/>
      <c r="F98" s="20" t="s">
        <v>77</v>
      </c>
      <c r="G98" s="161">
        <v>1.8</v>
      </c>
      <c r="H98" s="27" t="s">
        <v>6</v>
      </c>
    </row>
    <row r="99" spans="1:8" ht="15.6" x14ac:dyDescent="0.35">
      <c r="A99" s="143"/>
      <c r="B99" s="144"/>
      <c r="C99" s="143"/>
      <c r="D99" s="143"/>
      <c r="E99" s="143"/>
      <c r="F99" s="19" t="s">
        <v>78</v>
      </c>
      <c r="G99" s="154" t="str">
        <f>IF(V.iset_desired&lt;1,R.iset/1000, "OPEN or 120")</f>
        <v>OPEN or 120</v>
      </c>
      <c r="H99" s="17" t="s">
        <v>9</v>
      </c>
    </row>
    <row r="100" spans="1:8" ht="15.6" x14ac:dyDescent="0.35">
      <c r="A100" s="143"/>
      <c r="B100" s="144"/>
      <c r="C100" s="143"/>
      <c r="D100" s="143"/>
      <c r="E100" s="143"/>
      <c r="F100" s="20" t="s">
        <v>80</v>
      </c>
      <c r="G100" s="48">
        <v>100</v>
      </c>
      <c r="H100" s="3" t="s">
        <v>34</v>
      </c>
    </row>
    <row r="101" spans="1:8" ht="15.6" x14ac:dyDescent="0.35">
      <c r="A101" s="143"/>
      <c r="B101" s="144"/>
      <c r="C101" s="143"/>
      <c r="D101" s="143"/>
      <c r="E101" s="143"/>
      <c r="F101" s="19" t="s">
        <v>79</v>
      </c>
      <c r="G101" s="149">
        <f>T.sscc*1000</f>
        <v>10.000000000000002</v>
      </c>
      <c r="H101" s="17" t="s">
        <v>37</v>
      </c>
    </row>
    <row r="102" spans="1:8" ht="15.6" x14ac:dyDescent="0.25">
      <c r="A102" s="143"/>
      <c r="B102" s="144"/>
      <c r="C102" s="143"/>
      <c r="D102" s="143"/>
      <c r="E102" s="143"/>
    </row>
    <row r="103" spans="1:8" ht="15.6" x14ac:dyDescent="0.25">
      <c r="A103" s="143"/>
      <c r="B103" s="144"/>
      <c r="C103" s="143"/>
      <c r="D103" s="143"/>
      <c r="E103" s="143"/>
    </row>
    <row r="104" spans="1:8" ht="15.6" x14ac:dyDescent="0.25">
      <c r="A104" s="143"/>
      <c r="B104" s="144" t="s">
        <v>51</v>
      </c>
      <c r="C104" s="143"/>
      <c r="D104" s="143"/>
      <c r="E104" s="143"/>
    </row>
    <row r="105" spans="1:8" ht="15.6" x14ac:dyDescent="0.25">
      <c r="A105" s="143"/>
      <c r="B105" s="144"/>
      <c r="C105" s="143"/>
      <c r="D105" s="143"/>
      <c r="E105" s="143"/>
      <c r="F105" s="23" t="s">
        <v>82</v>
      </c>
      <c r="G105" s="150">
        <f>R.imon_desired/1000</f>
        <v>17.142857142857142</v>
      </c>
      <c r="H105" s="17" t="s">
        <v>9</v>
      </c>
    </row>
    <row r="106" spans="1:8" ht="15.6" x14ac:dyDescent="0.25">
      <c r="A106" s="143"/>
      <c r="B106" s="144"/>
      <c r="C106" s="143"/>
      <c r="D106" s="143"/>
      <c r="E106" s="143"/>
      <c r="F106" s="23" t="s">
        <v>81</v>
      </c>
      <c r="G106" s="150">
        <f>C.imon_desired*10^9</f>
        <v>29.071262500000003</v>
      </c>
      <c r="H106" s="17" t="s">
        <v>34</v>
      </c>
    </row>
    <row r="107" spans="1:8" ht="15.6" x14ac:dyDescent="0.25">
      <c r="A107" s="143"/>
      <c r="B107" s="144"/>
      <c r="C107" s="143"/>
      <c r="D107" s="143"/>
      <c r="E107" s="143"/>
      <c r="F107" s="23" t="s">
        <v>83</v>
      </c>
      <c r="G107" s="150">
        <f>R.imonhf_desired</f>
        <v>36.462124752923955</v>
      </c>
      <c r="H107" s="17" t="s">
        <v>90</v>
      </c>
    </row>
    <row r="108" spans="1:8" ht="15.6" x14ac:dyDescent="0.25">
      <c r="A108" s="143"/>
      <c r="B108" s="144"/>
      <c r="C108" s="143"/>
      <c r="D108" s="143"/>
      <c r="E108" s="143"/>
      <c r="F108" s="23" t="s">
        <v>245</v>
      </c>
      <c r="G108" s="149">
        <f>f.p_imon_desired/1000</f>
        <v>0.31935456117590227</v>
      </c>
      <c r="H108" s="1" t="s">
        <v>8</v>
      </c>
    </row>
    <row r="109" spans="1:8" ht="15.6" x14ac:dyDescent="0.25">
      <c r="A109" s="143"/>
      <c r="B109" s="144"/>
      <c r="C109" s="143"/>
      <c r="D109" s="143"/>
      <c r="E109" s="143"/>
      <c r="F109" s="23" t="s">
        <v>244</v>
      </c>
      <c r="G109" s="152">
        <f>f.z_imon_desired/1000</f>
        <v>150.14620396523392</v>
      </c>
      <c r="H109" s="1" t="s">
        <v>8</v>
      </c>
    </row>
    <row r="110" spans="1:8" x14ac:dyDescent="0.25">
      <c r="A110" s="143"/>
      <c r="B110" s="143"/>
      <c r="C110" s="143"/>
      <c r="D110" s="143"/>
      <c r="E110" s="143"/>
      <c r="F110" s="23"/>
      <c r="G110" s="26"/>
      <c r="H110" s="17"/>
    </row>
    <row r="111" spans="1:8" ht="15.6" x14ac:dyDescent="0.25">
      <c r="A111" s="143"/>
      <c r="B111" s="143"/>
      <c r="C111" s="143"/>
      <c r="D111" s="143"/>
      <c r="E111" s="143"/>
      <c r="F111" s="22" t="s">
        <v>84</v>
      </c>
      <c r="G111" s="49">
        <v>26.1</v>
      </c>
      <c r="H111" s="3" t="s">
        <v>9</v>
      </c>
    </row>
    <row r="112" spans="1:8" ht="15.6" x14ac:dyDescent="0.25">
      <c r="A112" s="143"/>
      <c r="B112" s="143"/>
      <c r="C112" s="143"/>
      <c r="D112" s="143"/>
      <c r="E112" s="143"/>
      <c r="F112" s="22" t="s">
        <v>86</v>
      </c>
      <c r="G112" s="49">
        <v>10</v>
      </c>
      <c r="H112" s="3" t="s">
        <v>34</v>
      </c>
    </row>
    <row r="113" spans="1:8" ht="15.6" x14ac:dyDescent="0.25">
      <c r="A113" s="143"/>
      <c r="B113" s="143"/>
      <c r="C113" s="143"/>
      <c r="D113" s="143"/>
      <c r="E113" s="143"/>
      <c r="F113" s="22" t="s">
        <v>85</v>
      </c>
      <c r="G113" s="141">
        <v>0</v>
      </c>
      <c r="H113" s="3" t="s">
        <v>90</v>
      </c>
    </row>
    <row r="114" spans="1:8" ht="15.6" x14ac:dyDescent="0.25">
      <c r="A114" s="143"/>
      <c r="B114" s="143"/>
      <c r="C114" s="143"/>
      <c r="D114" s="143"/>
      <c r="E114" s="143"/>
      <c r="F114" s="23" t="s">
        <v>88</v>
      </c>
      <c r="G114" s="149">
        <f>f.p_imon/1000</f>
        <v>0.60978918085497302</v>
      </c>
      <c r="H114" s="1" t="s">
        <v>8</v>
      </c>
    </row>
    <row r="115" spans="1:8" ht="15.6" x14ac:dyDescent="0.25">
      <c r="A115" s="143"/>
      <c r="B115" s="143"/>
      <c r="C115" s="143"/>
      <c r="D115" s="143"/>
      <c r="E115" s="143"/>
      <c r="F115" s="23" t="s">
        <v>87</v>
      </c>
      <c r="G115" s="157" t="str">
        <f>IF(f.z_imon/1000&lt;=2000,f.z_imon/1000,"&gt;2000")</f>
        <v>&gt;2000</v>
      </c>
      <c r="H115" s="1" t="s">
        <v>8</v>
      </c>
    </row>
    <row r="116" spans="1:8" x14ac:dyDescent="0.25">
      <c r="A116" s="143"/>
      <c r="B116" s="143"/>
      <c r="C116" s="143"/>
      <c r="D116" s="143"/>
      <c r="E116" s="143"/>
    </row>
    <row r="117" spans="1:8" x14ac:dyDescent="0.25">
      <c r="A117" s="143"/>
      <c r="B117" s="143"/>
      <c r="C117" s="143"/>
      <c r="D117" s="143"/>
      <c r="E117" s="143"/>
    </row>
    <row r="118" spans="1:8" x14ac:dyDescent="0.25">
      <c r="A118" s="146"/>
      <c r="B118" s="143"/>
      <c r="C118" s="143"/>
      <c r="D118" s="143"/>
      <c r="E118" s="143"/>
    </row>
    <row r="119" spans="1:8" ht="15.6" x14ac:dyDescent="0.25">
      <c r="A119" s="143"/>
      <c r="B119" s="144" t="s">
        <v>53</v>
      </c>
      <c r="C119" s="143"/>
      <c r="D119" s="143"/>
      <c r="E119" s="143"/>
    </row>
    <row r="120" spans="1:8" x14ac:dyDescent="0.25">
      <c r="A120" s="143"/>
      <c r="B120" s="143"/>
      <c r="C120" s="143"/>
      <c r="D120" s="143"/>
      <c r="E120" s="145" t="s">
        <v>147</v>
      </c>
    </row>
    <row r="121" spans="1:8" ht="15.6" x14ac:dyDescent="0.35">
      <c r="A121" s="146"/>
      <c r="B121" s="143"/>
      <c r="C121" s="143"/>
      <c r="D121" s="143"/>
      <c r="E121" s="143"/>
      <c r="F121" s="20" t="s">
        <v>58</v>
      </c>
      <c r="G121" s="43">
        <v>3.9</v>
      </c>
      <c r="H121" s="3" t="s">
        <v>18</v>
      </c>
    </row>
    <row r="122" spans="1:8" ht="15.6" x14ac:dyDescent="0.35">
      <c r="A122" s="143"/>
      <c r="B122" s="143"/>
      <c r="C122" s="143"/>
      <c r="D122" s="143"/>
      <c r="E122" s="143"/>
      <c r="F122" s="20" t="s">
        <v>28</v>
      </c>
      <c r="G122" s="43">
        <v>1.6</v>
      </c>
      <c r="H122" s="3" t="s">
        <v>24</v>
      </c>
    </row>
    <row r="123" spans="1:8" x14ac:dyDescent="0.25">
      <c r="A123" s="143"/>
      <c r="B123" s="143"/>
      <c r="C123" s="143"/>
      <c r="D123" s="143"/>
      <c r="E123" s="145" t="s">
        <v>373</v>
      </c>
      <c r="F123" s="28" t="s">
        <v>94</v>
      </c>
      <c r="G123" s="28" t="s">
        <v>95</v>
      </c>
    </row>
    <row r="124" spans="1:8" ht="15.6" x14ac:dyDescent="0.25">
      <c r="A124" s="143"/>
      <c r="B124" s="143"/>
      <c r="C124" s="143"/>
      <c r="D124" s="143"/>
      <c r="E124" s="2" t="s">
        <v>466</v>
      </c>
      <c r="F124" s="43">
        <v>0.5</v>
      </c>
      <c r="G124" s="43">
        <v>0.5</v>
      </c>
      <c r="H124" s="3" t="s">
        <v>18</v>
      </c>
    </row>
    <row r="125" spans="1:8" ht="15.6" x14ac:dyDescent="0.25">
      <c r="A125" s="143"/>
      <c r="B125" s="143"/>
      <c r="C125" s="143"/>
      <c r="D125" s="143"/>
      <c r="E125" s="2" t="s">
        <v>467</v>
      </c>
      <c r="F125" s="48">
        <v>11</v>
      </c>
      <c r="G125" s="48">
        <v>11</v>
      </c>
      <c r="H125" s="3" t="s">
        <v>89</v>
      </c>
    </row>
    <row r="126" spans="1:8" ht="15.6" x14ac:dyDescent="0.25">
      <c r="A126" s="143"/>
      <c r="B126" s="143"/>
      <c r="C126" s="143"/>
      <c r="D126" s="143"/>
      <c r="E126" s="2" t="s">
        <v>468</v>
      </c>
      <c r="F126" s="48">
        <v>3</v>
      </c>
      <c r="G126" s="48">
        <v>3</v>
      </c>
      <c r="H126" s="3" t="s">
        <v>89</v>
      </c>
    </row>
    <row r="127" spans="1:8" ht="15.6" x14ac:dyDescent="0.25">
      <c r="A127" s="143"/>
      <c r="B127" s="143"/>
      <c r="C127" s="143"/>
      <c r="D127" s="143"/>
      <c r="E127" s="2" t="s">
        <v>469</v>
      </c>
      <c r="F127" s="48">
        <v>5</v>
      </c>
      <c r="G127" s="48">
        <v>5</v>
      </c>
      <c r="H127" s="3" t="s">
        <v>89</v>
      </c>
    </row>
    <row r="128" spans="1:8" ht="15.6" x14ac:dyDescent="0.25">
      <c r="A128" s="143"/>
      <c r="B128" s="143"/>
      <c r="C128" s="143"/>
      <c r="D128" s="143"/>
      <c r="E128" s="2" t="s">
        <v>470</v>
      </c>
      <c r="F128" s="24"/>
      <c r="G128" s="48">
        <v>7</v>
      </c>
      <c r="H128" s="3" t="s">
        <v>89</v>
      </c>
    </row>
    <row r="129" spans="1:8" ht="15.6" x14ac:dyDescent="0.25">
      <c r="A129" s="143"/>
      <c r="B129" s="143"/>
      <c r="C129" s="143"/>
      <c r="D129" s="143"/>
      <c r="E129" s="2" t="s">
        <v>471</v>
      </c>
      <c r="F129" s="48">
        <v>150</v>
      </c>
      <c r="G129" s="48">
        <v>150</v>
      </c>
      <c r="H129" s="3" t="s">
        <v>47</v>
      </c>
    </row>
    <row r="130" spans="1:8" ht="15.6" x14ac:dyDescent="0.25">
      <c r="A130" s="143"/>
      <c r="B130" s="143"/>
      <c r="C130" s="143"/>
      <c r="D130" s="143"/>
      <c r="E130" s="2" t="s">
        <v>472</v>
      </c>
      <c r="F130" s="43">
        <v>1</v>
      </c>
      <c r="G130" s="43">
        <v>1</v>
      </c>
      <c r="H130" s="3" t="s">
        <v>90</v>
      </c>
    </row>
    <row r="131" spans="1:8" ht="15.6" x14ac:dyDescent="0.25">
      <c r="A131" s="143"/>
      <c r="B131" s="143"/>
      <c r="C131" s="143"/>
      <c r="D131" s="143"/>
      <c r="E131" s="2" t="s">
        <v>473</v>
      </c>
      <c r="F131" s="48">
        <v>52</v>
      </c>
      <c r="G131" s="48">
        <v>52</v>
      </c>
      <c r="H131" s="3" t="s">
        <v>91</v>
      </c>
    </row>
    <row r="132" spans="1:8" ht="15.6" x14ac:dyDescent="0.25">
      <c r="A132" s="143"/>
      <c r="B132" s="143"/>
      <c r="C132" s="143"/>
      <c r="D132" s="143"/>
      <c r="E132" s="2" t="s">
        <v>474</v>
      </c>
      <c r="F132" s="43">
        <v>3.1</v>
      </c>
      <c r="G132" s="43">
        <v>3.1</v>
      </c>
      <c r="H132" s="3" t="s">
        <v>6</v>
      </c>
    </row>
    <row r="133" spans="1:8" ht="15.6" x14ac:dyDescent="0.25">
      <c r="A133" s="143"/>
      <c r="B133" s="143"/>
      <c r="C133" s="143"/>
      <c r="D133" s="143"/>
      <c r="E133" s="2" t="s">
        <v>475</v>
      </c>
      <c r="F133" s="43">
        <v>0.8</v>
      </c>
      <c r="G133" s="43">
        <v>0.8</v>
      </c>
      <c r="H133" s="3" t="s">
        <v>6</v>
      </c>
    </row>
    <row r="134" spans="1:8" ht="15.6" x14ac:dyDescent="0.25">
      <c r="A134" s="143"/>
      <c r="B134" s="143"/>
      <c r="C134" s="143"/>
      <c r="D134" s="143"/>
      <c r="E134" s="2" t="s">
        <v>476</v>
      </c>
      <c r="F134" s="24"/>
      <c r="G134" s="48">
        <v>41</v>
      </c>
      <c r="H134" s="3" t="s">
        <v>89</v>
      </c>
    </row>
    <row r="135" spans="1:8" ht="15.6" x14ac:dyDescent="0.25">
      <c r="A135" s="143"/>
      <c r="B135" s="143"/>
      <c r="C135" s="143"/>
      <c r="D135" s="143"/>
      <c r="E135" s="2" t="s">
        <v>477</v>
      </c>
      <c r="F135" s="48">
        <v>62</v>
      </c>
      <c r="G135" s="48">
        <v>62</v>
      </c>
      <c r="H135" s="3" t="s">
        <v>92</v>
      </c>
    </row>
    <row r="136" spans="1:8" x14ac:dyDescent="0.25">
      <c r="A136" s="143"/>
      <c r="B136" s="143"/>
      <c r="C136" s="143"/>
      <c r="D136" s="143"/>
      <c r="E136" s="2" t="s">
        <v>93</v>
      </c>
      <c r="G136" s="28" t="s">
        <v>95</v>
      </c>
    </row>
    <row r="137" spans="1:8" ht="15.6" x14ac:dyDescent="0.25">
      <c r="A137" s="143"/>
      <c r="B137" s="143"/>
      <c r="C137" s="143"/>
      <c r="D137" s="143"/>
      <c r="E137" s="2" t="s">
        <v>478</v>
      </c>
      <c r="G137" s="43">
        <v>0</v>
      </c>
      <c r="H137" s="27" t="s">
        <v>6</v>
      </c>
    </row>
    <row r="138" spans="1:8" ht="15.6" x14ac:dyDescent="0.25">
      <c r="A138" s="143"/>
      <c r="B138" s="143"/>
      <c r="C138" s="143"/>
      <c r="D138" s="143"/>
      <c r="E138" s="2" t="s">
        <v>479</v>
      </c>
      <c r="G138" s="48">
        <v>0</v>
      </c>
      <c r="H138" s="27" t="s">
        <v>89</v>
      </c>
    </row>
    <row r="139" spans="1:8" x14ac:dyDescent="0.25">
      <c r="A139" s="143"/>
      <c r="B139" s="143"/>
      <c r="C139" s="143"/>
      <c r="D139" s="143"/>
      <c r="E139" s="143"/>
    </row>
    <row r="140" spans="1:8" x14ac:dyDescent="0.25">
      <c r="A140" s="143"/>
      <c r="B140" s="143"/>
      <c r="C140" s="143"/>
      <c r="D140" s="143"/>
      <c r="E140" s="143"/>
    </row>
    <row r="141" spans="1:8" ht="15.6" x14ac:dyDescent="0.25">
      <c r="A141" s="143"/>
      <c r="B141" s="144" t="s">
        <v>54</v>
      </c>
      <c r="C141" s="143"/>
      <c r="D141" s="143"/>
      <c r="E141" s="143"/>
    </row>
    <row r="142" spans="1:8" ht="15.6" x14ac:dyDescent="0.25">
      <c r="A142" s="143"/>
      <c r="B142" s="143"/>
      <c r="C142" s="143"/>
      <c r="D142" s="143"/>
      <c r="E142" s="143"/>
      <c r="F142" s="22" t="s">
        <v>359</v>
      </c>
      <c r="G142" s="162" t="s">
        <v>97</v>
      </c>
    </row>
    <row r="143" spans="1:8" ht="15.6" x14ac:dyDescent="0.25">
      <c r="A143" s="143"/>
      <c r="B143" s="143"/>
      <c r="C143" s="143"/>
      <c r="D143" s="143"/>
      <c r="E143" s="143"/>
      <c r="F143" s="22" t="s">
        <v>325</v>
      </c>
      <c r="G143" s="162">
        <v>100</v>
      </c>
      <c r="H143" s="1" t="s">
        <v>96</v>
      </c>
    </row>
    <row r="144" spans="1:8" ht="15.6" x14ac:dyDescent="0.35">
      <c r="A144" s="143"/>
      <c r="B144" s="143"/>
      <c r="C144" s="143"/>
      <c r="D144" s="143"/>
      <c r="E144" s="143"/>
      <c r="F144" s="19" t="s">
        <v>98</v>
      </c>
      <c r="G144" s="147">
        <f>Efficiency!AY112</f>
        <v>0.24596600000000002</v>
      </c>
      <c r="H144" s="1" t="s">
        <v>24</v>
      </c>
    </row>
    <row r="145" spans="1:8" ht="15.6" x14ac:dyDescent="0.35">
      <c r="A145" s="143"/>
      <c r="B145" s="143"/>
      <c r="C145" s="143"/>
      <c r="D145" s="143"/>
      <c r="E145" s="143"/>
      <c r="F145" s="19" t="s">
        <v>324</v>
      </c>
      <c r="G145" s="29">
        <f>G143+G144*44.8</f>
        <v>111.0192768</v>
      </c>
      <c r="H145" s="1" t="s">
        <v>96</v>
      </c>
    </row>
    <row r="146" spans="1:8" x14ac:dyDescent="0.25">
      <c r="A146" s="143"/>
      <c r="B146" s="143"/>
      <c r="C146" s="143"/>
      <c r="D146" s="143"/>
      <c r="E146" s="143"/>
      <c r="F146" s="19" t="s">
        <v>498</v>
      </c>
      <c r="G146" s="1">
        <f>IVCC*1000</f>
        <v>10.34</v>
      </c>
      <c r="H146" s="1" t="s">
        <v>499</v>
      </c>
    </row>
    <row r="147" spans="1:8" x14ac:dyDescent="0.25">
      <c r="A147" s="143"/>
      <c r="B147" s="143"/>
      <c r="C147" s="143"/>
      <c r="D147" s="143"/>
      <c r="E147" s="143"/>
    </row>
    <row r="148" spans="1:8" ht="15.6" x14ac:dyDescent="0.25">
      <c r="A148" s="143"/>
      <c r="B148" s="144" t="s">
        <v>55</v>
      </c>
      <c r="C148" s="143"/>
      <c r="D148" s="143"/>
      <c r="E148" s="143"/>
    </row>
    <row r="149" spans="1:8" x14ac:dyDescent="0.25">
      <c r="A149" s="143"/>
      <c r="B149" s="143"/>
      <c r="C149" s="143"/>
      <c r="D149" s="143"/>
      <c r="E149" s="143"/>
      <c r="F149" s="22" t="s">
        <v>99</v>
      </c>
      <c r="G149" s="162">
        <v>50</v>
      </c>
      <c r="H149" s="27" t="s">
        <v>41</v>
      </c>
    </row>
    <row r="150" spans="1:8" ht="15.6" x14ac:dyDescent="0.35">
      <c r="A150" s="143"/>
      <c r="B150" s="143"/>
      <c r="C150" s="143"/>
      <c r="D150" s="143"/>
      <c r="E150" s="143"/>
      <c r="F150" s="19" t="s">
        <v>103</v>
      </c>
      <c r="G150" s="29">
        <f>Calc!C229*1000000</f>
        <v>106.38297872340425</v>
      </c>
      <c r="H150" s="1" t="s">
        <v>33</v>
      </c>
    </row>
    <row r="151" spans="1:8" x14ac:dyDescent="0.25">
      <c r="A151" s="143"/>
      <c r="B151" s="143"/>
      <c r="C151" s="143"/>
      <c r="D151" s="143"/>
      <c r="E151" s="143"/>
      <c r="F151" s="19" t="s">
        <v>100</v>
      </c>
      <c r="G151" s="29">
        <f>Calc!C232</f>
        <v>5</v>
      </c>
      <c r="H151" s="1" t="s">
        <v>101</v>
      </c>
    </row>
    <row r="152" spans="1:8" x14ac:dyDescent="0.25">
      <c r="A152" s="143"/>
      <c r="B152" s="143"/>
      <c r="C152" s="143"/>
      <c r="D152" s="143"/>
      <c r="E152" s="143"/>
      <c r="F152" s="19" t="s">
        <v>102</v>
      </c>
      <c r="G152" s="30">
        <f>Calc!C234*1000</f>
        <v>5</v>
      </c>
      <c r="H152" s="1" t="s">
        <v>18</v>
      </c>
    </row>
    <row r="153" spans="1:8" x14ac:dyDescent="0.25">
      <c r="A153" s="143"/>
      <c r="B153" s="143"/>
      <c r="C153" s="143"/>
      <c r="D153" s="143"/>
      <c r="E153" s="143"/>
    </row>
  </sheetData>
  <sheetProtection algorithmName="SHA-512" hashValue="xiaVwYnrtR4Ym4JZhSYMefv44Mzx6OBot6HSRBU6BGIFTR/WrUZr/A2woEwhsPYGcUn8mDx4jadRM1FbMBMUSA==" saltValue="Er7KSrJ2H/oNhNln+l0GKw==" spinCount="100000" sheet="1" selectLockedCells="1"/>
  <mergeCells count="1">
    <mergeCell ref="K3:L3"/>
  </mergeCells>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xr:uid="{B6642219-9899-4353-ACFD-B670B24BAF27}"/>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274320</xdr:colOff>
                    <xdr:row>1</xdr:row>
                    <xdr:rowOff>350520</xdr:rowOff>
                  </from>
                  <to>
                    <xdr:col>14</xdr:col>
                    <xdr:colOff>213360</xdr:colOff>
                    <xdr:row>2</xdr:row>
                    <xdr:rowOff>68580</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137160</xdr:colOff>
                    <xdr:row>148</xdr:row>
                    <xdr:rowOff>99060</xdr:rowOff>
                  </from>
                  <to>
                    <xdr:col>12</xdr:col>
                    <xdr:colOff>472440</xdr:colOff>
                    <xdr:row>151</xdr:row>
                    <xdr:rowOff>30480</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525780</xdr:colOff>
                    <xdr:row>148</xdr:row>
                    <xdr:rowOff>83820</xdr:rowOff>
                  </from>
                  <to>
                    <xdr:col>10</xdr:col>
                    <xdr:colOff>327660</xdr:colOff>
                    <xdr:row>150</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A854C42-F114-42A2-B0F3-D99355FF6D3B}">
          <x14:formula1>
            <xm:f>STD_VAL!$C$7:$C$8</xm:f>
          </x14:formula1>
          <xm:sqref>G13</xm:sqref>
        </x14:dataValidation>
        <x14:dataValidation type="list" allowBlank="1" showInputMessage="1" showErrorMessage="1" xr:uid="{D5C8AFE5-3A84-47C0-B7C8-81BD418A2261}">
          <x14:formula1>
            <xm:f>STD_VAL!$C$3:$C$4</xm:f>
          </x14:formula1>
          <xm:sqref>G14</xm:sqref>
        </x14:dataValidation>
        <x14:dataValidation type="list" allowBlank="1" showInputMessage="1" showErrorMessage="1" xr:uid="{0E6F8022-9320-405F-B98F-8C9811E3D42B}">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D28-89D7-4D5C-877A-122BA4DF9367}">
  <sheetPr codeName="Sheet2">
    <tabColor rgb="FFFFFF00"/>
  </sheetPr>
  <dimension ref="A1"/>
  <sheetViews>
    <sheetView zoomScaleNormal="100" workbookViewId="0">
      <selection activeCell="G25" sqref="G25"/>
    </sheetView>
  </sheetViews>
  <sheetFormatPr defaultRowHeight="14.4" x14ac:dyDescent="0.3"/>
  <cols>
    <col min="1" max="16384" width="8.88671875" style="3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50B-727E-45C7-8BF7-7A1993FA736A}">
  <sheetPr codeName="Sheet3"/>
  <dimension ref="A1:X247"/>
  <sheetViews>
    <sheetView topLeftCell="A162" zoomScaleNormal="100" workbookViewId="0">
      <selection activeCell="D196" sqref="D195:D196"/>
    </sheetView>
  </sheetViews>
  <sheetFormatPr defaultRowHeight="13.2" x14ac:dyDescent="0.25"/>
  <cols>
    <col min="1" max="1" width="41.6640625" bestFit="1" customWidth="1"/>
    <col min="2" max="2" width="19" customWidth="1"/>
    <col min="3" max="3" width="12.33203125" bestFit="1" customWidth="1"/>
    <col min="4" max="4" width="31" bestFit="1" customWidth="1"/>
    <col min="5" max="5" width="12" bestFit="1" customWidth="1"/>
    <col min="6" max="6" width="11.21875" customWidth="1"/>
    <col min="19" max="19" width="10.88671875" bestFit="1" customWidth="1"/>
    <col min="20" max="20" width="8.33203125" bestFit="1" customWidth="1"/>
    <col min="21" max="21" width="15.5546875" bestFit="1" customWidth="1"/>
    <col min="22" max="22" width="15.5546875" style="58" bestFit="1" customWidth="1"/>
    <col min="23" max="23" width="12.88671875" style="58" customWidth="1"/>
    <col min="24" max="24" width="7.44140625" bestFit="1" customWidth="1"/>
    <col min="25" max="25" width="11.33203125" bestFit="1" customWidth="1"/>
  </cols>
  <sheetData>
    <row r="1" spans="1:7" ht="25.8" x14ac:dyDescent="0.5">
      <c r="A1" s="35" t="s">
        <v>106</v>
      </c>
      <c r="G1" s="36"/>
    </row>
    <row r="2" spans="1:7" x14ac:dyDescent="0.25">
      <c r="C2" s="46"/>
      <c r="D2" t="s">
        <v>107</v>
      </c>
      <c r="G2" s="36"/>
    </row>
    <row r="3" spans="1:7" x14ac:dyDescent="0.25">
      <c r="C3" s="37"/>
      <c r="D3" t="s">
        <v>108</v>
      </c>
      <c r="G3" s="36"/>
    </row>
    <row r="4" spans="1:7" x14ac:dyDescent="0.25">
      <c r="C4" s="38"/>
      <c r="D4" t="s">
        <v>109</v>
      </c>
      <c r="G4" s="36"/>
    </row>
    <row r="5" spans="1:7" x14ac:dyDescent="0.25">
      <c r="C5" s="39"/>
      <c r="G5" s="36"/>
    </row>
    <row r="6" spans="1:7" x14ac:dyDescent="0.25">
      <c r="A6" s="40" t="s">
        <v>110</v>
      </c>
      <c r="G6" s="36"/>
    </row>
    <row r="7" spans="1:7" ht="14.4" x14ac:dyDescent="0.3">
      <c r="B7" s="32" t="s">
        <v>111</v>
      </c>
      <c r="C7" s="32" t="s">
        <v>112</v>
      </c>
      <c r="D7" s="32" t="s">
        <v>113</v>
      </c>
      <c r="E7" s="32" t="s">
        <v>114</v>
      </c>
      <c r="F7" s="32" t="s">
        <v>105</v>
      </c>
      <c r="G7" s="41" t="s">
        <v>115</v>
      </c>
    </row>
    <row r="8" spans="1:7" x14ac:dyDescent="0.25">
      <c r="B8" s="38" t="s">
        <v>116</v>
      </c>
      <c r="C8" s="39"/>
      <c r="D8" s="39"/>
      <c r="F8">
        <v>3.1415920000000002</v>
      </c>
      <c r="G8" s="36"/>
    </row>
    <row r="9" spans="1:7" x14ac:dyDescent="0.25">
      <c r="B9" s="38" t="s">
        <v>334</v>
      </c>
      <c r="C9" s="39"/>
      <c r="D9" s="39"/>
      <c r="F9">
        <v>7</v>
      </c>
      <c r="G9" s="36"/>
    </row>
    <row r="10" spans="1:7" x14ac:dyDescent="0.25">
      <c r="B10" s="38" t="s">
        <v>358</v>
      </c>
      <c r="C10" s="39"/>
      <c r="D10" s="39"/>
      <c r="F10">
        <f>124*10^-6</f>
        <v>1.2400000000000001E-4</v>
      </c>
      <c r="G10" s="36"/>
    </row>
    <row r="11" spans="1:7" x14ac:dyDescent="0.25">
      <c r="A11" s="40" t="s">
        <v>140</v>
      </c>
    </row>
    <row r="12" spans="1:7" x14ac:dyDescent="0.25">
      <c r="B12" s="42" t="s">
        <v>111</v>
      </c>
      <c r="C12" s="42" t="s">
        <v>112</v>
      </c>
      <c r="D12" s="42" t="s">
        <v>113</v>
      </c>
      <c r="E12" s="42" t="s">
        <v>114</v>
      </c>
      <c r="F12" s="42" t="s">
        <v>105</v>
      </c>
      <c r="G12" s="42" t="s">
        <v>115</v>
      </c>
    </row>
    <row r="13" spans="1:7" x14ac:dyDescent="0.25">
      <c r="A13" t="s">
        <v>117</v>
      </c>
      <c r="B13" s="46" t="s">
        <v>118</v>
      </c>
      <c r="C13">
        <f>Design!G7</f>
        <v>23</v>
      </c>
      <c r="E13">
        <v>1</v>
      </c>
      <c r="F13">
        <f>C13*E13</f>
        <v>23</v>
      </c>
    </row>
    <row r="14" spans="1:7" x14ac:dyDescent="0.25">
      <c r="B14" s="46" t="s">
        <v>119</v>
      </c>
      <c r="C14">
        <f>Design!G8</f>
        <v>24</v>
      </c>
      <c r="E14">
        <v>1</v>
      </c>
      <c r="F14">
        <f t="shared" ref="F14:F24" si="0">C14*E14</f>
        <v>24</v>
      </c>
    </row>
    <row r="15" spans="1:7" x14ac:dyDescent="0.25">
      <c r="A15" t="s">
        <v>120</v>
      </c>
      <c r="B15" s="46" t="s">
        <v>121</v>
      </c>
      <c r="C15">
        <f>Design!G9</f>
        <v>24</v>
      </c>
      <c r="E15">
        <v>1</v>
      </c>
      <c r="F15">
        <f t="shared" si="0"/>
        <v>24</v>
      </c>
    </row>
    <row r="16" spans="1:7" x14ac:dyDescent="0.25">
      <c r="A16" t="s">
        <v>122</v>
      </c>
      <c r="B16" s="46" t="s">
        <v>123</v>
      </c>
      <c r="C16">
        <f>Design!G10</f>
        <v>23.5</v>
      </c>
      <c r="E16">
        <v>1</v>
      </c>
      <c r="F16">
        <f t="shared" si="0"/>
        <v>23.5</v>
      </c>
    </row>
    <row r="17" spans="1:6" x14ac:dyDescent="0.25">
      <c r="A17" t="s">
        <v>124</v>
      </c>
      <c r="B17" s="46" t="s">
        <v>129</v>
      </c>
      <c r="C17">
        <f>Design!G11</f>
        <v>10</v>
      </c>
      <c r="E17">
        <v>1</v>
      </c>
      <c r="F17">
        <f t="shared" si="0"/>
        <v>10</v>
      </c>
    </row>
    <row r="18" spans="1:6" x14ac:dyDescent="0.25">
      <c r="A18" t="s">
        <v>125</v>
      </c>
      <c r="B18" s="46" t="s">
        <v>126</v>
      </c>
      <c r="C18">
        <f>Design!G12</f>
        <v>470</v>
      </c>
      <c r="D18" t="s">
        <v>8</v>
      </c>
      <c r="E18">
        <v>1000</v>
      </c>
      <c r="F18">
        <f t="shared" si="0"/>
        <v>470000</v>
      </c>
    </row>
    <row r="19" spans="1:6" x14ac:dyDescent="0.25">
      <c r="A19" t="s">
        <v>128</v>
      </c>
      <c r="B19" s="46" t="s">
        <v>16</v>
      </c>
      <c r="C19">
        <f>IF(Design!G13=STD_VAL!C7,STD_VAL!D7,IF(Design!G13=STD_VAL!C8,STD_VAL!D8,444))</f>
        <v>1</v>
      </c>
      <c r="E19">
        <v>1</v>
      </c>
      <c r="F19">
        <f t="shared" si="0"/>
        <v>1</v>
      </c>
    </row>
    <row r="20" spans="1:6" x14ac:dyDescent="0.25">
      <c r="B20" s="46" t="s">
        <v>138</v>
      </c>
      <c r="C20">
        <f>IF(Design!G14=STD_VAL!C3,STD_VAL!D3,IF(Design!G14=STD_VAL!C4,STD_VAL!D4,444))</f>
        <v>1</v>
      </c>
      <c r="E20">
        <v>1</v>
      </c>
      <c r="F20">
        <f t="shared" si="0"/>
        <v>1</v>
      </c>
    </row>
    <row r="21" spans="1:6" x14ac:dyDescent="0.25">
      <c r="B21" t="s">
        <v>127</v>
      </c>
      <c r="C21">
        <f>V.load*I.load</f>
        <v>235</v>
      </c>
      <c r="E21">
        <v>1</v>
      </c>
      <c r="F21">
        <f t="shared" si="0"/>
        <v>235</v>
      </c>
    </row>
    <row r="22" spans="1:6" x14ac:dyDescent="0.25">
      <c r="B22" t="s">
        <v>135</v>
      </c>
      <c r="C22">
        <f>C16/C17</f>
        <v>2.35</v>
      </c>
      <c r="E22">
        <v>1</v>
      </c>
      <c r="F22">
        <f t="shared" si="0"/>
        <v>2.35</v>
      </c>
    </row>
    <row r="23" spans="1:6" x14ac:dyDescent="0.25">
      <c r="B23" s="39" t="s">
        <v>136</v>
      </c>
      <c r="C23">
        <f>(10^6/(f.sw/1000)-59)/41*1000</f>
        <v>50455.111572392314</v>
      </c>
      <c r="E23">
        <v>1</v>
      </c>
      <c r="F23">
        <f t="shared" si="0"/>
        <v>50455.111572392314</v>
      </c>
    </row>
    <row r="24" spans="1:6" x14ac:dyDescent="0.25">
      <c r="B24" s="45" t="s">
        <v>137</v>
      </c>
      <c r="C24">
        <f>IF(ISNUMBER(R.t_calc/1000),INDEX(STD_VAL!$A$1:$A$769,MATCH(R.t_calc/1000,STD_VAL!$A$1:$A$769)),R.t_calc/1000)</f>
        <v>49.900000000000006</v>
      </c>
      <c r="E24">
        <v>1000</v>
      </c>
      <c r="F24">
        <f t="shared" si="0"/>
        <v>49900.000000000007</v>
      </c>
    </row>
    <row r="25" spans="1:6" x14ac:dyDescent="0.25">
      <c r="B25" s="39" t="s">
        <v>491</v>
      </c>
      <c r="F25">
        <f>IF(DEVICE=0,42,80)</f>
        <v>80</v>
      </c>
    </row>
    <row r="27" spans="1:6" x14ac:dyDescent="0.25">
      <c r="A27" s="40" t="s">
        <v>139</v>
      </c>
    </row>
    <row r="28" spans="1:6" x14ac:dyDescent="0.25">
      <c r="A28" s="39"/>
      <c r="B28" s="38" t="s">
        <v>144</v>
      </c>
      <c r="C28">
        <v>0.06</v>
      </c>
      <c r="E28">
        <v>1</v>
      </c>
      <c r="F28">
        <f t="shared" ref="F28:F34" si="1">C28*E28</f>
        <v>0.06</v>
      </c>
    </row>
    <row r="29" spans="1:6" x14ac:dyDescent="0.25">
      <c r="A29" s="39"/>
      <c r="B29" s="38" t="s">
        <v>145</v>
      </c>
      <c r="C29">
        <f>C28*0.9</f>
        <v>5.3999999999999999E-2</v>
      </c>
      <c r="E29">
        <v>1</v>
      </c>
      <c r="F29">
        <f t="shared" si="1"/>
        <v>5.3999999999999999E-2</v>
      </c>
    </row>
    <row r="30" spans="1:6" x14ac:dyDescent="0.25">
      <c r="A30" s="39"/>
      <c r="B30" s="38" t="s">
        <v>146</v>
      </c>
      <c r="C30">
        <f>C28*1.1</f>
        <v>6.6000000000000003E-2</v>
      </c>
      <c r="E30">
        <v>1</v>
      </c>
      <c r="F30">
        <f t="shared" si="1"/>
        <v>6.6000000000000003E-2</v>
      </c>
    </row>
    <row r="31" spans="1:6" x14ac:dyDescent="0.25">
      <c r="A31" s="39"/>
      <c r="B31" s="46" t="s">
        <v>167</v>
      </c>
      <c r="C31">
        <f>Design!G19</f>
        <v>12</v>
      </c>
      <c r="E31">
        <v>1</v>
      </c>
      <c r="F31">
        <f t="shared" si="1"/>
        <v>12</v>
      </c>
    </row>
    <row r="32" spans="1:6" x14ac:dyDescent="0.25">
      <c r="A32" s="39"/>
      <c r="B32" s="37" t="s">
        <v>141</v>
      </c>
      <c r="C32">
        <f>V.pcl_min/I.peakcl</f>
        <v>4.4999999999999997E-3</v>
      </c>
      <c r="E32">
        <v>1</v>
      </c>
      <c r="F32">
        <f t="shared" si="1"/>
        <v>4.4999999999999997E-3</v>
      </c>
    </row>
    <row r="33" spans="1:6" x14ac:dyDescent="0.25">
      <c r="A33" s="39"/>
      <c r="B33" s="46" t="s">
        <v>142</v>
      </c>
      <c r="C33">
        <f>Design!G21</f>
        <v>4</v>
      </c>
      <c r="E33">
        <v>1E-3</v>
      </c>
      <c r="F33">
        <f t="shared" si="1"/>
        <v>4.0000000000000001E-3</v>
      </c>
    </row>
    <row r="34" spans="1:6" x14ac:dyDescent="0.25">
      <c r="B34" s="37" t="s">
        <v>143</v>
      </c>
      <c r="C34" s="47">
        <f>I.peakcl^2*R.s</f>
        <v>0.57600000000000007</v>
      </c>
      <c r="E34">
        <v>1</v>
      </c>
      <c r="F34">
        <f t="shared" si="1"/>
        <v>0.57600000000000007</v>
      </c>
    </row>
    <row r="37" spans="1:6" x14ac:dyDescent="0.25">
      <c r="A37" s="40" t="s">
        <v>147</v>
      </c>
    </row>
    <row r="38" spans="1:6" x14ac:dyDescent="0.25">
      <c r="B38" s="38" t="s">
        <v>149</v>
      </c>
      <c r="C38">
        <v>0.4</v>
      </c>
      <c r="E38">
        <v>1</v>
      </c>
      <c r="F38">
        <v>0.4</v>
      </c>
    </row>
    <row r="39" spans="1:6" x14ac:dyDescent="0.25">
      <c r="B39" s="45" t="s">
        <v>148</v>
      </c>
      <c r="C39">
        <f>(V.supply_typ-V.load)/RR.typ/I.load*(V.load/V.supply_typ/f.sw)</f>
        <v>2.6041666666666668E-7</v>
      </c>
      <c r="E39">
        <v>1</v>
      </c>
      <c r="F39">
        <f>C39*E39</f>
        <v>2.6041666666666668E-7</v>
      </c>
    </row>
    <row r="40" spans="1:6" x14ac:dyDescent="0.25">
      <c r="B40" s="38" t="s">
        <v>150</v>
      </c>
      <c r="C40">
        <v>0.45</v>
      </c>
      <c r="E40">
        <v>1</v>
      </c>
      <c r="F40">
        <f>C40*E40</f>
        <v>0.45</v>
      </c>
    </row>
    <row r="41" spans="1:6" x14ac:dyDescent="0.25">
      <c r="B41" s="38" t="s">
        <v>151</v>
      </c>
      <c r="C41">
        <f>V.slope_typ*0.9</f>
        <v>0.40500000000000003</v>
      </c>
      <c r="E41">
        <v>1</v>
      </c>
      <c r="F41">
        <f t="shared" ref="F41:F48" si="2">C41*E41</f>
        <v>0.40500000000000003</v>
      </c>
    </row>
    <row r="42" spans="1:6" x14ac:dyDescent="0.25">
      <c r="B42" s="38" t="s">
        <v>152</v>
      </c>
      <c r="C42">
        <f>V.slope_typ*1.1</f>
        <v>0.49500000000000005</v>
      </c>
      <c r="E42">
        <v>1</v>
      </c>
      <c r="F42">
        <f t="shared" si="2"/>
        <v>0.49500000000000005</v>
      </c>
    </row>
    <row r="43" spans="1:6" x14ac:dyDescent="0.25">
      <c r="B43" s="38" t="s">
        <v>153</v>
      </c>
      <c r="C43">
        <v>10</v>
      </c>
      <c r="E43">
        <v>1</v>
      </c>
      <c r="F43">
        <f t="shared" si="2"/>
        <v>10</v>
      </c>
    </row>
    <row r="44" spans="1:6" x14ac:dyDescent="0.25">
      <c r="B44" s="38" t="s">
        <v>154</v>
      </c>
      <c r="C44">
        <f>A.s_typ*0.9</f>
        <v>9</v>
      </c>
      <c r="E44">
        <v>1</v>
      </c>
      <c r="F44">
        <f t="shared" si="2"/>
        <v>9</v>
      </c>
    </row>
    <row r="45" spans="1:6" x14ac:dyDescent="0.25">
      <c r="B45" s="38" t="s">
        <v>155</v>
      </c>
      <c r="C45">
        <f>A.s_typ*1.1</f>
        <v>11</v>
      </c>
      <c r="E45">
        <v>1</v>
      </c>
      <c r="F45">
        <f t="shared" si="2"/>
        <v>11</v>
      </c>
    </row>
    <row r="46" spans="1:6" x14ac:dyDescent="0.25">
      <c r="B46" s="38" t="s">
        <v>156</v>
      </c>
      <c r="C46">
        <v>1.2</v>
      </c>
      <c r="E46">
        <v>1</v>
      </c>
      <c r="F46">
        <f t="shared" si="2"/>
        <v>1.2</v>
      </c>
    </row>
    <row r="47" spans="1:6" x14ac:dyDescent="0.25">
      <c r="B47" s="39" t="s">
        <v>157</v>
      </c>
      <c r="C47">
        <f>R.s*A.s_typ*V.load/f.sw/2*L.margin/V.slope_min</f>
        <v>2.9629629629629633E-6</v>
      </c>
      <c r="E47">
        <v>1</v>
      </c>
      <c r="F47">
        <f t="shared" si="2"/>
        <v>2.9629629629629633E-6</v>
      </c>
    </row>
    <row r="48" spans="1:6" x14ac:dyDescent="0.25">
      <c r="B48" s="39" t="s">
        <v>158</v>
      </c>
      <c r="C48">
        <f>(V.supply_max-V.load)/2/I.load*(V.load/V.supply_max/f.sw)</f>
        <v>5.208333333333334E-8</v>
      </c>
      <c r="E48">
        <v>1</v>
      </c>
      <c r="F48">
        <f t="shared" si="2"/>
        <v>5.208333333333334E-8</v>
      </c>
    </row>
    <row r="49" spans="2:8" x14ac:dyDescent="0.25">
      <c r="B49" s="38" t="s">
        <v>159</v>
      </c>
      <c r="C49">
        <f>0.03*0.95</f>
        <v>2.8499999999999998E-2</v>
      </c>
      <c r="E49">
        <v>1</v>
      </c>
      <c r="F49">
        <f t="shared" ref="F49:F57" si="3">C49*E49</f>
        <v>2.8499999999999998E-2</v>
      </c>
    </row>
    <row r="50" spans="2:8" x14ac:dyDescent="0.25">
      <c r="B50" s="39" t="s">
        <v>160</v>
      </c>
      <c r="C50">
        <f>(V.supply_max-V.load)/2*(V.load/V.supply_max/f.sw*R.s/V.ncl_max)</f>
        <v>7.3099415204678373E-8</v>
      </c>
      <c r="E50">
        <v>1</v>
      </c>
      <c r="F50">
        <f t="shared" si="3"/>
        <v>7.3099415204678373E-8</v>
      </c>
    </row>
    <row r="51" spans="2:8" x14ac:dyDescent="0.25">
      <c r="B51" s="39" t="s">
        <v>161</v>
      </c>
      <c r="C51">
        <f>(V.supply_min-V.load)/2*V.load/V.supply_min/f.sw/(V.pcl_min/R.s-I.load)</f>
        <v>-1.5527950310559009E-7</v>
      </c>
      <c r="E51">
        <v>1</v>
      </c>
      <c r="F51">
        <f t="shared" si="3"/>
        <v>-1.5527950310559009E-7</v>
      </c>
    </row>
    <row r="52" spans="2:8" x14ac:dyDescent="0.25">
      <c r="B52" s="37" t="s">
        <v>162</v>
      </c>
      <c r="C52">
        <f>IF(FPWM=0,MIN(C51,100,C48,C47),MIN(C51,C50,C48,C47))</f>
        <v>-1.5527950310559009E-7</v>
      </c>
      <c r="E52">
        <v>1</v>
      </c>
      <c r="F52">
        <f t="shared" si="3"/>
        <v>-1.5527950310559009E-7</v>
      </c>
    </row>
    <row r="53" spans="2:8" x14ac:dyDescent="0.25">
      <c r="B53" s="46" t="s">
        <v>163</v>
      </c>
      <c r="C53">
        <f>Design!G28</f>
        <v>3.3</v>
      </c>
      <c r="E53">
        <f>10^-6</f>
        <v>9.9999999999999995E-7</v>
      </c>
      <c r="F53">
        <f t="shared" si="3"/>
        <v>3.2999999999999997E-6</v>
      </c>
    </row>
    <row r="54" spans="2:8" x14ac:dyDescent="0.25">
      <c r="B54" s="37" t="s">
        <v>458</v>
      </c>
      <c r="C54">
        <f>I.load+0.5*(V.supply_min-V.load)/L.out*V.load/V.supply_min/f.sw</f>
        <v>9.8353096179183144</v>
      </c>
      <c r="E54">
        <v>1</v>
      </c>
      <c r="F54">
        <f t="shared" si="3"/>
        <v>9.8353096179183144</v>
      </c>
    </row>
    <row r="55" spans="2:8" x14ac:dyDescent="0.25">
      <c r="B55" s="37" t="s">
        <v>165</v>
      </c>
      <c r="C55">
        <f>I.load+0.5*(V.supply_max-V.load)/L.out*V.load/V.supply_max/f.sw</f>
        <v>10.157828282828282</v>
      </c>
      <c r="E55">
        <v>1</v>
      </c>
      <c r="F55">
        <f t="shared" si="3"/>
        <v>10.157828282828282</v>
      </c>
    </row>
    <row r="56" spans="2:8" x14ac:dyDescent="0.25">
      <c r="B56" s="38" t="s">
        <v>166</v>
      </c>
      <c r="C56">
        <f>75*10^-9</f>
        <v>7.500000000000001E-8</v>
      </c>
      <c r="E56">
        <v>1</v>
      </c>
      <c r="F56">
        <f t="shared" si="3"/>
        <v>7.500000000000001E-8</v>
      </c>
    </row>
    <row r="57" spans="2:8" x14ac:dyDescent="0.25">
      <c r="B57" s="37" t="s">
        <v>164</v>
      </c>
      <c r="C57">
        <f>V.pcl_max/R.s+t.blank_max*(V.supply_max-V.load)/L.out</f>
        <v>16.511363636363637</v>
      </c>
      <c r="E57">
        <v>1</v>
      </c>
      <c r="F57">
        <f t="shared" si="3"/>
        <v>16.511363636363637</v>
      </c>
    </row>
    <row r="58" spans="2:8" x14ac:dyDescent="0.25">
      <c r="B58" s="39"/>
    </row>
    <row r="59" spans="2:8" x14ac:dyDescent="0.25">
      <c r="B59" s="46" t="s">
        <v>173</v>
      </c>
      <c r="C59">
        <f>Design!G121</f>
        <v>3.9</v>
      </c>
      <c r="E59">
        <v>1E-3</v>
      </c>
      <c r="F59">
        <f t="shared" ref="F59:F71" si="4">C59*E59</f>
        <v>3.8999999999999998E-3</v>
      </c>
    </row>
    <row r="60" spans="2:8" x14ac:dyDescent="0.25">
      <c r="B60" s="39" t="s">
        <v>172</v>
      </c>
      <c r="C60">
        <f>R.dcr25*((150+275)/300)^1.2</f>
        <v>5.9236012681022007E-3</v>
      </c>
      <c r="E60">
        <v>1</v>
      </c>
      <c r="F60">
        <f t="shared" si="4"/>
        <v>5.9236012681022007E-3</v>
      </c>
    </row>
    <row r="61" spans="2:8" x14ac:dyDescent="0.25">
      <c r="B61" s="46" t="s">
        <v>174</v>
      </c>
      <c r="C61">
        <f>Design!G122</f>
        <v>1.6</v>
      </c>
      <c r="E61">
        <v>1</v>
      </c>
      <c r="F61">
        <f t="shared" si="4"/>
        <v>1.6</v>
      </c>
      <c r="H61" t="s">
        <v>175</v>
      </c>
    </row>
    <row r="62" spans="2:8" x14ac:dyDescent="0.25">
      <c r="B62" s="39" t="s">
        <v>171</v>
      </c>
      <c r="C62">
        <f>V.load/V.supply_max</f>
        <v>0.97916666666666663</v>
      </c>
      <c r="E62">
        <v>1</v>
      </c>
      <c r="F62" s="51">
        <f t="shared" si="4"/>
        <v>0.97916666666666663</v>
      </c>
    </row>
    <row r="63" spans="2:8" x14ac:dyDescent="0.25">
      <c r="B63" s="39" t="s">
        <v>168</v>
      </c>
      <c r="C63">
        <f>D.on_min_ideal/f.sw</f>
        <v>2.0833333333333334E-6</v>
      </c>
      <c r="E63">
        <v>1</v>
      </c>
      <c r="F63" s="42">
        <f t="shared" si="4"/>
        <v>2.0833333333333334E-6</v>
      </c>
    </row>
    <row r="64" spans="2:8" x14ac:dyDescent="0.25">
      <c r="B64" s="39" t="s">
        <v>170</v>
      </c>
      <c r="C64">
        <f>(V.load+I.load*(R.ls150+R.dcr150+R.s))/(V.supply_max+I.load*(R.ls150-R.hs150))</f>
        <v>0.98376566769390683</v>
      </c>
      <c r="E64">
        <v>1</v>
      </c>
      <c r="F64">
        <f t="shared" si="4"/>
        <v>0.98376566769390683</v>
      </c>
    </row>
    <row r="65" spans="1:6" x14ac:dyDescent="0.25">
      <c r="B65" t="s">
        <v>180</v>
      </c>
      <c r="C65">
        <f>D.on_min_150/f.sw</f>
        <v>2.0931184419019294E-6</v>
      </c>
      <c r="E65">
        <v>1</v>
      </c>
      <c r="F65">
        <f t="shared" si="4"/>
        <v>2.0931184419019294E-6</v>
      </c>
    </row>
    <row r="66" spans="1:6" x14ac:dyDescent="0.25">
      <c r="B66" t="s">
        <v>181</v>
      </c>
      <c r="C66">
        <f>1-V.load/V.supply_min</f>
        <v>-2.1739130434782705E-2</v>
      </c>
      <c r="E66">
        <v>1</v>
      </c>
      <c r="F66">
        <f t="shared" si="4"/>
        <v>-2.1739130434782705E-2</v>
      </c>
    </row>
    <row r="67" spans="1:6" x14ac:dyDescent="0.25">
      <c r="B67" t="s">
        <v>182</v>
      </c>
      <c r="C67">
        <f>D.off_min_ideal/f.sw</f>
        <v>-4.6253469010175967E-8</v>
      </c>
      <c r="E67">
        <v>1</v>
      </c>
      <c r="F67" s="50">
        <f t="shared" si="4"/>
        <v>-4.6253469010175967E-8</v>
      </c>
    </row>
    <row r="68" spans="1:6" x14ac:dyDescent="0.25">
      <c r="B68" t="s">
        <v>183</v>
      </c>
      <c r="C68">
        <f>1-(V.load+I.load*(R.ls150+R.dcr150+R.s))/(V.supply_min+I.load*(R.ls150-R.hs150))</f>
        <v>-2.65380880284245E-2</v>
      </c>
      <c r="E68">
        <v>1</v>
      </c>
      <c r="F68">
        <f t="shared" si="4"/>
        <v>-2.65380880284245E-2</v>
      </c>
    </row>
    <row r="69" spans="1:6" x14ac:dyDescent="0.25">
      <c r="B69" t="s">
        <v>169</v>
      </c>
      <c r="C69">
        <f>D.off_min_150/f.sw</f>
        <v>-5.6464017081754254E-8</v>
      </c>
      <c r="E69">
        <v>1</v>
      </c>
      <c r="F69" s="42">
        <f t="shared" si="4"/>
        <v>-5.6464017081754254E-8</v>
      </c>
    </row>
    <row r="70" spans="1:6" x14ac:dyDescent="0.25">
      <c r="B70" s="38" t="s">
        <v>184</v>
      </c>
      <c r="C70">
        <f>50*10^-9</f>
        <v>5.0000000000000004E-8</v>
      </c>
      <c r="E70">
        <v>1</v>
      </c>
      <c r="F70" s="50">
        <f t="shared" si="4"/>
        <v>5.0000000000000004E-8</v>
      </c>
    </row>
    <row r="71" spans="1:6" x14ac:dyDescent="0.25">
      <c r="B71" s="38" t="s">
        <v>185</v>
      </c>
      <c r="C71">
        <f>125*10^-9</f>
        <v>1.2500000000000002E-7</v>
      </c>
      <c r="E71">
        <v>1</v>
      </c>
      <c r="F71">
        <f t="shared" si="4"/>
        <v>1.2500000000000002E-7</v>
      </c>
    </row>
    <row r="74" spans="1:6" x14ac:dyDescent="0.25">
      <c r="A74" s="40" t="s">
        <v>186</v>
      </c>
    </row>
    <row r="75" spans="1:6" x14ac:dyDescent="0.25">
      <c r="B75" s="38" t="s">
        <v>187</v>
      </c>
      <c r="C75">
        <v>1.05</v>
      </c>
      <c r="E75">
        <v>1</v>
      </c>
      <c r="F75">
        <f t="shared" ref="F75:F80" si="5">C75*E75</f>
        <v>1.05</v>
      </c>
    </row>
    <row r="76" spans="1:6" x14ac:dyDescent="0.25">
      <c r="B76" s="38" t="s">
        <v>188</v>
      </c>
      <c r="C76">
        <f>C75-0.1</f>
        <v>0.95000000000000007</v>
      </c>
      <c r="E76">
        <v>1</v>
      </c>
      <c r="F76">
        <f t="shared" si="5"/>
        <v>0.95000000000000007</v>
      </c>
    </row>
    <row r="77" spans="1:6" x14ac:dyDescent="0.25">
      <c r="B77" s="46" t="s">
        <v>189</v>
      </c>
      <c r="C77">
        <f>Design!G44</f>
        <v>4</v>
      </c>
      <c r="E77">
        <v>1</v>
      </c>
      <c r="F77">
        <f t="shared" si="5"/>
        <v>4</v>
      </c>
    </row>
    <row r="78" spans="1:6" x14ac:dyDescent="0.25">
      <c r="B78" s="46" t="s">
        <v>190</v>
      </c>
      <c r="C78">
        <f>Design!G45</f>
        <v>100</v>
      </c>
      <c r="E78">
        <v>1000</v>
      </c>
      <c r="F78">
        <f t="shared" si="5"/>
        <v>100000</v>
      </c>
    </row>
    <row r="79" spans="1:6" x14ac:dyDescent="0.25">
      <c r="B79" s="39" t="s">
        <v>191</v>
      </c>
      <c r="C79">
        <f>R.ent*V.enrising_max/(V.startup-V.enrising_max)</f>
        <v>35593.220338983047</v>
      </c>
      <c r="E79">
        <v>1</v>
      </c>
      <c r="F79">
        <f t="shared" si="5"/>
        <v>35593.220338983047</v>
      </c>
    </row>
    <row r="80" spans="1:6" x14ac:dyDescent="0.25">
      <c r="B80" s="37" t="s">
        <v>192</v>
      </c>
      <c r="C80">
        <f>V.enfalling_max*(R.ent+R.enb)/R.enb</f>
        <v>3.6190476190476195</v>
      </c>
      <c r="E80">
        <v>1</v>
      </c>
      <c r="F80">
        <f t="shared" si="5"/>
        <v>3.6190476190476195</v>
      </c>
    </row>
    <row r="83" spans="1:6" x14ac:dyDescent="0.25">
      <c r="A83" s="40" t="s">
        <v>193</v>
      </c>
    </row>
    <row r="84" spans="1:6" x14ac:dyDescent="0.25">
      <c r="B84" s="38" t="s">
        <v>194</v>
      </c>
      <c r="C84">
        <f>V.load*0.08</f>
        <v>1.8800000000000001</v>
      </c>
      <c r="E84">
        <v>1</v>
      </c>
      <c r="F84">
        <f t="shared" ref="F84:F94" si="6">C84*E84</f>
        <v>1.8800000000000001</v>
      </c>
    </row>
    <row r="85" spans="1:6" x14ac:dyDescent="0.25">
      <c r="B85" s="46" t="s">
        <v>195</v>
      </c>
      <c r="C85">
        <f>V.load*(Design!G51/100)</f>
        <v>1.41</v>
      </c>
      <c r="E85">
        <v>1</v>
      </c>
      <c r="F85">
        <f t="shared" si="6"/>
        <v>1.41</v>
      </c>
    </row>
    <row r="86" spans="1:6" x14ac:dyDescent="0.25">
      <c r="B86" s="46" t="s">
        <v>200</v>
      </c>
      <c r="C86" s="52">
        <f>Design!G52</f>
        <v>28</v>
      </c>
      <c r="E86">
        <v>1000</v>
      </c>
      <c r="F86">
        <f t="shared" si="6"/>
        <v>28000</v>
      </c>
    </row>
    <row r="87" spans="1:6" x14ac:dyDescent="0.25">
      <c r="B87" s="39" t="s">
        <v>197</v>
      </c>
      <c r="C87">
        <f>I.load^2*L.out/(2*V.load*V.overshoot+V.overshoot^2)</f>
        <v>3.5910784552703972E-6</v>
      </c>
      <c r="E87">
        <v>1</v>
      </c>
      <c r="F87">
        <f t="shared" si="6"/>
        <v>3.5910784552703972E-6</v>
      </c>
    </row>
    <row r="88" spans="1:6" x14ac:dyDescent="0.25">
      <c r="B88" s="39" t="s">
        <v>198</v>
      </c>
      <c r="C88">
        <f>I.load^2*L.out*(1/f.sw-T.offmin_IC)*f.sw/(2*V.load*V.overshoot+V.overshoot^2)</f>
        <v>3.3801025960232614E-6</v>
      </c>
      <c r="E88">
        <v>1</v>
      </c>
      <c r="F88">
        <f t="shared" si="6"/>
        <v>3.3801025960232614E-6</v>
      </c>
    </row>
    <row r="89" spans="1:6" x14ac:dyDescent="0.25">
      <c r="B89" s="39" t="s">
        <v>199</v>
      </c>
      <c r="C89">
        <f>(I.load/2)/(2*PI*f.cross_desired*V.undershoot)</f>
        <v>2.0156405294218334E-5</v>
      </c>
      <c r="E89">
        <v>1</v>
      </c>
      <c r="F89">
        <f t="shared" si="6"/>
        <v>2.0156405294218334E-5</v>
      </c>
    </row>
    <row r="90" spans="1:6" x14ac:dyDescent="0.25">
      <c r="B90" s="37" t="s">
        <v>196</v>
      </c>
      <c r="C90">
        <f>MAX(F87:F89)</f>
        <v>2.0156405294218334E-5</v>
      </c>
      <c r="E90">
        <v>1</v>
      </c>
      <c r="F90">
        <f t="shared" si="6"/>
        <v>2.0156405294218334E-5</v>
      </c>
    </row>
    <row r="91" spans="1:6" x14ac:dyDescent="0.25">
      <c r="B91" s="46" t="s">
        <v>201</v>
      </c>
      <c r="C91" s="52">
        <f>Design!G55</f>
        <v>424</v>
      </c>
      <c r="E91">
        <f>10^-6</f>
        <v>9.9999999999999995E-7</v>
      </c>
      <c r="F91">
        <f t="shared" si="6"/>
        <v>4.2400000000000001E-4</v>
      </c>
    </row>
    <row r="92" spans="1:6" x14ac:dyDescent="0.25">
      <c r="B92" s="46" t="s">
        <v>204</v>
      </c>
      <c r="C92">
        <f>Design!G56</f>
        <v>0.5</v>
      </c>
      <c r="E92">
        <v>1</v>
      </c>
      <c r="F92">
        <f t="shared" si="6"/>
        <v>0.5</v>
      </c>
    </row>
    <row r="93" spans="1:6" x14ac:dyDescent="0.25">
      <c r="B93" t="s">
        <v>202</v>
      </c>
      <c r="C93">
        <f>C.outb_rated*C.outb_derating_factor</f>
        <v>2.12E-4</v>
      </c>
      <c r="E93">
        <v>1</v>
      </c>
      <c r="F93">
        <f t="shared" si="6"/>
        <v>2.12E-4</v>
      </c>
    </row>
    <row r="94" spans="1:6" x14ac:dyDescent="0.25">
      <c r="B94" s="46" t="s">
        <v>203</v>
      </c>
      <c r="C94" s="52">
        <f>Design!G58</f>
        <v>5</v>
      </c>
      <c r="E94">
        <v>1E-3</v>
      </c>
      <c r="F94">
        <f t="shared" si="6"/>
        <v>5.0000000000000001E-3</v>
      </c>
    </row>
    <row r="96" spans="1:6" x14ac:dyDescent="0.25">
      <c r="B96" s="46" t="s">
        <v>206</v>
      </c>
      <c r="C96" s="52">
        <f>Design!G60</f>
        <v>0.1</v>
      </c>
      <c r="E96">
        <f>10^-6</f>
        <v>9.9999999999999995E-7</v>
      </c>
      <c r="F96">
        <f>C96*E96</f>
        <v>9.9999999999999995E-8</v>
      </c>
    </row>
    <row r="97" spans="2:6" x14ac:dyDescent="0.25">
      <c r="B97" s="46" t="s">
        <v>205</v>
      </c>
      <c r="C97">
        <f>Design!G61</f>
        <v>0.7</v>
      </c>
      <c r="E97">
        <v>1</v>
      </c>
      <c r="F97">
        <f>C97*E97</f>
        <v>0.7</v>
      </c>
    </row>
    <row r="98" spans="2:6" x14ac:dyDescent="0.25">
      <c r="B98" s="39" t="s">
        <v>207</v>
      </c>
      <c r="C98">
        <f>C.outhf_rated*C.outhf_derating_factor</f>
        <v>6.9999999999999992E-8</v>
      </c>
      <c r="E98">
        <v>1</v>
      </c>
      <c r="F98">
        <f>C98*E98</f>
        <v>6.9999999999999992E-8</v>
      </c>
    </row>
    <row r="99" spans="2:6" x14ac:dyDescent="0.25">
      <c r="B99" s="46" t="s">
        <v>208</v>
      </c>
      <c r="C99" s="52">
        <f>Design!G63</f>
        <v>1</v>
      </c>
      <c r="E99">
        <v>1E-3</v>
      </c>
      <c r="F99">
        <f>C99*E99</f>
        <v>1E-3</v>
      </c>
    </row>
    <row r="100" spans="2:6" x14ac:dyDescent="0.25">
      <c r="B100" s="39"/>
    </row>
    <row r="101" spans="2:6" x14ac:dyDescent="0.25">
      <c r="B101" s="39" t="s">
        <v>209</v>
      </c>
      <c r="C101">
        <f>C.outb_derated+C.outhf_derated</f>
        <v>2.1206999999999999E-4</v>
      </c>
      <c r="E101">
        <v>1</v>
      </c>
      <c r="F101">
        <f>C101*E101</f>
        <v>2.1206999999999999E-4</v>
      </c>
    </row>
    <row r="102" spans="2:6" x14ac:dyDescent="0.25">
      <c r="B102" s="39" t="s">
        <v>210</v>
      </c>
      <c r="C102">
        <f>(V.supply_max-V.load)/L.out*V.load/V.supply_max/f.sw</f>
        <v>0.31565656565656569</v>
      </c>
      <c r="E102">
        <v>1</v>
      </c>
      <c r="F102">
        <f>C102*E102</f>
        <v>0.31565656565656569</v>
      </c>
    </row>
    <row r="103" spans="2:6" x14ac:dyDescent="0.25">
      <c r="B103" s="39" t="s">
        <v>212</v>
      </c>
      <c r="C103">
        <f>dI.out_max/SQRT(12)</f>
        <v>9.1122201576645495E-2</v>
      </c>
      <c r="E103">
        <v>1</v>
      </c>
      <c r="F103">
        <f>C103*E103</f>
        <v>9.1122201576645495E-2</v>
      </c>
    </row>
    <row r="105" spans="2:6" x14ac:dyDescent="0.25">
      <c r="B105" s="39" t="s">
        <v>211</v>
      </c>
      <c r="C105">
        <f>(V.supply_max-V.load)/L.out*V.load/V.supply_max/f.sw*SQRT((1/8/f.sw/C.outtotal_derated)^2+(R.esrb)^2)*dI.out_max_rms</f>
        <v>1.4827142578378532E-4</v>
      </c>
      <c r="E105">
        <v>1</v>
      </c>
      <c r="F105">
        <f>C105*E105</f>
        <v>1.4827142578378532E-4</v>
      </c>
    </row>
    <row r="107" spans="2:6" x14ac:dyDescent="0.25">
      <c r="B107" t="s">
        <v>215</v>
      </c>
      <c r="C107">
        <f>(-2*V.load+SQRT((2*V.load)^2+4*(L.out*I.load^2/(C.outtotal_derated))))/2</f>
        <v>3.3085007501522767E-2</v>
      </c>
      <c r="E107">
        <v>1</v>
      </c>
      <c r="F107">
        <f>C107*E107</f>
        <v>3.3085007501522767E-2</v>
      </c>
    </row>
    <row r="108" spans="2:6" x14ac:dyDescent="0.25">
      <c r="B108" t="s">
        <v>216</v>
      </c>
      <c r="C108">
        <f>L.out*I.load^2/(2*V.load*C.outtotal_derated)</f>
        <v>3.3108297240272935E-2</v>
      </c>
      <c r="E108">
        <v>1</v>
      </c>
      <c r="F108">
        <f>C108*E108</f>
        <v>3.3108297240272935E-2</v>
      </c>
    </row>
    <row r="109" spans="2:6" x14ac:dyDescent="0.25">
      <c r="B109" t="s">
        <v>213</v>
      </c>
      <c r="C109">
        <f>MAX(C107:C108)</f>
        <v>3.3108297240272935E-2</v>
      </c>
      <c r="E109">
        <v>1</v>
      </c>
      <c r="F109">
        <f>C109*E109</f>
        <v>3.3108297240272935E-2</v>
      </c>
    </row>
    <row r="110" spans="2:6" x14ac:dyDescent="0.25">
      <c r="B110" s="39" t="s">
        <v>214</v>
      </c>
      <c r="C110">
        <f>I.load/(2*PI*FCROSSOVER_FOUND_CV*C.outtotal_derated)</f>
        <v>1.7705983823685332</v>
      </c>
      <c r="E110">
        <v>1</v>
      </c>
      <c r="F110">
        <f>C110*E110</f>
        <v>1.7705983823685332</v>
      </c>
    </row>
    <row r="113" spans="1:8" x14ac:dyDescent="0.25">
      <c r="A113" s="40" t="s">
        <v>217</v>
      </c>
    </row>
    <row r="114" spans="1:8" x14ac:dyDescent="0.25">
      <c r="B114" s="46" t="s">
        <v>219</v>
      </c>
      <c r="C114" s="47">
        <v>0</v>
      </c>
      <c r="E114">
        <v>1000</v>
      </c>
      <c r="F114">
        <f>C114*E114</f>
        <v>0</v>
      </c>
    </row>
    <row r="115" spans="1:8" x14ac:dyDescent="0.25">
      <c r="B115" s="46" t="s">
        <v>218</v>
      </c>
      <c r="C115">
        <f>Design!G72</f>
        <v>150</v>
      </c>
      <c r="E115">
        <v>1000</v>
      </c>
      <c r="F115">
        <f>C115*E115</f>
        <v>150000</v>
      </c>
    </row>
    <row r="116" spans="1:8" x14ac:dyDescent="0.25">
      <c r="B116" s="38" t="s">
        <v>221</v>
      </c>
      <c r="C116">
        <v>0.8</v>
      </c>
      <c r="E116">
        <v>1</v>
      </c>
      <c r="F116">
        <f>C116*E116</f>
        <v>0.8</v>
      </c>
    </row>
    <row r="117" spans="1:8" x14ac:dyDescent="0.25">
      <c r="B117" s="37" t="s">
        <v>220</v>
      </c>
      <c r="C117">
        <f>V.vref*(R.fbt+R.lp)/(V.load-V.vref)</f>
        <v>5286.3436123348019</v>
      </c>
      <c r="E117">
        <v>1</v>
      </c>
      <c r="F117">
        <f>C117*E117</f>
        <v>5286.3436123348019</v>
      </c>
    </row>
    <row r="118" spans="1:8" x14ac:dyDescent="0.25">
      <c r="B118" s="38" t="s">
        <v>409</v>
      </c>
      <c r="C118" s="50">
        <v>1.9999999999999999E-11</v>
      </c>
      <c r="E118">
        <v>1</v>
      </c>
      <c r="F118">
        <f>C118*E118</f>
        <v>1.9999999999999999E-11</v>
      </c>
      <c r="G118" t="s">
        <v>410</v>
      </c>
      <c r="H118" t="s">
        <v>542</v>
      </c>
    </row>
    <row r="119" spans="1:8" x14ac:dyDescent="0.25">
      <c r="B119" t="s">
        <v>480</v>
      </c>
      <c r="C119">
        <f>IF(C117=5000,0,(5000*C117)/(C117-5000))</f>
        <v>92307.692307692254</v>
      </c>
      <c r="E119">
        <v>1</v>
      </c>
      <c r="F119">
        <f>IF(C119*E119&gt;0,C119*E119,10000000)</f>
        <v>92307.692307692254</v>
      </c>
    </row>
    <row r="120" spans="1:8" x14ac:dyDescent="0.25">
      <c r="A120" s="40" t="s">
        <v>222</v>
      </c>
    </row>
    <row r="121" spans="1:8" x14ac:dyDescent="0.25">
      <c r="A121" s="39"/>
      <c r="B121" s="38" t="s">
        <v>419</v>
      </c>
      <c r="C121">
        <f>100000000</f>
        <v>100000000</v>
      </c>
      <c r="E121">
        <v>1</v>
      </c>
      <c r="F121">
        <f>C121*E121</f>
        <v>100000000</v>
      </c>
    </row>
    <row r="122" spans="1:8" x14ac:dyDescent="0.25">
      <c r="A122" s="39"/>
      <c r="B122" s="38" t="s">
        <v>420</v>
      </c>
      <c r="C122">
        <f>0.000000000002</f>
        <v>2E-12</v>
      </c>
      <c r="E122">
        <v>1</v>
      </c>
      <c r="F122">
        <f>C122*E122</f>
        <v>2E-12</v>
      </c>
    </row>
    <row r="123" spans="1:8" x14ac:dyDescent="0.25">
      <c r="B123" s="38" t="s">
        <v>224</v>
      </c>
      <c r="C123">
        <v>1E-3</v>
      </c>
      <c r="E123">
        <v>1</v>
      </c>
      <c r="F123">
        <f t="shared" ref="F123:F132" si="7">C123*E123</f>
        <v>1E-3</v>
      </c>
    </row>
    <row r="124" spans="1:8" x14ac:dyDescent="0.25">
      <c r="B124" s="37" t="s">
        <v>223</v>
      </c>
      <c r="C124">
        <f>f.cross_desired/(V.vref/V.load*GM/R.s/A.s_typ/2/PI/C.outtotal_derated)</f>
        <v>43838.421935951999</v>
      </c>
      <c r="E124">
        <v>1</v>
      </c>
      <c r="F124">
        <f t="shared" si="7"/>
        <v>43838.421935951999</v>
      </c>
    </row>
    <row r="125" spans="1:8" x14ac:dyDescent="0.25">
      <c r="B125" s="37" t="s">
        <v>225</v>
      </c>
      <c r="C125">
        <f>1/(2*PI*f.cross_desired*R.comp_desired/10)</f>
        <v>1.2966037649060583E-9</v>
      </c>
      <c r="E125">
        <v>1</v>
      </c>
      <c r="F125">
        <f t="shared" si="7"/>
        <v>1.2966037649060583E-9</v>
      </c>
    </row>
    <row r="126" spans="1:8" x14ac:dyDescent="0.25">
      <c r="B126" s="37" t="s">
        <v>226</v>
      </c>
      <c r="C126">
        <f>C.outb_derated*R.esrb/R.comp_desired</f>
        <v>2.4179702489032603E-11</v>
      </c>
      <c r="E126">
        <v>1</v>
      </c>
      <c r="F126">
        <f t="shared" si="7"/>
        <v>2.4179702489032603E-11</v>
      </c>
    </row>
    <row r="127" spans="1:8" x14ac:dyDescent="0.25">
      <c r="B127" s="37" t="s">
        <v>227</v>
      </c>
      <c r="C127">
        <f>1/(2*PI*R.comp_desired*C.comp_desired)</f>
        <v>2800</v>
      </c>
      <c r="E127">
        <v>1</v>
      </c>
      <c r="F127">
        <f t="shared" si="7"/>
        <v>2800</v>
      </c>
    </row>
    <row r="128" spans="1:8" x14ac:dyDescent="0.25">
      <c r="B128" s="37" t="s">
        <v>228</v>
      </c>
      <c r="C128">
        <f>1/(2*PI*R.comp_desired*C.comp_desired*C.hf_desired/(C.comp_desired+C.hf_desired))</f>
        <v>152946.2039652339</v>
      </c>
      <c r="E128">
        <v>1</v>
      </c>
      <c r="F128">
        <f t="shared" si="7"/>
        <v>152946.2039652339</v>
      </c>
    </row>
    <row r="129" spans="1:6" x14ac:dyDescent="0.25">
      <c r="B129" s="39"/>
    </row>
    <row r="130" spans="1:6" x14ac:dyDescent="0.25">
      <c r="B130" s="46" t="s">
        <v>229</v>
      </c>
      <c r="C130" s="47">
        <f>Design!G86</f>
        <v>5.9</v>
      </c>
      <c r="E130">
        <v>1000</v>
      </c>
      <c r="F130">
        <f t="shared" si="7"/>
        <v>5900</v>
      </c>
    </row>
    <row r="131" spans="1:6" x14ac:dyDescent="0.25">
      <c r="B131" s="46" t="s">
        <v>230</v>
      </c>
      <c r="C131" s="47">
        <f>Design!G87</f>
        <v>12</v>
      </c>
      <c r="E131">
        <f>10^-9</f>
        <v>1.0000000000000001E-9</v>
      </c>
      <c r="F131">
        <f t="shared" si="7"/>
        <v>1.2000000000000002E-8</v>
      </c>
    </row>
    <row r="132" spans="1:6" x14ac:dyDescent="0.25">
      <c r="B132" s="46" t="s">
        <v>231</v>
      </c>
      <c r="C132" s="52">
        <f>Design!G88</f>
        <v>47</v>
      </c>
      <c r="E132">
        <f>10^-12</f>
        <v>9.9999999999999998E-13</v>
      </c>
      <c r="F132">
        <f t="shared" si="7"/>
        <v>4.6999999999999999E-11</v>
      </c>
    </row>
    <row r="133" spans="1:6" x14ac:dyDescent="0.25">
      <c r="B133" s="37" t="s">
        <v>232</v>
      </c>
      <c r="C133">
        <f>1/(2*PI*R.comp*C.comp)</f>
        <v>2247.9516412874</v>
      </c>
      <c r="E133">
        <v>1</v>
      </c>
      <c r="F133">
        <f>C133*E133</f>
        <v>2247.9516412874</v>
      </c>
    </row>
    <row r="134" spans="1:6" x14ac:dyDescent="0.25">
      <c r="B134" s="37" t="s">
        <v>233</v>
      </c>
      <c r="C134">
        <f>1/(2*PI*R.comp*C.comp*C.hf/(C.comp+C.hf))</f>
        <v>576193.0515444536</v>
      </c>
      <c r="E134">
        <v>1</v>
      </c>
      <c r="F134">
        <f>C134*E134</f>
        <v>576193.0515444536</v>
      </c>
    </row>
    <row r="135" spans="1:6" x14ac:dyDescent="0.25">
      <c r="B135" s="39"/>
    </row>
    <row r="136" spans="1:6" x14ac:dyDescent="0.25">
      <c r="B136" s="46" t="s">
        <v>234</v>
      </c>
      <c r="C136" s="52">
        <f>Design!G92</f>
        <v>1</v>
      </c>
      <c r="E136">
        <f>10^-12</f>
        <v>9.9999999999999998E-13</v>
      </c>
      <c r="F136">
        <f>C136*E136</f>
        <v>9.9999999999999998E-13</v>
      </c>
    </row>
    <row r="137" spans="1:6" x14ac:dyDescent="0.25">
      <c r="B137" s="46" t="s">
        <v>235</v>
      </c>
      <c r="C137" s="47">
        <f>Design!G93</f>
        <v>1000</v>
      </c>
      <c r="E137">
        <v>1000</v>
      </c>
      <c r="F137">
        <f>C137*E137</f>
        <v>1000000</v>
      </c>
    </row>
    <row r="138" spans="1:6" x14ac:dyDescent="0.25">
      <c r="B138" s="37" t="s">
        <v>236</v>
      </c>
      <c r="C138">
        <f>1/(2*PI*R.fbt*C.ff)</f>
        <v>1061033.1746876531</v>
      </c>
      <c r="E138">
        <v>1</v>
      </c>
      <c r="F138">
        <f>C138*E138</f>
        <v>1061033.1746876531</v>
      </c>
    </row>
    <row r="141" spans="1:6" x14ac:dyDescent="0.25">
      <c r="A141" s="40" t="s">
        <v>237</v>
      </c>
    </row>
    <row r="142" spans="1:6" x14ac:dyDescent="0.25">
      <c r="B142" s="38" t="s">
        <v>239</v>
      </c>
      <c r="C142">
        <f>10*10^-6</f>
        <v>9.9999999999999991E-6</v>
      </c>
      <c r="E142">
        <v>1</v>
      </c>
      <c r="F142">
        <f>C142*E142</f>
        <v>9.9999999999999991E-6</v>
      </c>
    </row>
    <row r="143" spans="1:6" x14ac:dyDescent="0.25">
      <c r="B143" s="46" t="s">
        <v>238</v>
      </c>
      <c r="C143" s="47">
        <f>Design!G98</f>
        <v>1.8</v>
      </c>
      <c r="E143">
        <v>1</v>
      </c>
      <c r="F143">
        <f>C143*E143</f>
        <v>1.8</v>
      </c>
    </row>
    <row r="144" spans="1:6" x14ac:dyDescent="0.25">
      <c r="B144" s="37" t="s">
        <v>240</v>
      </c>
      <c r="C144">
        <f>V.iset_desired/I.iset</f>
        <v>180000.00000000003</v>
      </c>
      <c r="E144">
        <v>1</v>
      </c>
      <c r="F144">
        <f>C144*E144</f>
        <v>180000.00000000003</v>
      </c>
    </row>
    <row r="145" spans="1:6" x14ac:dyDescent="0.25">
      <c r="B145" s="46" t="s">
        <v>241</v>
      </c>
      <c r="C145" s="47">
        <f>Design!G100</f>
        <v>100</v>
      </c>
      <c r="E145">
        <f>10^-9</f>
        <v>1.0000000000000001E-9</v>
      </c>
      <c r="F145">
        <f>C145*E145</f>
        <v>1.0000000000000001E-7</v>
      </c>
    </row>
    <row r="146" spans="1:6" x14ac:dyDescent="0.25">
      <c r="B146" s="37" t="s">
        <v>242</v>
      </c>
      <c r="C146">
        <f>C.iset/I.iset</f>
        <v>1.0000000000000002E-2</v>
      </c>
      <c r="E146">
        <v>1</v>
      </c>
      <c r="F146">
        <f>C146*E146</f>
        <v>1.0000000000000002E-2</v>
      </c>
    </row>
    <row r="149" spans="1:6" x14ac:dyDescent="0.25">
      <c r="A149" s="40" t="s">
        <v>243</v>
      </c>
    </row>
    <row r="150" spans="1:6" x14ac:dyDescent="0.25">
      <c r="B150" s="38" t="s">
        <v>256</v>
      </c>
      <c r="C150">
        <f>25*10^-6</f>
        <v>2.4999999999999998E-5</v>
      </c>
      <c r="E150">
        <v>1</v>
      </c>
      <c r="F150">
        <f t="shared" ref="F150:F156" si="8">C150*E150</f>
        <v>2.4999999999999998E-5</v>
      </c>
    </row>
    <row r="151" spans="1:6" x14ac:dyDescent="0.25">
      <c r="B151" s="38" t="s">
        <v>257</v>
      </c>
      <c r="C151">
        <v>2E-3</v>
      </c>
      <c r="E151">
        <v>1</v>
      </c>
      <c r="F151">
        <f t="shared" si="8"/>
        <v>2E-3</v>
      </c>
    </row>
    <row r="152" spans="1:6" x14ac:dyDescent="0.25">
      <c r="B152" s="37" t="s">
        <v>246</v>
      </c>
      <c r="C152">
        <f>V.iset_desired/(I.load*R.s*GM.imon+I.imon)</f>
        <v>17142.857142857141</v>
      </c>
      <c r="E152">
        <v>1</v>
      </c>
      <c r="F152">
        <f t="shared" si="8"/>
        <v>17142.857142857141</v>
      </c>
    </row>
    <row r="153" spans="1:6" x14ac:dyDescent="0.25">
      <c r="B153" s="37" t="s">
        <v>247</v>
      </c>
      <c r="C153">
        <f>R.load*C.outtotal_derated/R.imon_desired</f>
        <v>2.9071262500000002E-8</v>
      </c>
      <c r="E153">
        <v>1</v>
      </c>
      <c r="F153">
        <f t="shared" si="8"/>
        <v>2.9071262500000002E-8</v>
      </c>
    </row>
    <row r="154" spans="1:6" x14ac:dyDescent="0.25">
      <c r="B154" s="37" t="s">
        <v>248</v>
      </c>
      <c r="C154">
        <f>R.esrb*C.outb_derated/C.imon_desired</f>
        <v>36.462124752923955</v>
      </c>
      <c r="E154">
        <v>1</v>
      </c>
      <c r="F154">
        <f t="shared" si="8"/>
        <v>36.462124752923955</v>
      </c>
    </row>
    <row r="155" spans="1:6" x14ac:dyDescent="0.25">
      <c r="B155" s="37" t="s">
        <v>250</v>
      </c>
      <c r="C155">
        <f>1/(2*PI*R.imon_desired*C.imon_desired)</f>
        <v>319.35456117590229</v>
      </c>
      <c r="E155">
        <v>1</v>
      </c>
      <c r="F155">
        <f t="shared" si="8"/>
        <v>319.35456117590229</v>
      </c>
    </row>
    <row r="156" spans="1:6" x14ac:dyDescent="0.25">
      <c r="B156" s="37" t="s">
        <v>249</v>
      </c>
      <c r="C156">
        <f>1/(2*PI*R.imonhf_desired*C.imon_desired)</f>
        <v>150146.20396523393</v>
      </c>
      <c r="E156">
        <v>1</v>
      </c>
      <c r="F156">
        <f t="shared" si="8"/>
        <v>150146.20396523393</v>
      </c>
    </row>
    <row r="158" spans="1:6" x14ac:dyDescent="0.25">
      <c r="B158" s="46" t="s">
        <v>251</v>
      </c>
      <c r="C158" s="47">
        <f>Design!G111</f>
        <v>26.1</v>
      </c>
      <c r="E158">
        <v>1000</v>
      </c>
      <c r="F158">
        <f t="shared" ref="F158:F164" si="9">C158*E158</f>
        <v>26100</v>
      </c>
    </row>
    <row r="159" spans="1:6" x14ac:dyDescent="0.25">
      <c r="B159" s="46" t="s">
        <v>252</v>
      </c>
      <c r="C159" s="47">
        <f>Design!G112</f>
        <v>10</v>
      </c>
      <c r="E159">
        <f>10^-9</f>
        <v>1.0000000000000001E-9</v>
      </c>
      <c r="F159">
        <f t="shared" si="9"/>
        <v>1E-8</v>
      </c>
    </row>
    <row r="160" spans="1:6" x14ac:dyDescent="0.25">
      <c r="B160" s="46" t="s">
        <v>253</v>
      </c>
      <c r="C160" s="84">
        <f>IF(Design!G113=0,0.001,Design!G113)</f>
        <v>1E-3</v>
      </c>
      <c r="E160">
        <v>1</v>
      </c>
      <c r="F160">
        <f t="shared" si="9"/>
        <v>1E-3</v>
      </c>
    </row>
    <row r="161" spans="1:6" x14ac:dyDescent="0.25">
      <c r="B161" s="37" t="s">
        <v>255</v>
      </c>
      <c r="C161">
        <f>1/(2*PI*R.imon*C.imon)</f>
        <v>609.78918085497298</v>
      </c>
      <c r="E161">
        <v>1</v>
      </c>
      <c r="F161">
        <f t="shared" si="9"/>
        <v>609.78918085497298</v>
      </c>
    </row>
    <row r="162" spans="1:6" x14ac:dyDescent="0.25">
      <c r="B162" s="37" t="s">
        <v>254</v>
      </c>
      <c r="C162">
        <f>1/(2*PI*R.imonhf*C.imon)</f>
        <v>15915497620.314795</v>
      </c>
      <c r="E162">
        <v>1</v>
      </c>
      <c r="F162">
        <f t="shared" si="9"/>
        <v>15915497620.314795</v>
      </c>
    </row>
    <row r="164" spans="1:6" x14ac:dyDescent="0.25">
      <c r="B164" t="s">
        <v>259</v>
      </c>
      <c r="C164">
        <f>R.imon*I.imon</f>
        <v>0.65249999999999997</v>
      </c>
      <c r="E164">
        <v>1</v>
      </c>
      <c r="F164">
        <f t="shared" si="9"/>
        <v>0.65249999999999997</v>
      </c>
    </row>
    <row r="166" spans="1:6" x14ac:dyDescent="0.25">
      <c r="A166" s="40" t="s">
        <v>258</v>
      </c>
    </row>
    <row r="167" spans="1:6" x14ac:dyDescent="0.25">
      <c r="A167" s="39"/>
      <c r="B167" s="38" t="s">
        <v>337</v>
      </c>
      <c r="C167">
        <v>3</v>
      </c>
      <c r="E167">
        <v>1</v>
      </c>
      <c r="F167">
        <f t="shared" ref="F167:F172" si="10">C167*E167</f>
        <v>3</v>
      </c>
    </row>
    <row r="168" spans="1:6" x14ac:dyDescent="0.25">
      <c r="A168" s="39"/>
      <c r="B168" s="38" t="s">
        <v>338</v>
      </c>
      <c r="C168">
        <v>0.75</v>
      </c>
      <c r="E168">
        <v>1</v>
      </c>
      <c r="F168">
        <f t="shared" si="10"/>
        <v>0.75</v>
      </c>
    </row>
    <row r="169" spans="1:6" x14ac:dyDescent="0.25">
      <c r="A169" s="39"/>
      <c r="B169" s="38" t="s">
        <v>339</v>
      </c>
      <c r="C169">
        <v>3</v>
      </c>
      <c r="E169">
        <v>1</v>
      </c>
      <c r="F169">
        <f t="shared" si="10"/>
        <v>3</v>
      </c>
    </row>
    <row r="170" spans="1:6" x14ac:dyDescent="0.25">
      <c r="A170" s="39"/>
      <c r="B170" s="38" t="s">
        <v>340</v>
      </c>
      <c r="C170">
        <v>0.75</v>
      </c>
      <c r="E170">
        <v>1</v>
      </c>
      <c r="F170">
        <f t="shared" si="10"/>
        <v>0.75</v>
      </c>
    </row>
    <row r="171" spans="1:6" x14ac:dyDescent="0.25">
      <c r="A171" s="39"/>
      <c r="B171" s="38" t="s">
        <v>341</v>
      </c>
      <c r="C171">
        <f>25*10^-9</f>
        <v>2.5000000000000002E-8</v>
      </c>
      <c r="E171">
        <v>1</v>
      </c>
      <c r="F171">
        <f t="shared" si="10"/>
        <v>2.5000000000000002E-8</v>
      </c>
    </row>
    <row r="172" spans="1:6" x14ac:dyDescent="0.25">
      <c r="A172" s="39"/>
      <c r="B172" s="38" t="s">
        <v>342</v>
      </c>
      <c r="C172">
        <f>35*10^-9</f>
        <v>3.5000000000000002E-8</v>
      </c>
      <c r="E172">
        <v>1</v>
      </c>
      <c r="F172">
        <f t="shared" si="10"/>
        <v>3.5000000000000002E-8</v>
      </c>
    </row>
    <row r="173" spans="1:6" x14ac:dyDescent="0.25">
      <c r="B173" s="46" t="s">
        <v>178</v>
      </c>
      <c r="C173">
        <f>Design!F124</f>
        <v>0.5</v>
      </c>
      <c r="E173">
        <v>1E-3</v>
      </c>
      <c r="F173">
        <f>C173*E173</f>
        <v>5.0000000000000001E-4</v>
      </c>
    </row>
    <row r="174" spans="1:6" x14ac:dyDescent="0.25">
      <c r="B174" t="s">
        <v>179</v>
      </c>
      <c r="C174">
        <f>R.hs25*((150+275)/300)^2.3</f>
        <v>1.1140011972742142E-3</v>
      </c>
      <c r="E174">
        <v>1</v>
      </c>
      <c r="F174">
        <f>C174*E174</f>
        <v>1.1140011972742142E-3</v>
      </c>
    </row>
    <row r="175" spans="1:6" x14ac:dyDescent="0.25">
      <c r="B175" s="46" t="s">
        <v>260</v>
      </c>
      <c r="C175" s="52">
        <f>Design!F125</f>
        <v>11</v>
      </c>
      <c r="E175">
        <f>10^-9</f>
        <v>1.0000000000000001E-9</v>
      </c>
      <c r="F175">
        <f t="shared" ref="F175:F187" si="11">C175*E175</f>
        <v>1.1000000000000001E-8</v>
      </c>
    </row>
    <row r="176" spans="1:6" x14ac:dyDescent="0.25">
      <c r="B176" s="46" t="s">
        <v>261</v>
      </c>
      <c r="C176" s="52">
        <f>Design!F126</f>
        <v>3</v>
      </c>
      <c r="E176">
        <f>10^-9</f>
        <v>1.0000000000000001E-9</v>
      </c>
      <c r="F176">
        <f t="shared" si="11"/>
        <v>3.0000000000000004E-9</v>
      </c>
    </row>
    <row r="177" spans="2:6" x14ac:dyDescent="0.25">
      <c r="B177" s="46" t="s">
        <v>262</v>
      </c>
      <c r="C177" s="52">
        <f>Design!F127</f>
        <v>5</v>
      </c>
      <c r="E177">
        <f>10^-9</f>
        <v>1.0000000000000001E-9</v>
      </c>
      <c r="F177">
        <f t="shared" si="11"/>
        <v>5.0000000000000001E-9</v>
      </c>
    </row>
    <row r="178" spans="2:6" x14ac:dyDescent="0.25">
      <c r="B178" s="53" t="s">
        <v>263</v>
      </c>
      <c r="C178" s="54">
        <f>Design!F128</f>
        <v>0</v>
      </c>
      <c r="E178">
        <f>10^-9</f>
        <v>1.0000000000000001E-9</v>
      </c>
      <c r="F178">
        <f t="shared" si="11"/>
        <v>0</v>
      </c>
    </row>
    <row r="179" spans="2:6" x14ac:dyDescent="0.25">
      <c r="B179" s="46" t="s">
        <v>264</v>
      </c>
      <c r="C179" s="52">
        <f>Design!F129</f>
        <v>150</v>
      </c>
      <c r="E179">
        <f>10^-12</f>
        <v>9.9999999999999998E-13</v>
      </c>
      <c r="F179">
        <f t="shared" si="11"/>
        <v>1.5E-10</v>
      </c>
    </row>
    <row r="180" spans="2:6" x14ac:dyDescent="0.25">
      <c r="B180" s="46" t="s">
        <v>265</v>
      </c>
      <c r="C180" s="52">
        <f>Design!F130</f>
        <v>1</v>
      </c>
      <c r="E180">
        <v>1</v>
      </c>
      <c r="F180">
        <f t="shared" si="11"/>
        <v>1</v>
      </c>
    </row>
    <row r="181" spans="2:6" x14ac:dyDescent="0.25">
      <c r="B181" s="46" t="s">
        <v>266</v>
      </c>
      <c r="C181" s="52">
        <f>Design!F131</f>
        <v>52</v>
      </c>
      <c r="E181">
        <v>1</v>
      </c>
      <c r="F181">
        <f t="shared" si="11"/>
        <v>52</v>
      </c>
    </row>
    <row r="182" spans="2:6" x14ac:dyDescent="0.25">
      <c r="B182" s="46" t="s">
        <v>267</v>
      </c>
      <c r="C182" s="47">
        <f>Design!F132</f>
        <v>3.1</v>
      </c>
      <c r="E182">
        <v>1</v>
      </c>
      <c r="F182">
        <f t="shared" si="11"/>
        <v>3.1</v>
      </c>
    </row>
    <row r="183" spans="2:6" x14ac:dyDescent="0.25">
      <c r="B183" s="1" t="s">
        <v>335</v>
      </c>
      <c r="C183" s="47">
        <f>V.th_hs+I.load/g.fs_hs</f>
        <v>3.2923076923076926</v>
      </c>
      <c r="E183">
        <v>1</v>
      </c>
      <c r="F183">
        <f t="shared" si="11"/>
        <v>3.2923076923076926</v>
      </c>
    </row>
    <row r="184" spans="2:6" x14ac:dyDescent="0.25">
      <c r="B184" s="46" t="s">
        <v>268</v>
      </c>
      <c r="C184" s="52">
        <f>Design!F133</f>
        <v>0.8</v>
      </c>
      <c r="E184">
        <v>1</v>
      </c>
      <c r="F184">
        <f t="shared" si="11"/>
        <v>0.8</v>
      </c>
    </row>
    <row r="185" spans="2:6" x14ac:dyDescent="0.25">
      <c r="B185" s="53" t="s">
        <v>269</v>
      </c>
      <c r="C185" s="54">
        <f>Design!F134</f>
        <v>0</v>
      </c>
      <c r="E185">
        <f>10^-9</f>
        <v>1.0000000000000001E-9</v>
      </c>
      <c r="F185">
        <f t="shared" si="11"/>
        <v>0</v>
      </c>
    </row>
    <row r="186" spans="2:6" x14ac:dyDescent="0.25">
      <c r="B186" s="46" t="s">
        <v>270</v>
      </c>
      <c r="C186" s="52">
        <f>Design!F135</f>
        <v>62</v>
      </c>
      <c r="D186" t="s">
        <v>348</v>
      </c>
      <c r="E186">
        <v>1</v>
      </c>
      <c r="F186">
        <f t="shared" si="11"/>
        <v>62</v>
      </c>
    </row>
    <row r="187" spans="2:6" x14ac:dyDescent="0.25">
      <c r="B187" s="38" t="s">
        <v>346</v>
      </c>
      <c r="C187" s="84">
        <v>4.0000000000000001E-3</v>
      </c>
      <c r="D187" t="s">
        <v>347</v>
      </c>
      <c r="E187">
        <v>1</v>
      </c>
      <c r="F187">
        <f t="shared" si="11"/>
        <v>4.0000000000000001E-3</v>
      </c>
    </row>
    <row r="188" spans="2:6" x14ac:dyDescent="0.25">
      <c r="B188" s="39"/>
      <c r="C188" s="52"/>
    </row>
    <row r="189" spans="2:6" x14ac:dyDescent="0.25">
      <c r="B189" s="46" t="s">
        <v>176</v>
      </c>
      <c r="C189">
        <f>Design!G124</f>
        <v>0.5</v>
      </c>
      <c r="E189">
        <v>1E-3</v>
      </c>
      <c r="F189">
        <f>C189*E189</f>
        <v>5.0000000000000001E-4</v>
      </c>
    </row>
    <row r="190" spans="2:6" x14ac:dyDescent="0.25">
      <c r="B190" t="s">
        <v>177</v>
      </c>
      <c r="C190">
        <f>R.ls25*((150+275)/300)^2.3</f>
        <v>1.1140011972742142E-3</v>
      </c>
      <c r="E190">
        <v>1</v>
      </c>
      <c r="F190">
        <f>C190*E190</f>
        <v>1.1140011972742142E-3</v>
      </c>
    </row>
    <row r="191" spans="2:6" x14ac:dyDescent="0.25">
      <c r="B191" s="46" t="s">
        <v>271</v>
      </c>
      <c r="C191" s="52">
        <f>Design!G125</f>
        <v>11</v>
      </c>
      <c r="E191">
        <f>10^-9</f>
        <v>1.0000000000000001E-9</v>
      </c>
      <c r="F191">
        <f t="shared" ref="F191:F209" si="12">C191*E191</f>
        <v>1.1000000000000001E-8</v>
      </c>
    </row>
    <row r="192" spans="2:6" x14ac:dyDescent="0.25">
      <c r="B192" s="46" t="s">
        <v>272</v>
      </c>
      <c r="C192" s="52">
        <f>Design!G126</f>
        <v>3</v>
      </c>
      <c r="E192">
        <f>10^-9</f>
        <v>1.0000000000000001E-9</v>
      </c>
      <c r="F192">
        <f t="shared" si="12"/>
        <v>3.0000000000000004E-9</v>
      </c>
    </row>
    <row r="193" spans="2:6" x14ac:dyDescent="0.25">
      <c r="B193" s="46" t="s">
        <v>273</v>
      </c>
      <c r="C193" s="52">
        <f>Design!G127</f>
        <v>5</v>
      </c>
      <c r="E193">
        <f>10^-9</f>
        <v>1.0000000000000001E-9</v>
      </c>
      <c r="F193">
        <f t="shared" si="12"/>
        <v>5.0000000000000001E-9</v>
      </c>
    </row>
    <row r="194" spans="2:6" x14ac:dyDescent="0.25">
      <c r="B194" s="46" t="s">
        <v>274</v>
      </c>
      <c r="C194" s="52">
        <f>Design!G128</f>
        <v>7</v>
      </c>
      <c r="E194">
        <f>10^-9</f>
        <v>1.0000000000000001E-9</v>
      </c>
      <c r="F194">
        <f t="shared" si="12"/>
        <v>7.0000000000000006E-9</v>
      </c>
    </row>
    <row r="195" spans="2:6" x14ac:dyDescent="0.25">
      <c r="B195" s="46" t="s">
        <v>275</v>
      </c>
      <c r="C195" s="52">
        <f>Design!G129</f>
        <v>150</v>
      </c>
      <c r="E195">
        <f>10^-12</f>
        <v>9.9999999999999998E-13</v>
      </c>
      <c r="F195">
        <f t="shared" si="12"/>
        <v>1.5E-10</v>
      </c>
    </row>
    <row r="196" spans="2:6" x14ac:dyDescent="0.25">
      <c r="B196" s="46" t="s">
        <v>276</v>
      </c>
      <c r="C196" s="52">
        <f>Design!G130</f>
        <v>1</v>
      </c>
      <c r="E196">
        <v>1</v>
      </c>
      <c r="F196">
        <f t="shared" si="12"/>
        <v>1</v>
      </c>
    </row>
    <row r="197" spans="2:6" x14ac:dyDescent="0.25">
      <c r="B197" s="46" t="s">
        <v>277</v>
      </c>
      <c r="C197" s="52">
        <f>Design!G131</f>
        <v>52</v>
      </c>
      <c r="E197">
        <v>1</v>
      </c>
      <c r="F197">
        <f t="shared" si="12"/>
        <v>52</v>
      </c>
    </row>
    <row r="198" spans="2:6" x14ac:dyDescent="0.25">
      <c r="B198" s="46" t="s">
        <v>278</v>
      </c>
      <c r="C198" s="47">
        <f>Design!G132</f>
        <v>3.1</v>
      </c>
      <c r="E198">
        <v>1</v>
      </c>
      <c r="F198">
        <f t="shared" si="12"/>
        <v>3.1</v>
      </c>
    </row>
    <row r="199" spans="2:6" x14ac:dyDescent="0.25">
      <c r="B199" s="39" t="s">
        <v>336</v>
      </c>
      <c r="C199" s="47">
        <f>V.th_ls+I.load/g.fs_ls</f>
        <v>3.2923076923076926</v>
      </c>
      <c r="E199">
        <v>1</v>
      </c>
      <c r="F199">
        <f t="shared" si="12"/>
        <v>3.2923076923076926</v>
      </c>
    </row>
    <row r="200" spans="2:6" x14ac:dyDescent="0.25">
      <c r="B200" s="46" t="s">
        <v>279</v>
      </c>
      <c r="C200" s="52">
        <f>Design!G133</f>
        <v>0.8</v>
      </c>
      <c r="E200">
        <v>1</v>
      </c>
      <c r="F200">
        <f t="shared" si="12"/>
        <v>0.8</v>
      </c>
    </row>
    <row r="201" spans="2:6" x14ac:dyDescent="0.25">
      <c r="B201" s="46" t="s">
        <v>280</v>
      </c>
      <c r="C201" s="52">
        <f>Design!G134</f>
        <v>41</v>
      </c>
      <c r="E201">
        <f>10^-9</f>
        <v>1.0000000000000001E-9</v>
      </c>
      <c r="F201">
        <f t="shared" si="12"/>
        <v>4.1000000000000003E-8</v>
      </c>
    </row>
    <row r="202" spans="2:6" x14ac:dyDescent="0.25">
      <c r="B202" s="46" t="s">
        <v>281</v>
      </c>
      <c r="C202" s="52">
        <f>Design!G135</f>
        <v>62</v>
      </c>
      <c r="E202">
        <v>1</v>
      </c>
      <c r="F202">
        <f t="shared" si="12"/>
        <v>62</v>
      </c>
    </row>
    <row r="203" spans="2:6" x14ac:dyDescent="0.25">
      <c r="B203" s="38" t="s">
        <v>349</v>
      </c>
      <c r="C203" s="84">
        <v>4.0000000000000001E-3</v>
      </c>
      <c r="D203" t="s">
        <v>347</v>
      </c>
      <c r="E203">
        <v>1</v>
      </c>
      <c r="F203">
        <f t="shared" si="12"/>
        <v>4.0000000000000001E-3</v>
      </c>
    </row>
    <row r="205" spans="2:6" x14ac:dyDescent="0.25">
      <c r="B205" s="46" t="s">
        <v>283</v>
      </c>
      <c r="C205">
        <f>Design!G137</f>
        <v>0</v>
      </c>
      <c r="E205">
        <v>1</v>
      </c>
      <c r="F205">
        <f>IF(C205*E205=0,4444,C205*E205)</f>
        <v>4444</v>
      </c>
    </row>
    <row r="206" spans="2:6" x14ac:dyDescent="0.25">
      <c r="B206" s="46" t="s">
        <v>282</v>
      </c>
      <c r="C206">
        <f>Design!G138</f>
        <v>0</v>
      </c>
      <c r="E206">
        <f>10^-9</f>
        <v>1.0000000000000001E-9</v>
      </c>
      <c r="F206">
        <f>IF(C206*E206=0, 4444, C206*E206)</f>
        <v>4444</v>
      </c>
    </row>
    <row r="207" spans="2:6" x14ac:dyDescent="0.25">
      <c r="B207" s="46" t="s">
        <v>360</v>
      </c>
      <c r="C207">
        <f>IF(Design!G142=STD_VAL!C11,STD_VAL!D11,IF(Design!G142=STD_VAL!C12,STD_VAL!D12,444))</f>
        <v>1</v>
      </c>
      <c r="E207">
        <v>1</v>
      </c>
      <c r="F207">
        <f>IF(C207*E207=0, 4444, C207*E207)</f>
        <v>1</v>
      </c>
    </row>
    <row r="208" spans="2:6" x14ac:dyDescent="0.25">
      <c r="B208" s="46" t="s">
        <v>326</v>
      </c>
      <c r="C208">
        <f>Design!G143</f>
        <v>100</v>
      </c>
      <c r="E208">
        <v>1</v>
      </c>
      <c r="F208">
        <f t="shared" si="12"/>
        <v>100</v>
      </c>
    </row>
    <row r="209" spans="1:6" x14ac:dyDescent="0.25">
      <c r="B209" s="39" t="s">
        <v>497</v>
      </c>
      <c r="C209">
        <f>f.sw*(Q.g_ls+Q.g_hs)</f>
        <v>1.034E-2</v>
      </c>
      <c r="E209">
        <v>1</v>
      </c>
      <c r="F209">
        <f t="shared" si="12"/>
        <v>1.034E-2</v>
      </c>
    </row>
    <row r="210" spans="1:6" x14ac:dyDescent="0.25">
      <c r="B210" s="46" t="s">
        <v>370</v>
      </c>
      <c r="F210">
        <v>1.7</v>
      </c>
    </row>
    <row r="211" spans="1:6" x14ac:dyDescent="0.25">
      <c r="B211" s="39" t="s">
        <v>332</v>
      </c>
      <c r="C211">
        <f>(Q.gd_hs+Q.gs_hs/2)*(R.drv_hs_source+R.g_hs)/(VCC-V.sp_hs)*Trf_CorrectionFactor</f>
        <v>1.0087136929460582E-8</v>
      </c>
      <c r="E211">
        <v>1</v>
      </c>
      <c r="F211">
        <f>C211*E211</f>
        <v>1.0087136929460582E-8</v>
      </c>
    </row>
    <row r="212" spans="1:6" x14ac:dyDescent="0.25">
      <c r="B212" s="39" t="s">
        <v>333</v>
      </c>
      <c r="C212">
        <f>(Q.gd_hs+Q.gs_hs/2)*(R.drv_hs_sink+R.g_hs)/(V.sp_hs)*Trf_CorrectionFactor</f>
        <v>4.9699182242990653E-9</v>
      </c>
      <c r="E212">
        <v>1</v>
      </c>
      <c r="F212">
        <f>C212*E212</f>
        <v>4.9699182242990653E-9</v>
      </c>
    </row>
    <row r="214" spans="1:6" x14ac:dyDescent="0.25">
      <c r="B214" s="39" t="s">
        <v>459</v>
      </c>
      <c r="C214" s="47">
        <f>MAX(V.sp_ls,V.sp_hs)</f>
        <v>3.2923076923076926</v>
      </c>
      <c r="E214">
        <v>1</v>
      </c>
      <c r="F214">
        <f>C214*E214</f>
        <v>3.2923076923076926</v>
      </c>
    </row>
    <row r="215" spans="1:6" x14ac:dyDescent="0.25">
      <c r="B215" s="39" t="s">
        <v>505</v>
      </c>
      <c r="C215" s="47">
        <f>V.th_hs+100/g.fs_hs</f>
        <v>5.023076923076923</v>
      </c>
      <c r="E215">
        <v>1</v>
      </c>
      <c r="F215">
        <f>C215*E215</f>
        <v>5.023076923076923</v>
      </c>
    </row>
    <row r="216" spans="1:6" x14ac:dyDescent="0.25">
      <c r="B216" s="39" t="s">
        <v>506</v>
      </c>
      <c r="C216" s="47">
        <f>V.th_ls+100/g.fs_ls</f>
        <v>5.023076923076923</v>
      </c>
      <c r="E216">
        <v>1</v>
      </c>
      <c r="F216">
        <f>C216*E216</f>
        <v>5.023076923076923</v>
      </c>
    </row>
    <row r="217" spans="1:6" x14ac:dyDescent="0.25">
      <c r="B217" s="39" t="s">
        <v>507</v>
      </c>
      <c r="C217" s="47">
        <f>MAX(V.sp_hs_100A,V.sp_ls_100A)</f>
        <v>5.023076923076923</v>
      </c>
      <c r="E217">
        <v>1</v>
      </c>
      <c r="F217">
        <f>C217*E217</f>
        <v>5.023076923076923</v>
      </c>
    </row>
    <row r="218" spans="1:6" x14ac:dyDescent="0.25">
      <c r="B218" s="39"/>
      <c r="C218" s="47"/>
    </row>
    <row r="219" spans="1:6" x14ac:dyDescent="0.25">
      <c r="A219" t="s">
        <v>503</v>
      </c>
      <c r="B219" s="39" t="s">
        <v>501</v>
      </c>
      <c r="C219" s="47">
        <f>C175</f>
        <v>11</v>
      </c>
      <c r="E219">
        <f>10^-9</f>
        <v>1.0000000000000001E-9</v>
      </c>
      <c r="F219">
        <f>C219*E219</f>
        <v>1.1000000000000001E-8</v>
      </c>
    </row>
    <row r="220" spans="1:6" x14ac:dyDescent="0.25">
      <c r="A220" t="s">
        <v>504</v>
      </c>
      <c r="B220" s="39" t="s">
        <v>502</v>
      </c>
      <c r="C220" s="47">
        <f>C219*10</f>
        <v>110</v>
      </c>
      <c r="E220">
        <f>10^-9</f>
        <v>1.0000000000000001E-9</v>
      </c>
      <c r="F220">
        <f>C220*E220</f>
        <v>1.1000000000000001E-7</v>
      </c>
    </row>
    <row r="221" spans="1:6" x14ac:dyDescent="0.25">
      <c r="B221" s="39" t="s">
        <v>511</v>
      </c>
      <c r="C221" s="50">
        <f>(Q.g_ls+Q.g_hs)*f.sw*10*10^-6/2</f>
        <v>5.17E-8</v>
      </c>
      <c r="E221">
        <v>1</v>
      </c>
      <c r="F221">
        <f>C221*E221</f>
        <v>5.17E-8</v>
      </c>
    </row>
    <row r="222" spans="1:6" x14ac:dyDescent="0.25">
      <c r="A222" s="40" t="s">
        <v>481</v>
      </c>
    </row>
    <row r="223" spans="1:6" x14ac:dyDescent="0.25">
      <c r="B223" t="s">
        <v>327</v>
      </c>
      <c r="C223">
        <f>10*10^-6</f>
        <v>9.9999999999999991E-6</v>
      </c>
      <c r="E223">
        <v>1</v>
      </c>
      <c r="F223">
        <f>C223*E223</f>
        <v>9.9999999999999991E-6</v>
      </c>
    </row>
    <row r="224" spans="1:6" x14ac:dyDescent="0.25">
      <c r="B224" t="s">
        <v>328</v>
      </c>
      <c r="C224">
        <v>1E-3</v>
      </c>
      <c r="E224">
        <v>1</v>
      </c>
      <c r="F224">
        <f>C224*E224</f>
        <v>1E-3</v>
      </c>
    </row>
    <row r="226" spans="2:6" x14ac:dyDescent="0.25">
      <c r="B226" t="s">
        <v>482</v>
      </c>
      <c r="C226">
        <f>Design!G149</f>
        <v>50</v>
      </c>
      <c r="E226" s="50">
        <v>1E-3</v>
      </c>
      <c r="F226">
        <f>C226*E226</f>
        <v>0.05</v>
      </c>
    </row>
    <row r="227" spans="2:6" x14ac:dyDescent="0.25">
      <c r="B227" t="s">
        <v>483</v>
      </c>
      <c r="C227">
        <f>I.load*D.on_min_ideal*(1-D.on_min_ideal)/(V.in_ripple_required*f.sw)</f>
        <v>8.6805555555555708E-6</v>
      </c>
    </row>
    <row r="228" spans="2:6" x14ac:dyDescent="0.25">
      <c r="B228" t="s">
        <v>484</v>
      </c>
      <c r="C228">
        <f>I.load*0.5*(1-0.5)/(V.in_ripple_required*f.sw)</f>
        <v>1.0638297872340425E-4</v>
      </c>
    </row>
    <row r="229" spans="2:6" x14ac:dyDescent="0.25">
      <c r="B229" s="39" t="s">
        <v>485</v>
      </c>
      <c r="C229" s="50">
        <f>MAX(C227,C228,0.00001)</f>
        <v>1.0638297872340425E-4</v>
      </c>
    </row>
    <row r="230" spans="2:6" x14ac:dyDescent="0.25">
      <c r="B230" s="39" t="s">
        <v>486</v>
      </c>
      <c r="C230">
        <f>I.load*SQRT(D.on_min_ideal*(1-D.on_min_ideal))</f>
        <v>1.4282613750835522</v>
      </c>
    </row>
    <row r="231" spans="2:6" x14ac:dyDescent="0.25">
      <c r="B231" s="39" t="s">
        <v>487</v>
      </c>
      <c r="C231">
        <f>I.load*SQRT(0.5*(1-0.5))</f>
        <v>5</v>
      </c>
    </row>
    <row r="232" spans="2:6" x14ac:dyDescent="0.25">
      <c r="B232" s="39" t="s">
        <v>488</v>
      </c>
      <c r="C232" s="148">
        <f>MAX(C231,C230)</f>
        <v>5</v>
      </c>
    </row>
    <row r="234" spans="2:6" x14ac:dyDescent="0.25">
      <c r="B234" s="39" t="s">
        <v>489</v>
      </c>
      <c r="C234">
        <f>V.in_ripple_required/I.load</f>
        <v>5.0000000000000001E-3</v>
      </c>
    </row>
    <row r="245" spans="19:24" x14ac:dyDescent="0.25">
      <c r="S245" s="56"/>
      <c r="T245" s="56"/>
      <c r="U245" s="56"/>
      <c r="W245" s="59"/>
      <c r="X245" s="56"/>
    </row>
    <row r="246" spans="19:24" x14ac:dyDescent="0.25">
      <c r="S246" s="39"/>
      <c r="T246" s="39"/>
      <c r="U246" s="39"/>
      <c r="W246" s="60"/>
      <c r="X246" s="39"/>
    </row>
    <row r="247" spans="19:24" x14ac:dyDescent="0.25">
      <c r="X247"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A83-8CC2-49E6-B9A9-22225635CA6D}">
  <sheetPr codeName="Sheet4"/>
  <dimension ref="A1:D769"/>
  <sheetViews>
    <sheetView workbookViewId="0">
      <selection activeCell="F4" sqref="F4"/>
    </sheetView>
  </sheetViews>
  <sheetFormatPr defaultRowHeight="13.2" x14ac:dyDescent="0.25"/>
  <cols>
    <col min="3" max="3" width="27.33203125" bestFit="1" customWidth="1"/>
  </cols>
  <sheetData>
    <row r="1" spans="1:4" x14ac:dyDescent="0.25">
      <c r="A1">
        <v>1</v>
      </c>
    </row>
    <row r="2" spans="1:4" ht="14.4" x14ac:dyDescent="0.3">
      <c r="A2">
        <v>1.02</v>
      </c>
      <c r="C2" s="32" t="s">
        <v>104</v>
      </c>
      <c r="D2" s="32" t="s">
        <v>105</v>
      </c>
    </row>
    <row r="3" spans="1:4" x14ac:dyDescent="0.25">
      <c r="A3">
        <v>1.05</v>
      </c>
      <c r="C3" t="s">
        <v>130</v>
      </c>
      <c r="D3">
        <v>0</v>
      </c>
    </row>
    <row r="4" spans="1:4" x14ac:dyDescent="0.25">
      <c r="A4">
        <v>1.0699999999999998</v>
      </c>
      <c r="C4" t="s">
        <v>132</v>
      </c>
      <c r="D4">
        <v>1</v>
      </c>
    </row>
    <row r="5" spans="1:4" x14ac:dyDescent="0.25">
      <c r="A5">
        <v>1.1000000000000001</v>
      </c>
    </row>
    <row r="6" spans="1:4" ht="14.4" x14ac:dyDescent="0.3">
      <c r="A6">
        <v>1.1300000000000001</v>
      </c>
      <c r="C6" s="34" t="s">
        <v>5</v>
      </c>
      <c r="D6" s="32" t="s">
        <v>105</v>
      </c>
    </row>
    <row r="7" spans="1:4" x14ac:dyDescent="0.25">
      <c r="A7">
        <v>1.1499999999999999</v>
      </c>
      <c r="C7" s="33" t="s">
        <v>16</v>
      </c>
      <c r="D7">
        <v>1</v>
      </c>
    </row>
    <row r="8" spans="1:4" x14ac:dyDescent="0.25">
      <c r="A8">
        <v>1.1800000000000002</v>
      </c>
      <c r="C8" s="33" t="s">
        <v>131</v>
      </c>
      <c r="D8">
        <v>0</v>
      </c>
    </row>
    <row r="9" spans="1:4" x14ac:dyDescent="0.25">
      <c r="A9">
        <v>1.21</v>
      </c>
      <c r="C9" s="33"/>
    </row>
    <row r="10" spans="1:4" x14ac:dyDescent="0.25">
      <c r="A10">
        <v>1.24</v>
      </c>
      <c r="C10" s="55" t="s">
        <v>134</v>
      </c>
      <c r="D10" s="42" t="s">
        <v>105</v>
      </c>
    </row>
    <row r="11" spans="1:4" x14ac:dyDescent="0.25">
      <c r="A11">
        <v>1.27</v>
      </c>
      <c r="C11" s="33" t="s">
        <v>97</v>
      </c>
      <c r="D11">
        <v>1</v>
      </c>
    </row>
    <row r="12" spans="1:4" x14ac:dyDescent="0.25">
      <c r="A12">
        <v>1.3</v>
      </c>
      <c r="C12" s="33" t="s">
        <v>284</v>
      </c>
      <c r="D12">
        <v>0</v>
      </c>
    </row>
    <row r="13" spans="1:4" x14ac:dyDescent="0.25">
      <c r="A13">
        <v>1.33</v>
      </c>
    </row>
    <row r="14" spans="1:4" x14ac:dyDescent="0.25">
      <c r="A14">
        <v>1.3699999999999999</v>
      </c>
    </row>
    <row r="15" spans="1:4" x14ac:dyDescent="0.25">
      <c r="A15">
        <v>1.4</v>
      </c>
    </row>
    <row r="16" spans="1:4" x14ac:dyDescent="0.25">
      <c r="A16">
        <v>1.4300000000000002</v>
      </c>
    </row>
    <row r="17" spans="1:4" ht="14.4" x14ac:dyDescent="0.3">
      <c r="A17">
        <v>1.47</v>
      </c>
      <c r="C17" s="34"/>
      <c r="D17" s="32"/>
    </row>
    <row r="18" spans="1:4" x14ac:dyDescent="0.25">
      <c r="A18">
        <v>1.5</v>
      </c>
      <c r="C18" s="33"/>
    </row>
    <row r="19" spans="1:4" x14ac:dyDescent="0.25">
      <c r="A19">
        <v>1.54</v>
      </c>
      <c r="C19" s="33"/>
    </row>
    <row r="20" spans="1:4" x14ac:dyDescent="0.25">
      <c r="A20">
        <v>1.58</v>
      </c>
    </row>
    <row r="21" spans="1:4" ht="14.4" x14ac:dyDescent="0.3">
      <c r="A21">
        <v>1.6199999999999999</v>
      </c>
      <c r="C21" s="32"/>
      <c r="D21" s="32"/>
    </row>
    <row r="22" spans="1:4" x14ac:dyDescent="0.25">
      <c r="A22">
        <v>1.65</v>
      </c>
    </row>
    <row r="23" spans="1:4" x14ac:dyDescent="0.25">
      <c r="A23">
        <v>1.69</v>
      </c>
    </row>
    <row r="24" spans="1:4" x14ac:dyDescent="0.25">
      <c r="A24">
        <v>1.7399999999999998</v>
      </c>
    </row>
    <row r="25" spans="1:4" ht="14.4" x14ac:dyDescent="0.3">
      <c r="A25">
        <v>1.78</v>
      </c>
      <c r="C25" s="32"/>
      <c r="D25" s="32"/>
    </row>
    <row r="26" spans="1:4" x14ac:dyDescent="0.25">
      <c r="A26">
        <v>1.8199999999999998</v>
      </c>
    </row>
    <row r="27" spans="1:4" x14ac:dyDescent="0.25">
      <c r="A27">
        <v>1.8699999999999999</v>
      </c>
    </row>
    <row r="28" spans="1:4" x14ac:dyDescent="0.25">
      <c r="A28">
        <v>1.9100000000000001</v>
      </c>
    </row>
    <row r="29" spans="1:4" x14ac:dyDescent="0.25">
      <c r="A29">
        <v>1.9600000000000002</v>
      </c>
    </row>
    <row r="30" spans="1:4" x14ac:dyDescent="0.25">
      <c r="A30">
        <v>2</v>
      </c>
    </row>
    <row r="31" spans="1:4" x14ac:dyDescent="0.25">
      <c r="A31">
        <v>2.0499999999999998</v>
      </c>
    </row>
    <row r="32" spans="1:4" x14ac:dyDescent="0.25">
      <c r="A32">
        <v>2.1</v>
      </c>
    </row>
    <row r="33" spans="1:1" x14ac:dyDescent="0.25">
      <c r="A33">
        <v>2.15</v>
      </c>
    </row>
    <row r="34" spans="1:1" x14ac:dyDescent="0.25">
      <c r="A34">
        <v>2.21</v>
      </c>
    </row>
    <row r="35" spans="1:1" x14ac:dyDescent="0.25">
      <c r="A35">
        <v>2.2600000000000002</v>
      </c>
    </row>
    <row r="36" spans="1:1" x14ac:dyDescent="0.25">
      <c r="A36">
        <v>2.3199999999999998</v>
      </c>
    </row>
    <row r="37" spans="1:1" x14ac:dyDescent="0.25">
      <c r="A37">
        <v>2.37</v>
      </c>
    </row>
    <row r="38" spans="1:1" x14ac:dyDescent="0.25">
      <c r="A38">
        <v>2.4300000000000002</v>
      </c>
    </row>
    <row r="39" spans="1:1" x14ac:dyDescent="0.25">
      <c r="A39">
        <v>2.4899999999999998</v>
      </c>
    </row>
    <row r="40" spans="1:1" x14ac:dyDescent="0.25">
      <c r="A40">
        <v>2.5499999999999998</v>
      </c>
    </row>
    <row r="41" spans="1:1" x14ac:dyDescent="0.25">
      <c r="A41">
        <v>2.6100000000000003</v>
      </c>
    </row>
    <row r="42" spans="1:1" x14ac:dyDescent="0.25">
      <c r="A42">
        <v>2.67</v>
      </c>
    </row>
    <row r="43" spans="1:1" x14ac:dyDescent="0.25">
      <c r="A43">
        <v>2.7399999999999998</v>
      </c>
    </row>
    <row r="44" spans="1:1" x14ac:dyDescent="0.25">
      <c r="A44">
        <v>2.8</v>
      </c>
    </row>
    <row r="45" spans="1:1" x14ac:dyDescent="0.25">
      <c r="A45">
        <v>2.87</v>
      </c>
    </row>
    <row r="46" spans="1:1" x14ac:dyDescent="0.25">
      <c r="A46">
        <v>2.94</v>
      </c>
    </row>
    <row r="47" spans="1:1" x14ac:dyDescent="0.25">
      <c r="A47">
        <v>3.0100000000000002</v>
      </c>
    </row>
    <row r="48" spans="1:1" x14ac:dyDescent="0.25">
      <c r="A48">
        <v>3.09</v>
      </c>
    </row>
    <row r="49" spans="1:1" x14ac:dyDescent="0.25">
      <c r="A49">
        <v>3.16</v>
      </c>
    </row>
    <row r="50" spans="1:1" x14ac:dyDescent="0.25">
      <c r="A50">
        <v>3.2399999999999998</v>
      </c>
    </row>
    <row r="51" spans="1:1" x14ac:dyDescent="0.25">
      <c r="A51">
        <v>3.3200000000000003</v>
      </c>
    </row>
    <row r="52" spans="1:1" x14ac:dyDescent="0.25">
      <c r="A52">
        <v>3.4</v>
      </c>
    </row>
    <row r="53" spans="1:1" x14ac:dyDescent="0.25">
      <c r="A53">
        <v>3.4799999999999995</v>
      </c>
    </row>
    <row r="54" spans="1:1" x14ac:dyDescent="0.25">
      <c r="A54">
        <v>3.5700000000000003</v>
      </c>
    </row>
    <row r="55" spans="1:1" x14ac:dyDescent="0.25">
      <c r="A55">
        <v>3.65</v>
      </c>
    </row>
    <row r="56" spans="1:1" x14ac:dyDescent="0.25">
      <c r="A56">
        <v>3.7399999999999998</v>
      </c>
    </row>
    <row r="57" spans="1:1" x14ac:dyDescent="0.25">
      <c r="A57">
        <v>3.8299999999999996</v>
      </c>
    </row>
    <row r="58" spans="1:1" x14ac:dyDescent="0.25">
      <c r="A58">
        <v>3.9200000000000004</v>
      </c>
    </row>
    <row r="59" spans="1:1" x14ac:dyDescent="0.25">
      <c r="A59">
        <v>4.0200000000000005</v>
      </c>
    </row>
    <row r="60" spans="1:1" x14ac:dyDescent="0.25">
      <c r="A60">
        <v>4.12</v>
      </c>
    </row>
    <row r="61" spans="1:1" x14ac:dyDescent="0.25">
      <c r="A61">
        <v>4.2200000000000006</v>
      </c>
    </row>
    <row r="62" spans="1:1" x14ac:dyDescent="0.25">
      <c r="A62">
        <v>4.32</v>
      </c>
    </row>
    <row r="63" spans="1:1" x14ac:dyDescent="0.25">
      <c r="A63">
        <v>4.42</v>
      </c>
    </row>
    <row r="64" spans="1:1" x14ac:dyDescent="0.25">
      <c r="A64">
        <v>4.5299999999999994</v>
      </c>
    </row>
    <row r="65" spans="1:1" x14ac:dyDescent="0.25">
      <c r="A65">
        <v>4.6399999999999997</v>
      </c>
    </row>
    <row r="66" spans="1:1" x14ac:dyDescent="0.25">
      <c r="A66">
        <v>4.75</v>
      </c>
    </row>
    <row r="67" spans="1:1" x14ac:dyDescent="0.25">
      <c r="A67">
        <v>4.87</v>
      </c>
    </row>
    <row r="68" spans="1:1" x14ac:dyDescent="0.25">
      <c r="A68">
        <v>4.99</v>
      </c>
    </row>
    <row r="69" spans="1:1" x14ac:dyDescent="0.25">
      <c r="A69">
        <v>5.1100000000000003</v>
      </c>
    </row>
    <row r="70" spans="1:1" x14ac:dyDescent="0.25">
      <c r="A70">
        <v>5.2299999999999995</v>
      </c>
    </row>
    <row r="71" spans="1:1" x14ac:dyDescent="0.25">
      <c r="A71">
        <v>5.36</v>
      </c>
    </row>
    <row r="72" spans="1:1" x14ac:dyDescent="0.25">
      <c r="A72">
        <v>5.49</v>
      </c>
    </row>
    <row r="73" spans="1:1" x14ac:dyDescent="0.25">
      <c r="A73">
        <v>5.62</v>
      </c>
    </row>
    <row r="74" spans="1:1" x14ac:dyDescent="0.25">
      <c r="A74">
        <v>5.76</v>
      </c>
    </row>
    <row r="75" spans="1:1" x14ac:dyDescent="0.25">
      <c r="A75">
        <v>5.9</v>
      </c>
    </row>
    <row r="76" spans="1:1" x14ac:dyDescent="0.25">
      <c r="A76">
        <v>6.04</v>
      </c>
    </row>
    <row r="77" spans="1:1" x14ac:dyDescent="0.25">
      <c r="A77">
        <v>6.1899999999999995</v>
      </c>
    </row>
    <row r="78" spans="1:1" x14ac:dyDescent="0.25">
      <c r="A78">
        <v>6.34</v>
      </c>
    </row>
    <row r="79" spans="1:1" x14ac:dyDescent="0.25">
      <c r="A79">
        <v>6.49</v>
      </c>
    </row>
    <row r="80" spans="1:1" x14ac:dyDescent="0.25">
      <c r="A80">
        <v>6.65</v>
      </c>
    </row>
    <row r="81" spans="1:1" x14ac:dyDescent="0.25">
      <c r="A81">
        <v>6.81</v>
      </c>
    </row>
    <row r="82" spans="1:1" x14ac:dyDescent="0.25">
      <c r="A82">
        <v>6.9799999999999995</v>
      </c>
    </row>
    <row r="83" spans="1:1" x14ac:dyDescent="0.25">
      <c r="A83">
        <v>7.15</v>
      </c>
    </row>
    <row r="84" spans="1:1" x14ac:dyDescent="0.25">
      <c r="A84">
        <v>7.32</v>
      </c>
    </row>
    <row r="85" spans="1:1" x14ac:dyDescent="0.25">
      <c r="A85">
        <v>7.5</v>
      </c>
    </row>
    <row r="86" spans="1:1" x14ac:dyDescent="0.25">
      <c r="A86">
        <v>7.68</v>
      </c>
    </row>
    <row r="87" spans="1:1" x14ac:dyDescent="0.25">
      <c r="A87">
        <v>7.87</v>
      </c>
    </row>
    <row r="88" spans="1:1" x14ac:dyDescent="0.25">
      <c r="A88">
        <v>8.0599999999999987</v>
      </c>
    </row>
    <row r="89" spans="1:1" x14ac:dyDescent="0.25">
      <c r="A89">
        <v>8.25</v>
      </c>
    </row>
    <row r="90" spans="1:1" x14ac:dyDescent="0.25">
      <c r="A90">
        <v>8.4499999999999993</v>
      </c>
    </row>
    <row r="91" spans="1:1" x14ac:dyDescent="0.25">
      <c r="A91">
        <v>8.66</v>
      </c>
    </row>
    <row r="92" spans="1:1" x14ac:dyDescent="0.25">
      <c r="A92">
        <v>8.870000000000001</v>
      </c>
    </row>
    <row r="93" spans="1:1" x14ac:dyDescent="0.25">
      <c r="A93">
        <v>9.09</v>
      </c>
    </row>
    <row r="94" spans="1:1" x14ac:dyDescent="0.25">
      <c r="A94">
        <v>9.3099999999999987</v>
      </c>
    </row>
    <row r="95" spans="1:1" x14ac:dyDescent="0.25">
      <c r="A95">
        <v>9.5299999999999994</v>
      </c>
    </row>
    <row r="96" spans="1:1" x14ac:dyDescent="0.25">
      <c r="A96">
        <v>9.76</v>
      </c>
    </row>
    <row r="97" spans="1:1" x14ac:dyDescent="0.25">
      <c r="A97">
        <f>A1*10</f>
        <v>10</v>
      </c>
    </row>
    <row r="98" spans="1:1" x14ac:dyDescent="0.25">
      <c r="A98">
        <f t="shared" ref="A98:A161" si="0">A2*10</f>
        <v>10.199999999999999</v>
      </c>
    </row>
    <row r="99" spans="1:1" x14ac:dyDescent="0.25">
      <c r="A99">
        <f t="shared" si="0"/>
        <v>10.5</v>
      </c>
    </row>
    <row r="100" spans="1:1" x14ac:dyDescent="0.25">
      <c r="A100">
        <f t="shared" si="0"/>
        <v>10.7</v>
      </c>
    </row>
    <row r="101" spans="1:1" x14ac:dyDescent="0.25">
      <c r="A101">
        <f t="shared" si="0"/>
        <v>11</v>
      </c>
    </row>
    <row r="102" spans="1:1" x14ac:dyDescent="0.25">
      <c r="A102">
        <f t="shared" si="0"/>
        <v>11.3</v>
      </c>
    </row>
    <row r="103" spans="1:1" x14ac:dyDescent="0.25">
      <c r="A103">
        <f t="shared" si="0"/>
        <v>11.5</v>
      </c>
    </row>
    <row r="104" spans="1:1" x14ac:dyDescent="0.25">
      <c r="A104">
        <f t="shared" si="0"/>
        <v>11.8</v>
      </c>
    </row>
    <row r="105" spans="1:1" x14ac:dyDescent="0.25">
      <c r="A105">
        <f t="shared" si="0"/>
        <v>12.1</v>
      </c>
    </row>
    <row r="106" spans="1:1" x14ac:dyDescent="0.25">
      <c r="A106">
        <f t="shared" si="0"/>
        <v>12.4</v>
      </c>
    </row>
    <row r="107" spans="1:1" x14ac:dyDescent="0.25">
      <c r="A107">
        <f t="shared" si="0"/>
        <v>12.7</v>
      </c>
    </row>
    <row r="108" spans="1:1" x14ac:dyDescent="0.25">
      <c r="A108">
        <f t="shared" si="0"/>
        <v>13</v>
      </c>
    </row>
    <row r="109" spans="1:1" x14ac:dyDescent="0.25">
      <c r="A109">
        <f t="shared" si="0"/>
        <v>13.3</v>
      </c>
    </row>
    <row r="110" spans="1:1" x14ac:dyDescent="0.25">
      <c r="A110">
        <f t="shared" si="0"/>
        <v>13.7</v>
      </c>
    </row>
    <row r="111" spans="1:1" x14ac:dyDescent="0.25">
      <c r="A111">
        <f t="shared" si="0"/>
        <v>14</v>
      </c>
    </row>
    <row r="112" spans="1:1" x14ac:dyDescent="0.25">
      <c r="A112">
        <f t="shared" si="0"/>
        <v>14.3</v>
      </c>
    </row>
    <row r="113" spans="1:1" x14ac:dyDescent="0.25">
      <c r="A113">
        <f t="shared" si="0"/>
        <v>14.7</v>
      </c>
    </row>
    <row r="114" spans="1:1" x14ac:dyDescent="0.25">
      <c r="A114">
        <f t="shared" si="0"/>
        <v>15</v>
      </c>
    </row>
    <row r="115" spans="1:1" x14ac:dyDescent="0.25">
      <c r="A115">
        <f t="shared" si="0"/>
        <v>15.4</v>
      </c>
    </row>
    <row r="116" spans="1:1" x14ac:dyDescent="0.25">
      <c r="A116">
        <f t="shared" si="0"/>
        <v>15.8</v>
      </c>
    </row>
    <row r="117" spans="1:1" x14ac:dyDescent="0.25">
      <c r="A117">
        <f t="shared" si="0"/>
        <v>16.2</v>
      </c>
    </row>
    <row r="118" spans="1:1" x14ac:dyDescent="0.25">
      <c r="A118">
        <f t="shared" si="0"/>
        <v>16.5</v>
      </c>
    </row>
    <row r="119" spans="1:1" x14ac:dyDescent="0.25">
      <c r="A119">
        <f t="shared" si="0"/>
        <v>16.899999999999999</v>
      </c>
    </row>
    <row r="120" spans="1:1" x14ac:dyDescent="0.25">
      <c r="A120">
        <f t="shared" si="0"/>
        <v>17.399999999999999</v>
      </c>
    </row>
    <row r="121" spans="1:1" x14ac:dyDescent="0.25">
      <c r="A121">
        <f t="shared" si="0"/>
        <v>17.8</v>
      </c>
    </row>
    <row r="122" spans="1:1" x14ac:dyDescent="0.25">
      <c r="A122">
        <f t="shared" si="0"/>
        <v>18.2</v>
      </c>
    </row>
    <row r="123" spans="1:1" x14ac:dyDescent="0.25">
      <c r="A123">
        <f t="shared" si="0"/>
        <v>18.7</v>
      </c>
    </row>
    <row r="124" spans="1:1" x14ac:dyDescent="0.25">
      <c r="A124">
        <f t="shared" si="0"/>
        <v>19.100000000000001</v>
      </c>
    </row>
    <row r="125" spans="1:1" x14ac:dyDescent="0.25">
      <c r="A125">
        <f t="shared" si="0"/>
        <v>19.600000000000001</v>
      </c>
    </row>
    <row r="126" spans="1:1" x14ac:dyDescent="0.25">
      <c r="A126">
        <f t="shared" si="0"/>
        <v>20</v>
      </c>
    </row>
    <row r="127" spans="1:1" x14ac:dyDescent="0.25">
      <c r="A127">
        <f t="shared" si="0"/>
        <v>20.5</v>
      </c>
    </row>
    <row r="128" spans="1:1" x14ac:dyDescent="0.25">
      <c r="A128">
        <f t="shared" si="0"/>
        <v>21</v>
      </c>
    </row>
    <row r="129" spans="1:1" x14ac:dyDescent="0.25">
      <c r="A129">
        <f t="shared" si="0"/>
        <v>21.5</v>
      </c>
    </row>
    <row r="130" spans="1:1" x14ac:dyDescent="0.25">
      <c r="A130">
        <f t="shared" si="0"/>
        <v>22.1</v>
      </c>
    </row>
    <row r="131" spans="1:1" x14ac:dyDescent="0.25">
      <c r="A131">
        <f t="shared" si="0"/>
        <v>22.6</v>
      </c>
    </row>
    <row r="132" spans="1:1" x14ac:dyDescent="0.25">
      <c r="A132">
        <f t="shared" si="0"/>
        <v>23.2</v>
      </c>
    </row>
    <row r="133" spans="1:1" x14ac:dyDescent="0.25">
      <c r="A133">
        <f t="shared" si="0"/>
        <v>23.700000000000003</v>
      </c>
    </row>
    <row r="134" spans="1:1" x14ac:dyDescent="0.25">
      <c r="A134">
        <f t="shared" si="0"/>
        <v>24.3</v>
      </c>
    </row>
    <row r="135" spans="1:1" x14ac:dyDescent="0.25">
      <c r="A135">
        <f t="shared" si="0"/>
        <v>24.9</v>
      </c>
    </row>
    <row r="136" spans="1:1" x14ac:dyDescent="0.25">
      <c r="A136">
        <f t="shared" si="0"/>
        <v>25.5</v>
      </c>
    </row>
    <row r="137" spans="1:1" x14ac:dyDescent="0.25">
      <c r="A137">
        <f t="shared" si="0"/>
        <v>26.1</v>
      </c>
    </row>
    <row r="138" spans="1:1" x14ac:dyDescent="0.25">
      <c r="A138">
        <f t="shared" si="0"/>
        <v>26.7</v>
      </c>
    </row>
    <row r="139" spans="1:1" x14ac:dyDescent="0.25">
      <c r="A139">
        <f t="shared" si="0"/>
        <v>27.4</v>
      </c>
    </row>
    <row r="140" spans="1:1" x14ac:dyDescent="0.25">
      <c r="A140">
        <f t="shared" si="0"/>
        <v>28</v>
      </c>
    </row>
    <row r="141" spans="1:1" x14ac:dyDescent="0.25">
      <c r="A141">
        <f t="shared" si="0"/>
        <v>28.700000000000003</v>
      </c>
    </row>
    <row r="142" spans="1:1" x14ac:dyDescent="0.25">
      <c r="A142">
        <f t="shared" si="0"/>
        <v>29.4</v>
      </c>
    </row>
    <row r="143" spans="1:1" x14ac:dyDescent="0.25">
      <c r="A143">
        <f t="shared" si="0"/>
        <v>30.1</v>
      </c>
    </row>
    <row r="144" spans="1:1" x14ac:dyDescent="0.25">
      <c r="A144">
        <f t="shared" si="0"/>
        <v>30.9</v>
      </c>
    </row>
    <row r="145" spans="1:1" x14ac:dyDescent="0.25">
      <c r="A145">
        <f t="shared" si="0"/>
        <v>31.6</v>
      </c>
    </row>
    <row r="146" spans="1:1" x14ac:dyDescent="0.25">
      <c r="A146">
        <f t="shared" si="0"/>
        <v>32.4</v>
      </c>
    </row>
    <row r="147" spans="1:1" x14ac:dyDescent="0.25">
      <c r="A147">
        <f t="shared" si="0"/>
        <v>33.200000000000003</v>
      </c>
    </row>
    <row r="148" spans="1:1" x14ac:dyDescent="0.25">
      <c r="A148">
        <f t="shared" si="0"/>
        <v>34</v>
      </c>
    </row>
    <row r="149" spans="1:1" x14ac:dyDescent="0.25">
      <c r="A149">
        <f t="shared" si="0"/>
        <v>34.799999999999997</v>
      </c>
    </row>
    <row r="150" spans="1:1" x14ac:dyDescent="0.25">
      <c r="A150">
        <f t="shared" si="0"/>
        <v>35.700000000000003</v>
      </c>
    </row>
    <row r="151" spans="1:1" x14ac:dyDescent="0.25">
      <c r="A151">
        <f t="shared" si="0"/>
        <v>36.5</v>
      </c>
    </row>
    <row r="152" spans="1:1" x14ac:dyDescent="0.25">
      <c r="A152">
        <f t="shared" si="0"/>
        <v>37.4</v>
      </c>
    </row>
    <row r="153" spans="1:1" x14ac:dyDescent="0.25">
      <c r="A153">
        <f t="shared" si="0"/>
        <v>38.299999999999997</v>
      </c>
    </row>
    <row r="154" spans="1:1" x14ac:dyDescent="0.25">
      <c r="A154">
        <f t="shared" si="0"/>
        <v>39.200000000000003</v>
      </c>
    </row>
    <row r="155" spans="1:1" x14ac:dyDescent="0.25">
      <c r="A155">
        <f t="shared" si="0"/>
        <v>40.200000000000003</v>
      </c>
    </row>
    <row r="156" spans="1:1" x14ac:dyDescent="0.25">
      <c r="A156">
        <f t="shared" si="0"/>
        <v>41.2</v>
      </c>
    </row>
    <row r="157" spans="1:1" x14ac:dyDescent="0.25">
      <c r="A157">
        <f t="shared" si="0"/>
        <v>42.2</v>
      </c>
    </row>
    <row r="158" spans="1:1" x14ac:dyDescent="0.25">
      <c r="A158">
        <f t="shared" si="0"/>
        <v>43.2</v>
      </c>
    </row>
    <row r="159" spans="1:1" x14ac:dyDescent="0.25">
      <c r="A159">
        <f t="shared" si="0"/>
        <v>44.2</v>
      </c>
    </row>
    <row r="160" spans="1:1" x14ac:dyDescent="0.25">
      <c r="A160">
        <f t="shared" si="0"/>
        <v>45.3</v>
      </c>
    </row>
    <row r="161" spans="1:1" x14ac:dyDescent="0.25">
      <c r="A161">
        <f t="shared" si="0"/>
        <v>46.4</v>
      </c>
    </row>
    <row r="162" spans="1:1" x14ac:dyDescent="0.25">
      <c r="A162">
        <f t="shared" ref="A162:A225" si="1">A66*10</f>
        <v>47.5</v>
      </c>
    </row>
    <row r="163" spans="1:1" x14ac:dyDescent="0.25">
      <c r="A163">
        <f t="shared" si="1"/>
        <v>48.7</v>
      </c>
    </row>
    <row r="164" spans="1:1" x14ac:dyDescent="0.25">
      <c r="A164">
        <f t="shared" si="1"/>
        <v>49.900000000000006</v>
      </c>
    </row>
    <row r="165" spans="1:1" x14ac:dyDescent="0.25">
      <c r="A165">
        <f t="shared" si="1"/>
        <v>51.1</v>
      </c>
    </row>
    <row r="166" spans="1:1" x14ac:dyDescent="0.25">
      <c r="A166">
        <f t="shared" si="1"/>
        <v>52.3</v>
      </c>
    </row>
    <row r="167" spans="1:1" x14ac:dyDescent="0.25">
      <c r="A167">
        <f t="shared" si="1"/>
        <v>53.6</v>
      </c>
    </row>
    <row r="168" spans="1:1" x14ac:dyDescent="0.25">
      <c r="A168">
        <f t="shared" si="1"/>
        <v>54.900000000000006</v>
      </c>
    </row>
    <row r="169" spans="1:1" x14ac:dyDescent="0.25">
      <c r="A169">
        <f t="shared" si="1"/>
        <v>56.2</v>
      </c>
    </row>
    <row r="170" spans="1:1" x14ac:dyDescent="0.25">
      <c r="A170">
        <f t="shared" si="1"/>
        <v>57.599999999999994</v>
      </c>
    </row>
    <row r="171" spans="1:1" x14ac:dyDescent="0.25">
      <c r="A171">
        <f t="shared" si="1"/>
        <v>59</v>
      </c>
    </row>
    <row r="172" spans="1:1" x14ac:dyDescent="0.25">
      <c r="A172">
        <f t="shared" si="1"/>
        <v>60.4</v>
      </c>
    </row>
    <row r="173" spans="1:1" x14ac:dyDescent="0.25">
      <c r="A173">
        <f t="shared" si="1"/>
        <v>61.899999999999991</v>
      </c>
    </row>
    <row r="174" spans="1:1" x14ac:dyDescent="0.25">
      <c r="A174">
        <f t="shared" si="1"/>
        <v>63.4</v>
      </c>
    </row>
    <row r="175" spans="1:1" x14ac:dyDescent="0.25">
      <c r="A175">
        <f t="shared" si="1"/>
        <v>64.900000000000006</v>
      </c>
    </row>
    <row r="176" spans="1:1" x14ac:dyDescent="0.25">
      <c r="A176">
        <f t="shared" si="1"/>
        <v>66.5</v>
      </c>
    </row>
    <row r="177" spans="1:1" x14ac:dyDescent="0.25">
      <c r="A177">
        <f t="shared" si="1"/>
        <v>68.099999999999994</v>
      </c>
    </row>
    <row r="178" spans="1:1" x14ac:dyDescent="0.25">
      <c r="A178">
        <f t="shared" si="1"/>
        <v>69.8</v>
      </c>
    </row>
    <row r="179" spans="1:1" x14ac:dyDescent="0.25">
      <c r="A179">
        <f t="shared" si="1"/>
        <v>71.5</v>
      </c>
    </row>
    <row r="180" spans="1:1" x14ac:dyDescent="0.25">
      <c r="A180">
        <f t="shared" si="1"/>
        <v>73.2</v>
      </c>
    </row>
    <row r="181" spans="1:1" x14ac:dyDescent="0.25">
      <c r="A181">
        <f t="shared" si="1"/>
        <v>75</v>
      </c>
    </row>
    <row r="182" spans="1:1" x14ac:dyDescent="0.25">
      <c r="A182">
        <f t="shared" si="1"/>
        <v>76.8</v>
      </c>
    </row>
    <row r="183" spans="1:1" x14ac:dyDescent="0.25">
      <c r="A183">
        <f t="shared" si="1"/>
        <v>78.7</v>
      </c>
    </row>
    <row r="184" spans="1:1" x14ac:dyDescent="0.25">
      <c r="A184">
        <f t="shared" si="1"/>
        <v>80.599999999999994</v>
      </c>
    </row>
    <row r="185" spans="1:1" x14ac:dyDescent="0.25">
      <c r="A185">
        <f t="shared" si="1"/>
        <v>82.5</v>
      </c>
    </row>
    <row r="186" spans="1:1" x14ac:dyDescent="0.25">
      <c r="A186">
        <f t="shared" si="1"/>
        <v>84.5</v>
      </c>
    </row>
    <row r="187" spans="1:1" x14ac:dyDescent="0.25">
      <c r="A187">
        <f t="shared" si="1"/>
        <v>86.6</v>
      </c>
    </row>
    <row r="188" spans="1:1" x14ac:dyDescent="0.25">
      <c r="A188">
        <f t="shared" si="1"/>
        <v>88.700000000000017</v>
      </c>
    </row>
    <row r="189" spans="1:1" x14ac:dyDescent="0.25">
      <c r="A189">
        <f t="shared" si="1"/>
        <v>90.9</v>
      </c>
    </row>
    <row r="190" spans="1:1" x14ac:dyDescent="0.25">
      <c r="A190">
        <f t="shared" si="1"/>
        <v>93.1</v>
      </c>
    </row>
    <row r="191" spans="1:1" x14ac:dyDescent="0.25">
      <c r="A191">
        <f t="shared" si="1"/>
        <v>95.3</v>
      </c>
    </row>
    <row r="192" spans="1:1" x14ac:dyDescent="0.25">
      <c r="A192">
        <f t="shared" si="1"/>
        <v>97.6</v>
      </c>
    </row>
    <row r="193" spans="1:1" x14ac:dyDescent="0.25">
      <c r="A193">
        <f t="shared" si="1"/>
        <v>100</v>
      </c>
    </row>
    <row r="194" spans="1:1" x14ac:dyDescent="0.25">
      <c r="A194">
        <f t="shared" si="1"/>
        <v>102</v>
      </c>
    </row>
    <row r="195" spans="1:1" x14ac:dyDescent="0.25">
      <c r="A195">
        <f t="shared" si="1"/>
        <v>105</v>
      </c>
    </row>
    <row r="196" spans="1:1" x14ac:dyDescent="0.25">
      <c r="A196">
        <f t="shared" si="1"/>
        <v>107</v>
      </c>
    </row>
    <row r="197" spans="1:1" x14ac:dyDescent="0.25">
      <c r="A197">
        <f t="shared" si="1"/>
        <v>110</v>
      </c>
    </row>
    <row r="198" spans="1:1" x14ac:dyDescent="0.25">
      <c r="A198">
        <f t="shared" si="1"/>
        <v>113</v>
      </c>
    </row>
    <row r="199" spans="1:1" x14ac:dyDescent="0.25">
      <c r="A199">
        <f t="shared" si="1"/>
        <v>115</v>
      </c>
    </row>
    <row r="200" spans="1:1" x14ac:dyDescent="0.25">
      <c r="A200">
        <f t="shared" si="1"/>
        <v>118</v>
      </c>
    </row>
    <row r="201" spans="1:1" x14ac:dyDescent="0.25">
      <c r="A201">
        <f t="shared" si="1"/>
        <v>121</v>
      </c>
    </row>
    <row r="202" spans="1:1" x14ac:dyDescent="0.25">
      <c r="A202">
        <f t="shared" si="1"/>
        <v>124</v>
      </c>
    </row>
    <row r="203" spans="1:1" x14ac:dyDescent="0.25">
      <c r="A203">
        <f t="shared" si="1"/>
        <v>127</v>
      </c>
    </row>
    <row r="204" spans="1:1" x14ac:dyDescent="0.25">
      <c r="A204">
        <f t="shared" si="1"/>
        <v>130</v>
      </c>
    </row>
    <row r="205" spans="1:1" x14ac:dyDescent="0.25">
      <c r="A205">
        <f t="shared" si="1"/>
        <v>133</v>
      </c>
    </row>
    <row r="206" spans="1:1" x14ac:dyDescent="0.25">
      <c r="A206">
        <f t="shared" si="1"/>
        <v>137</v>
      </c>
    </row>
    <row r="207" spans="1:1" x14ac:dyDescent="0.25">
      <c r="A207">
        <f t="shared" si="1"/>
        <v>140</v>
      </c>
    </row>
    <row r="208" spans="1:1" x14ac:dyDescent="0.25">
      <c r="A208">
        <f t="shared" si="1"/>
        <v>143</v>
      </c>
    </row>
    <row r="209" spans="1:1" x14ac:dyDescent="0.25">
      <c r="A209">
        <f t="shared" si="1"/>
        <v>147</v>
      </c>
    </row>
    <row r="210" spans="1:1" x14ac:dyDescent="0.25">
      <c r="A210">
        <f t="shared" si="1"/>
        <v>150</v>
      </c>
    </row>
    <row r="211" spans="1:1" x14ac:dyDescent="0.25">
      <c r="A211">
        <f t="shared" si="1"/>
        <v>154</v>
      </c>
    </row>
    <row r="212" spans="1:1" x14ac:dyDescent="0.25">
      <c r="A212">
        <f t="shared" si="1"/>
        <v>158</v>
      </c>
    </row>
    <row r="213" spans="1:1" x14ac:dyDescent="0.25">
      <c r="A213">
        <f t="shared" si="1"/>
        <v>162</v>
      </c>
    </row>
    <row r="214" spans="1:1" x14ac:dyDescent="0.25">
      <c r="A214">
        <f t="shared" si="1"/>
        <v>165</v>
      </c>
    </row>
    <row r="215" spans="1:1" x14ac:dyDescent="0.25">
      <c r="A215">
        <f t="shared" si="1"/>
        <v>169</v>
      </c>
    </row>
    <row r="216" spans="1:1" x14ac:dyDescent="0.25">
      <c r="A216">
        <f t="shared" si="1"/>
        <v>174</v>
      </c>
    </row>
    <row r="217" spans="1:1" x14ac:dyDescent="0.25">
      <c r="A217">
        <f t="shared" si="1"/>
        <v>178</v>
      </c>
    </row>
    <row r="218" spans="1:1" x14ac:dyDescent="0.25">
      <c r="A218">
        <f t="shared" si="1"/>
        <v>182</v>
      </c>
    </row>
    <row r="219" spans="1:1" x14ac:dyDescent="0.25">
      <c r="A219">
        <f t="shared" si="1"/>
        <v>187</v>
      </c>
    </row>
    <row r="220" spans="1:1" x14ac:dyDescent="0.25">
      <c r="A220">
        <f t="shared" si="1"/>
        <v>191</v>
      </c>
    </row>
    <row r="221" spans="1:1" x14ac:dyDescent="0.25">
      <c r="A221">
        <f t="shared" si="1"/>
        <v>196</v>
      </c>
    </row>
    <row r="222" spans="1:1" x14ac:dyDescent="0.25">
      <c r="A222">
        <f t="shared" si="1"/>
        <v>200</v>
      </c>
    </row>
    <row r="223" spans="1:1" x14ac:dyDescent="0.25">
      <c r="A223">
        <f t="shared" si="1"/>
        <v>205</v>
      </c>
    </row>
    <row r="224" spans="1:1" x14ac:dyDescent="0.25">
      <c r="A224">
        <f t="shared" si="1"/>
        <v>210</v>
      </c>
    </row>
    <row r="225" spans="1:1" x14ac:dyDescent="0.25">
      <c r="A225">
        <f t="shared" si="1"/>
        <v>215</v>
      </c>
    </row>
    <row r="226" spans="1:1" x14ac:dyDescent="0.25">
      <c r="A226">
        <f t="shared" ref="A226:A289" si="2">A130*10</f>
        <v>221</v>
      </c>
    </row>
    <row r="227" spans="1:1" x14ac:dyDescent="0.25">
      <c r="A227">
        <f t="shared" si="2"/>
        <v>226</v>
      </c>
    </row>
    <row r="228" spans="1:1" x14ac:dyDescent="0.25">
      <c r="A228">
        <f t="shared" si="2"/>
        <v>232</v>
      </c>
    </row>
    <row r="229" spans="1:1" x14ac:dyDescent="0.25">
      <c r="A229">
        <f t="shared" si="2"/>
        <v>237.00000000000003</v>
      </c>
    </row>
    <row r="230" spans="1:1" x14ac:dyDescent="0.25">
      <c r="A230">
        <f t="shared" si="2"/>
        <v>243</v>
      </c>
    </row>
    <row r="231" spans="1:1" x14ac:dyDescent="0.25">
      <c r="A231">
        <f t="shared" si="2"/>
        <v>249</v>
      </c>
    </row>
    <row r="232" spans="1:1" x14ac:dyDescent="0.25">
      <c r="A232">
        <f t="shared" si="2"/>
        <v>255</v>
      </c>
    </row>
    <row r="233" spans="1:1" x14ac:dyDescent="0.25">
      <c r="A233">
        <f t="shared" si="2"/>
        <v>261</v>
      </c>
    </row>
    <row r="234" spans="1:1" x14ac:dyDescent="0.25">
      <c r="A234">
        <f t="shared" si="2"/>
        <v>267</v>
      </c>
    </row>
    <row r="235" spans="1:1" x14ac:dyDescent="0.25">
      <c r="A235">
        <f t="shared" si="2"/>
        <v>274</v>
      </c>
    </row>
    <row r="236" spans="1:1" x14ac:dyDescent="0.25">
      <c r="A236">
        <f t="shared" si="2"/>
        <v>280</v>
      </c>
    </row>
    <row r="237" spans="1:1" x14ac:dyDescent="0.25">
      <c r="A237">
        <f t="shared" si="2"/>
        <v>287</v>
      </c>
    </row>
    <row r="238" spans="1:1" x14ac:dyDescent="0.25">
      <c r="A238">
        <f t="shared" si="2"/>
        <v>294</v>
      </c>
    </row>
    <row r="239" spans="1:1" x14ac:dyDescent="0.25">
      <c r="A239">
        <f t="shared" si="2"/>
        <v>301</v>
      </c>
    </row>
    <row r="240" spans="1:1" x14ac:dyDescent="0.25">
      <c r="A240">
        <f t="shared" si="2"/>
        <v>309</v>
      </c>
    </row>
    <row r="241" spans="1:1" x14ac:dyDescent="0.25">
      <c r="A241">
        <f t="shared" si="2"/>
        <v>316</v>
      </c>
    </row>
    <row r="242" spans="1:1" x14ac:dyDescent="0.25">
      <c r="A242">
        <f t="shared" si="2"/>
        <v>324</v>
      </c>
    </row>
    <row r="243" spans="1:1" x14ac:dyDescent="0.25">
      <c r="A243">
        <f t="shared" si="2"/>
        <v>332</v>
      </c>
    </row>
    <row r="244" spans="1:1" x14ac:dyDescent="0.25">
      <c r="A244">
        <f t="shared" si="2"/>
        <v>340</v>
      </c>
    </row>
    <row r="245" spans="1:1" x14ac:dyDescent="0.25">
      <c r="A245">
        <f t="shared" si="2"/>
        <v>348</v>
      </c>
    </row>
    <row r="246" spans="1:1" x14ac:dyDescent="0.25">
      <c r="A246">
        <f t="shared" si="2"/>
        <v>357</v>
      </c>
    </row>
    <row r="247" spans="1:1" x14ac:dyDescent="0.25">
      <c r="A247">
        <f t="shared" si="2"/>
        <v>365</v>
      </c>
    </row>
    <row r="248" spans="1:1" x14ac:dyDescent="0.25">
      <c r="A248">
        <f t="shared" si="2"/>
        <v>374</v>
      </c>
    </row>
    <row r="249" spans="1:1" x14ac:dyDescent="0.25">
      <c r="A249">
        <f t="shared" si="2"/>
        <v>383</v>
      </c>
    </row>
    <row r="250" spans="1:1" x14ac:dyDescent="0.25">
      <c r="A250">
        <f t="shared" si="2"/>
        <v>392</v>
      </c>
    </row>
    <row r="251" spans="1:1" x14ac:dyDescent="0.25">
      <c r="A251">
        <f t="shared" si="2"/>
        <v>402</v>
      </c>
    </row>
    <row r="252" spans="1:1" x14ac:dyDescent="0.25">
      <c r="A252">
        <f t="shared" si="2"/>
        <v>412</v>
      </c>
    </row>
    <row r="253" spans="1:1" x14ac:dyDescent="0.25">
      <c r="A253">
        <f t="shared" si="2"/>
        <v>422</v>
      </c>
    </row>
    <row r="254" spans="1:1" x14ac:dyDescent="0.25">
      <c r="A254">
        <f t="shared" si="2"/>
        <v>432</v>
      </c>
    </row>
    <row r="255" spans="1:1" x14ac:dyDescent="0.25">
      <c r="A255">
        <f t="shared" si="2"/>
        <v>442</v>
      </c>
    </row>
    <row r="256" spans="1:1" x14ac:dyDescent="0.25">
      <c r="A256">
        <f t="shared" si="2"/>
        <v>453</v>
      </c>
    </row>
    <row r="257" spans="1:1" x14ac:dyDescent="0.25">
      <c r="A257">
        <f t="shared" si="2"/>
        <v>464</v>
      </c>
    </row>
    <row r="258" spans="1:1" x14ac:dyDescent="0.25">
      <c r="A258">
        <f t="shared" si="2"/>
        <v>475</v>
      </c>
    </row>
    <row r="259" spans="1:1" x14ac:dyDescent="0.25">
      <c r="A259">
        <f t="shared" si="2"/>
        <v>487</v>
      </c>
    </row>
    <row r="260" spans="1:1" x14ac:dyDescent="0.25">
      <c r="A260">
        <f t="shared" si="2"/>
        <v>499.00000000000006</v>
      </c>
    </row>
    <row r="261" spans="1:1" x14ac:dyDescent="0.25">
      <c r="A261">
        <f t="shared" si="2"/>
        <v>511</v>
      </c>
    </row>
    <row r="262" spans="1:1" x14ac:dyDescent="0.25">
      <c r="A262">
        <f t="shared" si="2"/>
        <v>523</v>
      </c>
    </row>
    <row r="263" spans="1:1" x14ac:dyDescent="0.25">
      <c r="A263">
        <f t="shared" si="2"/>
        <v>536</v>
      </c>
    </row>
    <row r="264" spans="1:1" x14ac:dyDescent="0.25">
      <c r="A264">
        <f t="shared" si="2"/>
        <v>549</v>
      </c>
    </row>
    <row r="265" spans="1:1" x14ac:dyDescent="0.25">
      <c r="A265">
        <f t="shared" si="2"/>
        <v>562</v>
      </c>
    </row>
    <row r="266" spans="1:1" x14ac:dyDescent="0.25">
      <c r="A266">
        <f t="shared" si="2"/>
        <v>576</v>
      </c>
    </row>
    <row r="267" spans="1:1" x14ac:dyDescent="0.25">
      <c r="A267">
        <f t="shared" si="2"/>
        <v>590</v>
      </c>
    </row>
    <row r="268" spans="1:1" x14ac:dyDescent="0.25">
      <c r="A268">
        <f t="shared" si="2"/>
        <v>604</v>
      </c>
    </row>
    <row r="269" spans="1:1" x14ac:dyDescent="0.25">
      <c r="A269">
        <f t="shared" si="2"/>
        <v>618.99999999999989</v>
      </c>
    </row>
    <row r="270" spans="1:1" x14ac:dyDescent="0.25">
      <c r="A270">
        <f t="shared" si="2"/>
        <v>634</v>
      </c>
    </row>
    <row r="271" spans="1:1" x14ac:dyDescent="0.25">
      <c r="A271">
        <f t="shared" si="2"/>
        <v>649</v>
      </c>
    </row>
    <row r="272" spans="1:1" x14ac:dyDescent="0.25">
      <c r="A272">
        <f t="shared" si="2"/>
        <v>665</v>
      </c>
    </row>
    <row r="273" spans="1:1" x14ac:dyDescent="0.25">
      <c r="A273">
        <f t="shared" si="2"/>
        <v>681</v>
      </c>
    </row>
    <row r="274" spans="1:1" x14ac:dyDescent="0.25">
      <c r="A274">
        <f t="shared" si="2"/>
        <v>698</v>
      </c>
    </row>
    <row r="275" spans="1:1" x14ac:dyDescent="0.25">
      <c r="A275">
        <f t="shared" si="2"/>
        <v>715</v>
      </c>
    </row>
    <row r="276" spans="1:1" x14ac:dyDescent="0.25">
      <c r="A276">
        <f t="shared" si="2"/>
        <v>732</v>
      </c>
    </row>
    <row r="277" spans="1:1" x14ac:dyDescent="0.25">
      <c r="A277">
        <f t="shared" si="2"/>
        <v>750</v>
      </c>
    </row>
    <row r="278" spans="1:1" x14ac:dyDescent="0.25">
      <c r="A278">
        <f t="shared" si="2"/>
        <v>768</v>
      </c>
    </row>
    <row r="279" spans="1:1" x14ac:dyDescent="0.25">
      <c r="A279">
        <f t="shared" si="2"/>
        <v>787</v>
      </c>
    </row>
    <row r="280" spans="1:1" x14ac:dyDescent="0.25">
      <c r="A280">
        <f t="shared" si="2"/>
        <v>806</v>
      </c>
    </row>
    <row r="281" spans="1:1" x14ac:dyDescent="0.25">
      <c r="A281">
        <f t="shared" si="2"/>
        <v>825</v>
      </c>
    </row>
    <row r="282" spans="1:1" x14ac:dyDescent="0.25">
      <c r="A282">
        <f t="shared" si="2"/>
        <v>845</v>
      </c>
    </row>
    <row r="283" spans="1:1" x14ac:dyDescent="0.25">
      <c r="A283">
        <f t="shared" si="2"/>
        <v>866</v>
      </c>
    </row>
    <row r="284" spans="1:1" x14ac:dyDescent="0.25">
      <c r="A284">
        <f t="shared" si="2"/>
        <v>887.00000000000023</v>
      </c>
    </row>
    <row r="285" spans="1:1" x14ac:dyDescent="0.25">
      <c r="A285">
        <f t="shared" si="2"/>
        <v>909</v>
      </c>
    </row>
    <row r="286" spans="1:1" x14ac:dyDescent="0.25">
      <c r="A286">
        <f t="shared" si="2"/>
        <v>931</v>
      </c>
    </row>
    <row r="287" spans="1:1" x14ac:dyDescent="0.25">
      <c r="A287">
        <f t="shared" si="2"/>
        <v>953</v>
      </c>
    </row>
    <row r="288" spans="1:1" x14ac:dyDescent="0.25">
      <c r="A288">
        <f t="shared" si="2"/>
        <v>976</v>
      </c>
    </row>
    <row r="289" spans="1:1" x14ac:dyDescent="0.25">
      <c r="A289">
        <f t="shared" si="2"/>
        <v>1000</v>
      </c>
    </row>
    <row r="290" spans="1:1" x14ac:dyDescent="0.25">
      <c r="A290">
        <f t="shared" ref="A290:A353" si="3">A194*10</f>
        <v>1020</v>
      </c>
    </row>
    <row r="291" spans="1:1" x14ac:dyDescent="0.25">
      <c r="A291">
        <f t="shared" si="3"/>
        <v>1050</v>
      </c>
    </row>
    <row r="292" spans="1:1" x14ac:dyDescent="0.25">
      <c r="A292">
        <f t="shared" si="3"/>
        <v>1070</v>
      </c>
    </row>
    <row r="293" spans="1:1" x14ac:dyDescent="0.25">
      <c r="A293">
        <f t="shared" si="3"/>
        <v>1100</v>
      </c>
    </row>
    <row r="294" spans="1:1" x14ac:dyDescent="0.25">
      <c r="A294">
        <f t="shared" si="3"/>
        <v>1130</v>
      </c>
    </row>
    <row r="295" spans="1:1" x14ac:dyDescent="0.25">
      <c r="A295">
        <f t="shared" si="3"/>
        <v>1150</v>
      </c>
    </row>
    <row r="296" spans="1:1" x14ac:dyDescent="0.25">
      <c r="A296">
        <f t="shared" si="3"/>
        <v>1180</v>
      </c>
    </row>
    <row r="297" spans="1:1" x14ac:dyDescent="0.25">
      <c r="A297">
        <f t="shared" si="3"/>
        <v>1210</v>
      </c>
    </row>
    <row r="298" spans="1:1" x14ac:dyDescent="0.25">
      <c r="A298">
        <f t="shared" si="3"/>
        <v>1240</v>
      </c>
    </row>
    <row r="299" spans="1:1" x14ac:dyDescent="0.25">
      <c r="A299">
        <f t="shared" si="3"/>
        <v>1270</v>
      </c>
    </row>
    <row r="300" spans="1:1" x14ac:dyDescent="0.25">
      <c r="A300">
        <f t="shared" si="3"/>
        <v>1300</v>
      </c>
    </row>
    <row r="301" spans="1:1" x14ac:dyDescent="0.25">
      <c r="A301">
        <f t="shared" si="3"/>
        <v>1330</v>
      </c>
    </row>
    <row r="302" spans="1:1" x14ac:dyDescent="0.25">
      <c r="A302">
        <f t="shared" si="3"/>
        <v>1370</v>
      </c>
    </row>
    <row r="303" spans="1:1" x14ac:dyDescent="0.25">
      <c r="A303">
        <f t="shared" si="3"/>
        <v>1400</v>
      </c>
    </row>
    <row r="304" spans="1:1" x14ac:dyDescent="0.25">
      <c r="A304">
        <f t="shared" si="3"/>
        <v>1430</v>
      </c>
    </row>
    <row r="305" spans="1:1" x14ac:dyDescent="0.25">
      <c r="A305">
        <f t="shared" si="3"/>
        <v>1470</v>
      </c>
    </row>
    <row r="306" spans="1:1" x14ac:dyDescent="0.25">
      <c r="A306">
        <f t="shared" si="3"/>
        <v>1500</v>
      </c>
    </row>
    <row r="307" spans="1:1" x14ac:dyDescent="0.25">
      <c r="A307">
        <f t="shared" si="3"/>
        <v>1540</v>
      </c>
    </row>
    <row r="308" spans="1:1" x14ac:dyDescent="0.25">
      <c r="A308">
        <f t="shared" si="3"/>
        <v>1580</v>
      </c>
    </row>
    <row r="309" spans="1:1" x14ac:dyDescent="0.25">
      <c r="A309">
        <f t="shared" si="3"/>
        <v>1620</v>
      </c>
    </row>
    <row r="310" spans="1:1" x14ac:dyDescent="0.25">
      <c r="A310">
        <f t="shared" si="3"/>
        <v>1650</v>
      </c>
    </row>
    <row r="311" spans="1:1" x14ac:dyDescent="0.25">
      <c r="A311">
        <f t="shared" si="3"/>
        <v>1690</v>
      </c>
    </row>
    <row r="312" spans="1:1" x14ac:dyDescent="0.25">
      <c r="A312">
        <f t="shared" si="3"/>
        <v>1740</v>
      </c>
    </row>
    <row r="313" spans="1:1" x14ac:dyDescent="0.25">
      <c r="A313">
        <f t="shared" si="3"/>
        <v>1780</v>
      </c>
    </row>
    <row r="314" spans="1:1" x14ac:dyDescent="0.25">
      <c r="A314">
        <f t="shared" si="3"/>
        <v>1820</v>
      </c>
    </row>
    <row r="315" spans="1:1" x14ac:dyDescent="0.25">
      <c r="A315">
        <f t="shared" si="3"/>
        <v>1870</v>
      </c>
    </row>
    <row r="316" spans="1:1" x14ac:dyDescent="0.25">
      <c r="A316">
        <f t="shared" si="3"/>
        <v>1910</v>
      </c>
    </row>
    <row r="317" spans="1:1" x14ac:dyDescent="0.25">
      <c r="A317">
        <f t="shared" si="3"/>
        <v>1960</v>
      </c>
    </row>
    <row r="318" spans="1:1" x14ac:dyDescent="0.25">
      <c r="A318">
        <f t="shared" si="3"/>
        <v>2000</v>
      </c>
    </row>
    <row r="319" spans="1:1" x14ac:dyDescent="0.25">
      <c r="A319">
        <f t="shared" si="3"/>
        <v>2050</v>
      </c>
    </row>
    <row r="320" spans="1:1" x14ac:dyDescent="0.25">
      <c r="A320">
        <f t="shared" si="3"/>
        <v>2100</v>
      </c>
    </row>
    <row r="321" spans="1:1" x14ac:dyDescent="0.25">
      <c r="A321">
        <f t="shared" si="3"/>
        <v>2150</v>
      </c>
    </row>
    <row r="322" spans="1:1" x14ac:dyDescent="0.25">
      <c r="A322">
        <f t="shared" si="3"/>
        <v>2210</v>
      </c>
    </row>
    <row r="323" spans="1:1" x14ac:dyDescent="0.25">
      <c r="A323">
        <f t="shared" si="3"/>
        <v>2260</v>
      </c>
    </row>
    <row r="324" spans="1:1" x14ac:dyDescent="0.25">
      <c r="A324">
        <f t="shared" si="3"/>
        <v>2320</v>
      </c>
    </row>
    <row r="325" spans="1:1" x14ac:dyDescent="0.25">
      <c r="A325">
        <f t="shared" si="3"/>
        <v>2370.0000000000005</v>
      </c>
    </row>
    <row r="326" spans="1:1" x14ac:dyDescent="0.25">
      <c r="A326">
        <f t="shared" si="3"/>
        <v>2430</v>
      </c>
    </row>
    <row r="327" spans="1:1" x14ac:dyDescent="0.25">
      <c r="A327">
        <f t="shared" si="3"/>
        <v>2490</v>
      </c>
    </row>
    <row r="328" spans="1:1" x14ac:dyDescent="0.25">
      <c r="A328">
        <f t="shared" si="3"/>
        <v>2550</v>
      </c>
    </row>
    <row r="329" spans="1:1" x14ac:dyDescent="0.25">
      <c r="A329">
        <f t="shared" si="3"/>
        <v>2610</v>
      </c>
    </row>
    <row r="330" spans="1:1" x14ac:dyDescent="0.25">
      <c r="A330">
        <f t="shared" si="3"/>
        <v>2670</v>
      </c>
    </row>
    <row r="331" spans="1:1" x14ac:dyDescent="0.25">
      <c r="A331">
        <f t="shared" si="3"/>
        <v>2740</v>
      </c>
    </row>
    <row r="332" spans="1:1" x14ac:dyDescent="0.25">
      <c r="A332">
        <f t="shared" si="3"/>
        <v>2800</v>
      </c>
    </row>
    <row r="333" spans="1:1" x14ac:dyDescent="0.25">
      <c r="A333">
        <f t="shared" si="3"/>
        <v>2870</v>
      </c>
    </row>
    <row r="334" spans="1:1" x14ac:dyDescent="0.25">
      <c r="A334">
        <f t="shared" si="3"/>
        <v>2940</v>
      </c>
    </row>
    <row r="335" spans="1:1" x14ac:dyDescent="0.25">
      <c r="A335">
        <f t="shared" si="3"/>
        <v>3010</v>
      </c>
    </row>
    <row r="336" spans="1:1" x14ac:dyDescent="0.25">
      <c r="A336">
        <f t="shared" si="3"/>
        <v>3090</v>
      </c>
    </row>
    <row r="337" spans="1:1" x14ac:dyDescent="0.25">
      <c r="A337">
        <f t="shared" si="3"/>
        <v>3160</v>
      </c>
    </row>
    <row r="338" spans="1:1" x14ac:dyDescent="0.25">
      <c r="A338">
        <f t="shared" si="3"/>
        <v>3240</v>
      </c>
    </row>
    <row r="339" spans="1:1" x14ac:dyDescent="0.25">
      <c r="A339">
        <f t="shared" si="3"/>
        <v>3320</v>
      </c>
    </row>
    <row r="340" spans="1:1" x14ac:dyDescent="0.25">
      <c r="A340">
        <f t="shared" si="3"/>
        <v>3400</v>
      </c>
    </row>
    <row r="341" spans="1:1" x14ac:dyDescent="0.25">
      <c r="A341">
        <f t="shared" si="3"/>
        <v>3480</v>
      </c>
    </row>
    <row r="342" spans="1:1" x14ac:dyDescent="0.25">
      <c r="A342">
        <f t="shared" si="3"/>
        <v>3570</v>
      </c>
    </row>
    <row r="343" spans="1:1" x14ac:dyDescent="0.25">
      <c r="A343">
        <f t="shared" si="3"/>
        <v>3650</v>
      </c>
    </row>
    <row r="344" spans="1:1" x14ac:dyDescent="0.25">
      <c r="A344">
        <f t="shared" si="3"/>
        <v>3740</v>
      </c>
    </row>
    <row r="345" spans="1:1" x14ac:dyDescent="0.25">
      <c r="A345">
        <f t="shared" si="3"/>
        <v>3830</v>
      </c>
    </row>
    <row r="346" spans="1:1" x14ac:dyDescent="0.25">
      <c r="A346">
        <f t="shared" si="3"/>
        <v>3920</v>
      </c>
    </row>
    <row r="347" spans="1:1" x14ac:dyDescent="0.25">
      <c r="A347">
        <f t="shared" si="3"/>
        <v>4020</v>
      </c>
    </row>
    <row r="348" spans="1:1" x14ac:dyDescent="0.25">
      <c r="A348">
        <f t="shared" si="3"/>
        <v>4120</v>
      </c>
    </row>
    <row r="349" spans="1:1" x14ac:dyDescent="0.25">
      <c r="A349">
        <f t="shared" si="3"/>
        <v>4220</v>
      </c>
    </row>
    <row r="350" spans="1:1" x14ac:dyDescent="0.25">
      <c r="A350">
        <f t="shared" si="3"/>
        <v>4320</v>
      </c>
    </row>
    <row r="351" spans="1:1" x14ac:dyDescent="0.25">
      <c r="A351">
        <f t="shared" si="3"/>
        <v>4420</v>
      </c>
    </row>
    <row r="352" spans="1:1" x14ac:dyDescent="0.25">
      <c r="A352">
        <f t="shared" si="3"/>
        <v>4530</v>
      </c>
    </row>
    <row r="353" spans="1:1" x14ac:dyDescent="0.25">
      <c r="A353">
        <f t="shared" si="3"/>
        <v>4640</v>
      </c>
    </row>
    <row r="354" spans="1:1" x14ac:dyDescent="0.25">
      <c r="A354">
        <f t="shared" ref="A354:A417" si="4">A258*10</f>
        <v>4750</v>
      </c>
    </row>
    <row r="355" spans="1:1" x14ac:dyDescent="0.25">
      <c r="A355">
        <f t="shared" si="4"/>
        <v>4870</v>
      </c>
    </row>
    <row r="356" spans="1:1" x14ac:dyDescent="0.25">
      <c r="A356">
        <f t="shared" si="4"/>
        <v>4990.0000000000009</v>
      </c>
    </row>
    <row r="357" spans="1:1" x14ac:dyDescent="0.25">
      <c r="A357">
        <f t="shared" si="4"/>
        <v>5110</v>
      </c>
    </row>
    <row r="358" spans="1:1" x14ac:dyDescent="0.25">
      <c r="A358">
        <f t="shared" si="4"/>
        <v>5230</v>
      </c>
    </row>
    <row r="359" spans="1:1" x14ac:dyDescent="0.25">
      <c r="A359">
        <f t="shared" si="4"/>
        <v>5360</v>
      </c>
    </row>
    <row r="360" spans="1:1" x14ac:dyDescent="0.25">
      <c r="A360">
        <f t="shared" si="4"/>
        <v>5490</v>
      </c>
    </row>
    <row r="361" spans="1:1" x14ac:dyDescent="0.25">
      <c r="A361">
        <f t="shared" si="4"/>
        <v>5620</v>
      </c>
    </row>
    <row r="362" spans="1:1" x14ac:dyDescent="0.25">
      <c r="A362">
        <f t="shared" si="4"/>
        <v>5760</v>
      </c>
    </row>
    <row r="363" spans="1:1" x14ac:dyDescent="0.25">
      <c r="A363">
        <f t="shared" si="4"/>
        <v>5900</v>
      </c>
    </row>
    <row r="364" spans="1:1" x14ac:dyDescent="0.25">
      <c r="A364">
        <f t="shared" si="4"/>
        <v>6040</v>
      </c>
    </row>
    <row r="365" spans="1:1" x14ac:dyDescent="0.25">
      <c r="A365">
        <f t="shared" si="4"/>
        <v>6189.9999999999991</v>
      </c>
    </row>
    <row r="366" spans="1:1" x14ac:dyDescent="0.25">
      <c r="A366">
        <f t="shared" si="4"/>
        <v>6340</v>
      </c>
    </row>
    <row r="367" spans="1:1" x14ac:dyDescent="0.25">
      <c r="A367">
        <f t="shared" si="4"/>
        <v>6490</v>
      </c>
    </row>
    <row r="368" spans="1:1" x14ac:dyDescent="0.25">
      <c r="A368">
        <f t="shared" si="4"/>
        <v>6650</v>
      </c>
    </row>
    <row r="369" spans="1:1" x14ac:dyDescent="0.25">
      <c r="A369">
        <f t="shared" si="4"/>
        <v>6810</v>
      </c>
    </row>
    <row r="370" spans="1:1" x14ac:dyDescent="0.25">
      <c r="A370">
        <f t="shared" si="4"/>
        <v>6980</v>
      </c>
    </row>
    <row r="371" spans="1:1" x14ac:dyDescent="0.25">
      <c r="A371">
        <f t="shared" si="4"/>
        <v>7150</v>
      </c>
    </row>
    <row r="372" spans="1:1" x14ac:dyDescent="0.25">
      <c r="A372">
        <f t="shared" si="4"/>
        <v>7320</v>
      </c>
    </row>
    <row r="373" spans="1:1" x14ac:dyDescent="0.25">
      <c r="A373">
        <f t="shared" si="4"/>
        <v>7500</v>
      </c>
    </row>
    <row r="374" spans="1:1" x14ac:dyDescent="0.25">
      <c r="A374">
        <f t="shared" si="4"/>
        <v>7680</v>
      </c>
    </row>
    <row r="375" spans="1:1" x14ac:dyDescent="0.25">
      <c r="A375">
        <f t="shared" si="4"/>
        <v>7870</v>
      </c>
    </row>
    <row r="376" spans="1:1" x14ac:dyDescent="0.25">
      <c r="A376">
        <f t="shared" si="4"/>
        <v>8060</v>
      </c>
    </row>
    <row r="377" spans="1:1" x14ac:dyDescent="0.25">
      <c r="A377">
        <f t="shared" si="4"/>
        <v>8250</v>
      </c>
    </row>
    <row r="378" spans="1:1" x14ac:dyDescent="0.25">
      <c r="A378">
        <f t="shared" si="4"/>
        <v>8450</v>
      </c>
    </row>
    <row r="379" spans="1:1" x14ac:dyDescent="0.25">
      <c r="A379">
        <f t="shared" si="4"/>
        <v>8660</v>
      </c>
    </row>
    <row r="380" spans="1:1" x14ac:dyDescent="0.25">
      <c r="A380">
        <f t="shared" si="4"/>
        <v>8870.0000000000018</v>
      </c>
    </row>
    <row r="381" spans="1:1" x14ac:dyDescent="0.25">
      <c r="A381">
        <f t="shared" si="4"/>
        <v>9090</v>
      </c>
    </row>
    <row r="382" spans="1:1" x14ac:dyDescent="0.25">
      <c r="A382">
        <f t="shared" si="4"/>
        <v>9310</v>
      </c>
    </row>
    <row r="383" spans="1:1" x14ac:dyDescent="0.25">
      <c r="A383">
        <f t="shared" si="4"/>
        <v>9530</v>
      </c>
    </row>
    <row r="384" spans="1:1" x14ac:dyDescent="0.25">
      <c r="A384">
        <f t="shared" si="4"/>
        <v>9760</v>
      </c>
    </row>
    <row r="385" spans="1:1" x14ac:dyDescent="0.25">
      <c r="A385">
        <f t="shared" si="4"/>
        <v>10000</v>
      </c>
    </row>
    <row r="386" spans="1:1" x14ac:dyDescent="0.25">
      <c r="A386">
        <f t="shared" si="4"/>
        <v>10200</v>
      </c>
    </row>
    <row r="387" spans="1:1" x14ac:dyDescent="0.25">
      <c r="A387">
        <f t="shared" si="4"/>
        <v>10500</v>
      </c>
    </row>
    <row r="388" spans="1:1" x14ac:dyDescent="0.25">
      <c r="A388">
        <f t="shared" si="4"/>
        <v>10700</v>
      </c>
    </row>
    <row r="389" spans="1:1" x14ac:dyDescent="0.25">
      <c r="A389">
        <f t="shared" si="4"/>
        <v>11000</v>
      </c>
    </row>
    <row r="390" spans="1:1" x14ac:dyDescent="0.25">
      <c r="A390">
        <f t="shared" si="4"/>
        <v>11300</v>
      </c>
    </row>
    <row r="391" spans="1:1" x14ac:dyDescent="0.25">
      <c r="A391">
        <f t="shared" si="4"/>
        <v>11500</v>
      </c>
    </row>
    <row r="392" spans="1:1" x14ac:dyDescent="0.25">
      <c r="A392">
        <f t="shared" si="4"/>
        <v>11800</v>
      </c>
    </row>
    <row r="393" spans="1:1" x14ac:dyDescent="0.25">
      <c r="A393">
        <f t="shared" si="4"/>
        <v>12100</v>
      </c>
    </row>
    <row r="394" spans="1:1" x14ac:dyDescent="0.25">
      <c r="A394">
        <f t="shared" si="4"/>
        <v>12400</v>
      </c>
    </row>
    <row r="395" spans="1:1" x14ac:dyDescent="0.25">
      <c r="A395">
        <f t="shared" si="4"/>
        <v>12700</v>
      </c>
    </row>
    <row r="396" spans="1:1" x14ac:dyDescent="0.25">
      <c r="A396">
        <f t="shared" si="4"/>
        <v>13000</v>
      </c>
    </row>
    <row r="397" spans="1:1" x14ac:dyDescent="0.25">
      <c r="A397">
        <f t="shared" si="4"/>
        <v>13300</v>
      </c>
    </row>
    <row r="398" spans="1:1" x14ac:dyDescent="0.25">
      <c r="A398">
        <f t="shared" si="4"/>
        <v>13700</v>
      </c>
    </row>
    <row r="399" spans="1:1" x14ac:dyDescent="0.25">
      <c r="A399">
        <f t="shared" si="4"/>
        <v>14000</v>
      </c>
    </row>
    <row r="400" spans="1:1" x14ac:dyDescent="0.25">
      <c r="A400">
        <f t="shared" si="4"/>
        <v>14300</v>
      </c>
    </row>
    <row r="401" spans="1:1" x14ac:dyDescent="0.25">
      <c r="A401">
        <f t="shared" si="4"/>
        <v>14700</v>
      </c>
    </row>
    <row r="402" spans="1:1" x14ac:dyDescent="0.25">
      <c r="A402">
        <f t="shared" si="4"/>
        <v>15000</v>
      </c>
    </row>
    <row r="403" spans="1:1" x14ac:dyDescent="0.25">
      <c r="A403">
        <f t="shared" si="4"/>
        <v>15400</v>
      </c>
    </row>
    <row r="404" spans="1:1" x14ac:dyDescent="0.25">
      <c r="A404">
        <f t="shared" si="4"/>
        <v>15800</v>
      </c>
    </row>
    <row r="405" spans="1:1" x14ac:dyDescent="0.25">
      <c r="A405">
        <f t="shared" si="4"/>
        <v>16200</v>
      </c>
    </row>
    <row r="406" spans="1:1" x14ac:dyDescent="0.25">
      <c r="A406">
        <f t="shared" si="4"/>
        <v>16500</v>
      </c>
    </row>
    <row r="407" spans="1:1" x14ac:dyDescent="0.25">
      <c r="A407">
        <f t="shared" si="4"/>
        <v>16900</v>
      </c>
    </row>
    <row r="408" spans="1:1" x14ac:dyDescent="0.25">
      <c r="A408">
        <f t="shared" si="4"/>
        <v>17400</v>
      </c>
    </row>
    <row r="409" spans="1:1" x14ac:dyDescent="0.25">
      <c r="A409">
        <f t="shared" si="4"/>
        <v>17800</v>
      </c>
    </row>
    <row r="410" spans="1:1" x14ac:dyDescent="0.25">
      <c r="A410">
        <f t="shared" si="4"/>
        <v>18200</v>
      </c>
    </row>
    <row r="411" spans="1:1" x14ac:dyDescent="0.25">
      <c r="A411">
        <f t="shared" si="4"/>
        <v>18700</v>
      </c>
    </row>
    <row r="412" spans="1:1" x14ac:dyDescent="0.25">
      <c r="A412">
        <f t="shared" si="4"/>
        <v>19100</v>
      </c>
    </row>
    <row r="413" spans="1:1" x14ac:dyDescent="0.25">
      <c r="A413">
        <f t="shared" si="4"/>
        <v>19600</v>
      </c>
    </row>
    <row r="414" spans="1:1" x14ac:dyDescent="0.25">
      <c r="A414">
        <f t="shared" si="4"/>
        <v>20000</v>
      </c>
    </row>
    <row r="415" spans="1:1" x14ac:dyDescent="0.25">
      <c r="A415">
        <f t="shared" si="4"/>
        <v>20500</v>
      </c>
    </row>
    <row r="416" spans="1:1" x14ac:dyDescent="0.25">
      <c r="A416">
        <f t="shared" si="4"/>
        <v>21000</v>
      </c>
    </row>
    <row r="417" spans="1:1" x14ac:dyDescent="0.25">
      <c r="A417">
        <f t="shared" si="4"/>
        <v>21500</v>
      </c>
    </row>
    <row r="418" spans="1:1" x14ac:dyDescent="0.25">
      <c r="A418">
        <f t="shared" ref="A418:A481" si="5">A322*10</f>
        <v>22100</v>
      </c>
    </row>
    <row r="419" spans="1:1" x14ac:dyDescent="0.25">
      <c r="A419">
        <f t="shared" si="5"/>
        <v>22600</v>
      </c>
    </row>
    <row r="420" spans="1:1" x14ac:dyDescent="0.25">
      <c r="A420">
        <f t="shared" si="5"/>
        <v>23200</v>
      </c>
    </row>
    <row r="421" spans="1:1" x14ac:dyDescent="0.25">
      <c r="A421">
        <f t="shared" si="5"/>
        <v>23700.000000000004</v>
      </c>
    </row>
    <row r="422" spans="1:1" x14ac:dyDescent="0.25">
      <c r="A422">
        <f t="shared" si="5"/>
        <v>24300</v>
      </c>
    </row>
    <row r="423" spans="1:1" x14ac:dyDescent="0.25">
      <c r="A423">
        <f t="shared" si="5"/>
        <v>24900</v>
      </c>
    </row>
    <row r="424" spans="1:1" x14ac:dyDescent="0.25">
      <c r="A424">
        <f t="shared" si="5"/>
        <v>25500</v>
      </c>
    </row>
    <row r="425" spans="1:1" x14ac:dyDescent="0.25">
      <c r="A425">
        <f t="shared" si="5"/>
        <v>26100</v>
      </c>
    </row>
    <row r="426" spans="1:1" x14ac:dyDescent="0.25">
      <c r="A426">
        <f t="shared" si="5"/>
        <v>26700</v>
      </c>
    </row>
    <row r="427" spans="1:1" x14ac:dyDescent="0.25">
      <c r="A427">
        <f t="shared" si="5"/>
        <v>27400</v>
      </c>
    </row>
    <row r="428" spans="1:1" x14ac:dyDescent="0.25">
      <c r="A428">
        <f t="shared" si="5"/>
        <v>28000</v>
      </c>
    </row>
    <row r="429" spans="1:1" x14ac:dyDescent="0.25">
      <c r="A429">
        <f t="shared" si="5"/>
        <v>28700</v>
      </c>
    </row>
    <row r="430" spans="1:1" x14ac:dyDescent="0.25">
      <c r="A430">
        <f t="shared" si="5"/>
        <v>29400</v>
      </c>
    </row>
    <row r="431" spans="1:1" x14ac:dyDescent="0.25">
      <c r="A431">
        <f t="shared" si="5"/>
        <v>30100</v>
      </c>
    </row>
    <row r="432" spans="1:1" x14ac:dyDescent="0.25">
      <c r="A432">
        <f t="shared" si="5"/>
        <v>30900</v>
      </c>
    </row>
    <row r="433" spans="1:1" x14ac:dyDescent="0.25">
      <c r="A433">
        <f t="shared" si="5"/>
        <v>31600</v>
      </c>
    </row>
    <row r="434" spans="1:1" x14ac:dyDescent="0.25">
      <c r="A434">
        <f t="shared" si="5"/>
        <v>32400</v>
      </c>
    </row>
    <row r="435" spans="1:1" x14ac:dyDescent="0.25">
      <c r="A435">
        <f t="shared" si="5"/>
        <v>33200</v>
      </c>
    </row>
    <row r="436" spans="1:1" x14ac:dyDescent="0.25">
      <c r="A436">
        <f t="shared" si="5"/>
        <v>34000</v>
      </c>
    </row>
    <row r="437" spans="1:1" x14ac:dyDescent="0.25">
      <c r="A437">
        <f t="shared" si="5"/>
        <v>34800</v>
      </c>
    </row>
    <row r="438" spans="1:1" x14ac:dyDescent="0.25">
      <c r="A438">
        <f t="shared" si="5"/>
        <v>35700</v>
      </c>
    </row>
    <row r="439" spans="1:1" x14ac:dyDescent="0.25">
      <c r="A439">
        <f t="shared" si="5"/>
        <v>36500</v>
      </c>
    </row>
    <row r="440" spans="1:1" x14ac:dyDescent="0.25">
      <c r="A440">
        <f t="shared" si="5"/>
        <v>37400</v>
      </c>
    </row>
    <row r="441" spans="1:1" x14ac:dyDescent="0.25">
      <c r="A441">
        <f t="shared" si="5"/>
        <v>38300</v>
      </c>
    </row>
    <row r="442" spans="1:1" x14ac:dyDescent="0.25">
      <c r="A442">
        <f t="shared" si="5"/>
        <v>39200</v>
      </c>
    </row>
    <row r="443" spans="1:1" x14ac:dyDescent="0.25">
      <c r="A443">
        <f t="shared" si="5"/>
        <v>40200</v>
      </c>
    </row>
    <row r="444" spans="1:1" x14ac:dyDescent="0.25">
      <c r="A444">
        <f t="shared" si="5"/>
        <v>41200</v>
      </c>
    </row>
    <row r="445" spans="1:1" x14ac:dyDescent="0.25">
      <c r="A445">
        <f t="shared" si="5"/>
        <v>42200</v>
      </c>
    </row>
    <row r="446" spans="1:1" x14ac:dyDescent="0.25">
      <c r="A446">
        <f t="shared" si="5"/>
        <v>43200</v>
      </c>
    </row>
    <row r="447" spans="1:1" x14ac:dyDescent="0.25">
      <c r="A447">
        <f t="shared" si="5"/>
        <v>44200</v>
      </c>
    </row>
    <row r="448" spans="1:1" x14ac:dyDescent="0.25">
      <c r="A448">
        <f t="shared" si="5"/>
        <v>45300</v>
      </c>
    </row>
    <row r="449" spans="1:1" x14ac:dyDescent="0.25">
      <c r="A449">
        <f t="shared" si="5"/>
        <v>46400</v>
      </c>
    </row>
    <row r="450" spans="1:1" x14ac:dyDescent="0.25">
      <c r="A450">
        <f t="shared" si="5"/>
        <v>47500</v>
      </c>
    </row>
    <row r="451" spans="1:1" x14ac:dyDescent="0.25">
      <c r="A451">
        <f t="shared" si="5"/>
        <v>48700</v>
      </c>
    </row>
    <row r="452" spans="1:1" x14ac:dyDescent="0.25">
      <c r="A452">
        <f t="shared" si="5"/>
        <v>49900.000000000007</v>
      </c>
    </row>
    <row r="453" spans="1:1" x14ac:dyDescent="0.25">
      <c r="A453">
        <f t="shared" si="5"/>
        <v>51100</v>
      </c>
    </row>
    <row r="454" spans="1:1" x14ac:dyDescent="0.25">
      <c r="A454">
        <f t="shared" si="5"/>
        <v>52300</v>
      </c>
    </row>
    <row r="455" spans="1:1" x14ac:dyDescent="0.25">
      <c r="A455">
        <f t="shared" si="5"/>
        <v>53600</v>
      </c>
    </row>
    <row r="456" spans="1:1" x14ac:dyDescent="0.25">
      <c r="A456">
        <f t="shared" si="5"/>
        <v>54900</v>
      </c>
    </row>
    <row r="457" spans="1:1" x14ac:dyDescent="0.25">
      <c r="A457">
        <f t="shared" si="5"/>
        <v>56200</v>
      </c>
    </row>
    <row r="458" spans="1:1" x14ac:dyDescent="0.25">
      <c r="A458">
        <f t="shared" si="5"/>
        <v>57600</v>
      </c>
    </row>
    <row r="459" spans="1:1" x14ac:dyDescent="0.25">
      <c r="A459">
        <f t="shared" si="5"/>
        <v>59000</v>
      </c>
    </row>
    <row r="460" spans="1:1" x14ac:dyDescent="0.25">
      <c r="A460">
        <f t="shared" si="5"/>
        <v>60400</v>
      </c>
    </row>
    <row r="461" spans="1:1" x14ac:dyDescent="0.25">
      <c r="A461">
        <f t="shared" si="5"/>
        <v>61899.999999999993</v>
      </c>
    </row>
    <row r="462" spans="1:1" x14ac:dyDescent="0.25">
      <c r="A462">
        <f t="shared" si="5"/>
        <v>63400</v>
      </c>
    </row>
    <row r="463" spans="1:1" x14ac:dyDescent="0.25">
      <c r="A463">
        <f t="shared" si="5"/>
        <v>64900</v>
      </c>
    </row>
    <row r="464" spans="1:1" x14ac:dyDescent="0.25">
      <c r="A464">
        <f t="shared" si="5"/>
        <v>66500</v>
      </c>
    </row>
    <row r="465" spans="1:1" x14ac:dyDescent="0.25">
      <c r="A465">
        <f t="shared" si="5"/>
        <v>68100</v>
      </c>
    </row>
    <row r="466" spans="1:1" x14ac:dyDescent="0.25">
      <c r="A466">
        <f t="shared" si="5"/>
        <v>69800</v>
      </c>
    </row>
    <row r="467" spans="1:1" x14ac:dyDescent="0.25">
      <c r="A467">
        <f t="shared" si="5"/>
        <v>71500</v>
      </c>
    </row>
    <row r="468" spans="1:1" x14ac:dyDescent="0.25">
      <c r="A468">
        <f t="shared" si="5"/>
        <v>73200</v>
      </c>
    </row>
    <row r="469" spans="1:1" x14ac:dyDescent="0.25">
      <c r="A469">
        <f t="shared" si="5"/>
        <v>75000</v>
      </c>
    </row>
    <row r="470" spans="1:1" x14ac:dyDescent="0.25">
      <c r="A470">
        <f t="shared" si="5"/>
        <v>76800</v>
      </c>
    </row>
    <row r="471" spans="1:1" x14ac:dyDescent="0.25">
      <c r="A471">
        <f t="shared" si="5"/>
        <v>78700</v>
      </c>
    </row>
    <row r="472" spans="1:1" x14ac:dyDescent="0.25">
      <c r="A472">
        <f t="shared" si="5"/>
        <v>80600</v>
      </c>
    </row>
    <row r="473" spans="1:1" x14ac:dyDescent="0.25">
      <c r="A473">
        <f t="shared" si="5"/>
        <v>82500</v>
      </c>
    </row>
    <row r="474" spans="1:1" x14ac:dyDescent="0.25">
      <c r="A474">
        <f t="shared" si="5"/>
        <v>84500</v>
      </c>
    </row>
    <row r="475" spans="1:1" x14ac:dyDescent="0.25">
      <c r="A475">
        <f t="shared" si="5"/>
        <v>86600</v>
      </c>
    </row>
    <row r="476" spans="1:1" x14ac:dyDescent="0.25">
      <c r="A476">
        <f t="shared" si="5"/>
        <v>88700.000000000015</v>
      </c>
    </row>
    <row r="477" spans="1:1" x14ac:dyDescent="0.25">
      <c r="A477">
        <f t="shared" si="5"/>
        <v>90900</v>
      </c>
    </row>
    <row r="478" spans="1:1" x14ac:dyDescent="0.25">
      <c r="A478">
        <f t="shared" si="5"/>
        <v>93100</v>
      </c>
    </row>
    <row r="479" spans="1:1" x14ac:dyDescent="0.25">
      <c r="A479">
        <f t="shared" si="5"/>
        <v>95300</v>
      </c>
    </row>
    <row r="480" spans="1:1" x14ac:dyDescent="0.25">
      <c r="A480">
        <f t="shared" si="5"/>
        <v>97600</v>
      </c>
    </row>
    <row r="481" spans="1:1" x14ac:dyDescent="0.25">
      <c r="A481">
        <f t="shared" si="5"/>
        <v>100000</v>
      </c>
    </row>
    <row r="482" spans="1:1" x14ac:dyDescent="0.25">
      <c r="A482">
        <f t="shared" ref="A482:A545" si="6">A386*10</f>
        <v>102000</v>
      </c>
    </row>
    <row r="483" spans="1:1" x14ac:dyDescent="0.25">
      <c r="A483">
        <f t="shared" si="6"/>
        <v>105000</v>
      </c>
    </row>
    <row r="484" spans="1:1" x14ac:dyDescent="0.25">
      <c r="A484">
        <f t="shared" si="6"/>
        <v>107000</v>
      </c>
    </row>
    <row r="485" spans="1:1" x14ac:dyDescent="0.25">
      <c r="A485">
        <f t="shared" si="6"/>
        <v>110000</v>
      </c>
    </row>
    <row r="486" spans="1:1" x14ac:dyDescent="0.25">
      <c r="A486">
        <f t="shared" si="6"/>
        <v>113000</v>
      </c>
    </row>
    <row r="487" spans="1:1" x14ac:dyDescent="0.25">
      <c r="A487">
        <f t="shared" si="6"/>
        <v>115000</v>
      </c>
    </row>
    <row r="488" spans="1:1" x14ac:dyDescent="0.25">
      <c r="A488">
        <f t="shared" si="6"/>
        <v>118000</v>
      </c>
    </row>
    <row r="489" spans="1:1" x14ac:dyDescent="0.25">
      <c r="A489">
        <f t="shared" si="6"/>
        <v>121000</v>
      </c>
    </row>
    <row r="490" spans="1:1" x14ac:dyDescent="0.25">
      <c r="A490">
        <f t="shared" si="6"/>
        <v>124000</v>
      </c>
    </row>
    <row r="491" spans="1:1" x14ac:dyDescent="0.25">
      <c r="A491">
        <f t="shared" si="6"/>
        <v>127000</v>
      </c>
    </row>
    <row r="492" spans="1:1" x14ac:dyDescent="0.25">
      <c r="A492">
        <f t="shared" si="6"/>
        <v>130000</v>
      </c>
    </row>
    <row r="493" spans="1:1" x14ac:dyDescent="0.25">
      <c r="A493">
        <f t="shared" si="6"/>
        <v>133000</v>
      </c>
    </row>
    <row r="494" spans="1:1" x14ac:dyDescent="0.25">
      <c r="A494">
        <f t="shared" si="6"/>
        <v>137000</v>
      </c>
    </row>
    <row r="495" spans="1:1" x14ac:dyDescent="0.25">
      <c r="A495">
        <f t="shared" si="6"/>
        <v>140000</v>
      </c>
    </row>
    <row r="496" spans="1:1" x14ac:dyDescent="0.25">
      <c r="A496">
        <f t="shared" si="6"/>
        <v>143000</v>
      </c>
    </row>
    <row r="497" spans="1:1" x14ac:dyDescent="0.25">
      <c r="A497">
        <f t="shared" si="6"/>
        <v>147000</v>
      </c>
    </row>
    <row r="498" spans="1:1" x14ac:dyDescent="0.25">
      <c r="A498">
        <f t="shared" si="6"/>
        <v>150000</v>
      </c>
    </row>
    <row r="499" spans="1:1" x14ac:dyDescent="0.25">
      <c r="A499">
        <f t="shared" si="6"/>
        <v>154000</v>
      </c>
    </row>
    <row r="500" spans="1:1" x14ac:dyDescent="0.25">
      <c r="A500">
        <f t="shared" si="6"/>
        <v>158000</v>
      </c>
    </row>
    <row r="501" spans="1:1" x14ac:dyDescent="0.25">
      <c r="A501">
        <f t="shared" si="6"/>
        <v>162000</v>
      </c>
    </row>
    <row r="502" spans="1:1" x14ac:dyDescent="0.25">
      <c r="A502">
        <f t="shared" si="6"/>
        <v>165000</v>
      </c>
    </row>
    <row r="503" spans="1:1" x14ac:dyDescent="0.25">
      <c r="A503">
        <f t="shared" si="6"/>
        <v>169000</v>
      </c>
    </row>
    <row r="504" spans="1:1" x14ac:dyDescent="0.25">
      <c r="A504">
        <f t="shared" si="6"/>
        <v>174000</v>
      </c>
    </row>
    <row r="505" spans="1:1" x14ac:dyDescent="0.25">
      <c r="A505">
        <f t="shared" si="6"/>
        <v>178000</v>
      </c>
    </row>
    <row r="506" spans="1:1" x14ac:dyDescent="0.25">
      <c r="A506">
        <f t="shared" si="6"/>
        <v>182000</v>
      </c>
    </row>
    <row r="507" spans="1:1" x14ac:dyDescent="0.25">
      <c r="A507">
        <f t="shared" si="6"/>
        <v>187000</v>
      </c>
    </row>
    <row r="508" spans="1:1" x14ac:dyDescent="0.25">
      <c r="A508">
        <f t="shared" si="6"/>
        <v>191000</v>
      </c>
    </row>
    <row r="509" spans="1:1" x14ac:dyDescent="0.25">
      <c r="A509">
        <f t="shared" si="6"/>
        <v>196000</v>
      </c>
    </row>
    <row r="510" spans="1:1" x14ac:dyDescent="0.25">
      <c r="A510">
        <f t="shared" si="6"/>
        <v>200000</v>
      </c>
    </row>
    <row r="511" spans="1:1" x14ac:dyDescent="0.25">
      <c r="A511">
        <f t="shared" si="6"/>
        <v>205000</v>
      </c>
    </row>
    <row r="512" spans="1:1" x14ac:dyDescent="0.25">
      <c r="A512">
        <f t="shared" si="6"/>
        <v>210000</v>
      </c>
    </row>
    <row r="513" spans="1:1" x14ac:dyDescent="0.25">
      <c r="A513">
        <f t="shared" si="6"/>
        <v>215000</v>
      </c>
    </row>
    <row r="514" spans="1:1" x14ac:dyDescent="0.25">
      <c r="A514">
        <f t="shared" si="6"/>
        <v>221000</v>
      </c>
    </row>
    <row r="515" spans="1:1" x14ac:dyDescent="0.25">
      <c r="A515">
        <f t="shared" si="6"/>
        <v>226000</v>
      </c>
    </row>
    <row r="516" spans="1:1" x14ac:dyDescent="0.25">
      <c r="A516">
        <f t="shared" si="6"/>
        <v>232000</v>
      </c>
    </row>
    <row r="517" spans="1:1" x14ac:dyDescent="0.25">
      <c r="A517">
        <f t="shared" si="6"/>
        <v>237000.00000000003</v>
      </c>
    </row>
    <row r="518" spans="1:1" x14ac:dyDescent="0.25">
      <c r="A518">
        <f t="shared" si="6"/>
        <v>243000</v>
      </c>
    </row>
    <row r="519" spans="1:1" x14ac:dyDescent="0.25">
      <c r="A519">
        <f t="shared" si="6"/>
        <v>249000</v>
      </c>
    </row>
    <row r="520" spans="1:1" x14ac:dyDescent="0.25">
      <c r="A520">
        <f t="shared" si="6"/>
        <v>255000</v>
      </c>
    </row>
    <row r="521" spans="1:1" x14ac:dyDescent="0.25">
      <c r="A521">
        <f t="shared" si="6"/>
        <v>261000</v>
      </c>
    </row>
    <row r="522" spans="1:1" x14ac:dyDescent="0.25">
      <c r="A522">
        <f t="shared" si="6"/>
        <v>267000</v>
      </c>
    </row>
    <row r="523" spans="1:1" x14ac:dyDescent="0.25">
      <c r="A523">
        <f t="shared" si="6"/>
        <v>274000</v>
      </c>
    </row>
    <row r="524" spans="1:1" x14ac:dyDescent="0.25">
      <c r="A524">
        <f t="shared" si="6"/>
        <v>280000</v>
      </c>
    </row>
    <row r="525" spans="1:1" x14ac:dyDescent="0.25">
      <c r="A525">
        <f t="shared" si="6"/>
        <v>287000</v>
      </c>
    </row>
    <row r="526" spans="1:1" x14ac:dyDescent="0.25">
      <c r="A526">
        <f t="shared" si="6"/>
        <v>294000</v>
      </c>
    </row>
    <row r="527" spans="1:1" x14ac:dyDescent="0.25">
      <c r="A527">
        <f t="shared" si="6"/>
        <v>301000</v>
      </c>
    </row>
    <row r="528" spans="1:1" x14ac:dyDescent="0.25">
      <c r="A528">
        <f t="shared" si="6"/>
        <v>309000</v>
      </c>
    </row>
    <row r="529" spans="1:1" x14ac:dyDescent="0.25">
      <c r="A529">
        <f t="shared" si="6"/>
        <v>316000</v>
      </c>
    </row>
    <row r="530" spans="1:1" x14ac:dyDescent="0.25">
      <c r="A530">
        <f t="shared" si="6"/>
        <v>324000</v>
      </c>
    </row>
    <row r="531" spans="1:1" x14ac:dyDescent="0.25">
      <c r="A531">
        <f t="shared" si="6"/>
        <v>332000</v>
      </c>
    </row>
    <row r="532" spans="1:1" x14ac:dyDescent="0.25">
      <c r="A532">
        <f t="shared" si="6"/>
        <v>340000</v>
      </c>
    </row>
    <row r="533" spans="1:1" x14ac:dyDescent="0.25">
      <c r="A533">
        <f t="shared" si="6"/>
        <v>348000</v>
      </c>
    </row>
    <row r="534" spans="1:1" x14ac:dyDescent="0.25">
      <c r="A534">
        <f t="shared" si="6"/>
        <v>357000</v>
      </c>
    </row>
    <row r="535" spans="1:1" x14ac:dyDescent="0.25">
      <c r="A535">
        <f t="shared" si="6"/>
        <v>365000</v>
      </c>
    </row>
    <row r="536" spans="1:1" x14ac:dyDescent="0.25">
      <c r="A536">
        <f t="shared" si="6"/>
        <v>374000</v>
      </c>
    </row>
    <row r="537" spans="1:1" x14ac:dyDescent="0.25">
      <c r="A537">
        <f t="shared" si="6"/>
        <v>383000</v>
      </c>
    </row>
    <row r="538" spans="1:1" x14ac:dyDescent="0.25">
      <c r="A538">
        <f t="shared" si="6"/>
        <v>392000</v>
      </c>
    </row>
    <row r="539" spans="1:1" x14ac:dyDescent="0.25">
      <c r="A539">
        <f t="shared" si="6"/>
        <v>402000</v>
      </c>
    </row>
    <row r="540" spans="1:1" x14ac:dyDescent="0.25">
      <c r="A540">
        <f t="shared" si="6"/>
        <v>412000</v>
      </c>
    </row>
    <row r="541" spans="1:1" x14ac:dyDescent="0.25">
      <c r="A541">
        <f t="shared" si="6"/>
        <v>422000</v>
      </c>
    </row>
    <row r="542" spans="1:1" x14ac:dyDescent="0.25">
      <c r="A542">
        <f t="shared" si="6"/>
        <v>432000</v>
      </c>
    </row>
    <row r="543" spans="1:1" x14ac:dyDescent="0.25">
      <c r="A543">
        <f t="shared" si="6"/>
        <v>442000</v>
      </c>
    </row>
    <row r="544" spans="1:1" x14ac:dyDescent="0.25">
      <c r="A544">
        <f t="shared" si="6"/>
        <v>453000</v>
      </c>
    </row>
    <row r="545" spans="1:1" x14ac:dyDescent="0.25">
      <c r="A545">
        <f t="shared" si="6"/>
        <v>464000</v>
      </c>
    </row>
    <row r="546" spans="1:1" x14ac:dyDescent="0.25">
      <c r="A546">
        <f t="shared" ref="A546:A609" si="7">A450*10</f>
        <v>475000</v>
      </c>
    </row>
    <row r="547" spans="1:1" x14ac:dyDescent="0.25">
      <c r="A547">
        <f t="shared" si="7"/>
        <v>487000</v>
      </c>
    </row>
    <row r="548" spans="1:1" x14ac:dyDescent="0.25">
      <c r="A548">
        <f t="shared" si="7"/>
        <v>499000.00000000006</v>
      </c>
    </row>
    <row r="549" spans="1:1" x14ac:dyDescent="0.25">
      <c r="A549">
        <f t="shared" si="7"/>
        <v>511000</v>
      </c>
    </row>
    <row r="550" spans="1:1" x14ac:dyDescent="0.25">
      <c r="A550">
        <f t="shared" si="7"/>
        <v>523000</v>
      </c>
    </row>
    <row r="551" spans="1:1" x14ac:dyDescent="0.25">
      <c r="A551">
        <f t="shared" si="7"/>
        <v>536000</v>
      </c>
    </row>
    <row r="552" spans="1:1" x14ac:dyDescent="0.25">
      <c r="A552">
        <f t="shared" si="7"/>
        <v>549000</v>
      </c>
    </row>
    <row r="553" spans="1:1" x14ac:dyDescent="0.25">
      <c r="A553">
        <f t="shared" si="7"/>
        <v>562000</v>
      </c>
    </row>
    <row r="554" spans="1:1" x14ac:dyDescent="0.25">
      <c r="A554">
        <f t="shared" si="7"/>
        <v>576000</v>
      </c>
    </row>
    <row r="555" spans="1:1" x14ac:dyDescent="0.25">
      <c r="A555">
        <f t="shared" si="7"/>
        <v>590000</v>
      </c>
    </row>
    <row r="556" spans="1:1" x14ac:dyDescent="0.25">
      <c r="A556">
        <f t="shared" si="7"/>
        <v>604000</v>
      </c>
    </row>
    <row r="557" spans="1:1" x14ac:dyDescent="0.25">
      <c r="A557">
        <f t="shared" si="7"/>
        <v>618999.99999999988</v>
      </c>
    </row>
    <row r="558" spans="1:1" x14ac:dyDescent="0.25">
      <c r="A558">
        <f t="shared" si="7"/>
        <v>634000</v>
      </c>
    </row>
    <row r="559" spans="1:1" x14ac:dyDescent="0.25">
      <c r="A559">
        <f t="shared" si="7"/>
        <v>649000</v>
      </c>
    </row>
    <row r="560" spans="1:1" x14ac:dyDescent="0.25">
      <c r="A560">
        <f t="shared" si="7"/>
        <v>665000</v>
      </c>
    </row>
    <row r="561" spans="1:1" x14ac:dyDescent="0.25">
      <c r="A561">
        <f t="shared" si="7"/>
        <v>681000</v>
      </c>
    </row>
    <row r="562" spans="1:1" x14ac:dyDescent="0.25">
      <c r="A562">
        <f t="shared" si="7"/>
        <v>698000</v>
      </c>
    </row>
    <row r="563" spans="1:1" x14ac:dyDescent="0.25">
      <c r="A563">
        <f t="shared" si="7"/>
        <v>715000</v>
      </c>
    </row>
    <row r="564" spans="1:1" x14ac:dyDescent="0.25">
      <c r="A564">
        <f t="shared" si="7"/>
        <v>732000</v>
      </c>
    </row>
    <row r="565" spans="1:1" x14ac:dyDescent="0.25">
      <c r="A565">
        <f t="shared" si="7"/>
        <v>750000</v>
      </c>
    </row>
    <row r="566" spans="1:1" x14ac:dyDescent="0.25">
      <c r="A566">
        <f t="shared" si="7"/>
        <v>768000</v>
      </c>
    </row>
    <row r="567" spans="1:1" x14ac:dyDescent="0.25">
      <c r="A567">
        <f t="shared" si="7"/>
        <v>787000</v>
      </c>
    </row>
    <row r="568" spans="1:1" x14ac:dyDescent="0.25">
      <c r="A568">
        <f t="shared" si="7"/>
        <v>806000</v>
      </c>
    </row>
    <row r="569" spans="1:1" x14ac:dyDescent="0.25">
      <c r="A569">
        <f t="shared" si="7"/>
        <v>825000</v>
      </c>
    </row>
    <row r="570" spans="1:1" x14ac:dyDescent="0.25">
      <c r="A570">
        <f t="shared" si="7"/>
        <v>845000</v>
      </c>
    </row>
    <row r="571" spans="1:1" x14ac:dyDescent="0.25">
      <c r="A571">
        <f t="shared" si="7"/>
        <v>866000</v>
      </c>
    </row>
    <row r="572" spans="1:1" x14ac:dyDescent="0.25">
      <c r="A572">
        <f t="shared" si="7"/>
        <v>887000.00000000012</v>
      </c>
    </row>
    <row r="573" spans="1:1" x14ac:dyDescent="0.25">
      <c r="A573">
        <f t="shared" si="7"/>
        <v>909000</v>
      </c>
    </row>
    <row r="574" spans="1:1" x14ac:dyDescent="0.25">
      <c r="A574">
        <f t="shared" si="7"/>
        <v>931000</v>
      </c>
    </row>
    <row r="575" spans="1:1" x14ac:dyDescent="0.25">
      <c r="A575">
        <f t="shared" si="7"/>
        <v>953000</v>
      </c>
    </row>
    <row r="576" spans="1:1" x14ac:dyDescent="0.25">
      <c r="A576">
        <f t="shared" si="7"/>
        <v>976000</v>
      </c>
    </row>
    <row r="577" spans="1:1" x14ac:dyDescent="0.25">
      <c r="A577">
        <f t="shared" si="7"/>
        <v>1000000</v>
      </c>
    </row>
    <row r="578" spans="1:1" x14ac:dyDescent="0.25">
      <c r="A578">
        <f t="shared" si="7"/>
        <v>1020000</v>
      </c>
    </row>
    <row r="579" spans="1:1" x14ac:dyDescent="0.25">
      <c r="A579">
        <f t="shared" si="7"/>
        <v>1050000</v>
      </c>
    </row>
    <row r="580" spans="1:1" x14ac:dyDescent="0.25">
      <c r="A580">
        <f t="shared" si="7"/>
        <v>1070000</v>
      </c>
    </row>
    <row r="581" spans="1:1" x14ac:dyDescent="0.25">
      <c r="A581">
        <f t="shared" si="7"/>
        <v>1100000</v>
      </c>
    </row>
    <row r="582" spans="1:1" x14ac:dyDescent="0.25">
      <c r="A582">
        <f t="shared" si="7"/>
        <v>1130000</v>
      </c>
    </row>
    <row r="583" spans="1:1" x14ac:dyDescent="0.25">
      <c r="A583">
        <f t="shared" si="7"/>
        <v>1150000</v>
      </c>
    </row>
    <row r="584" spans="1:1" x14ac:dyDescent="0.25">
      <c r="A584">
        <f t="shared" si="7"/>
        <v>1180000</v>
      </c>
    </row>
    <row r="585" spans="1:1" x14ac:dyDescent="0.25">
      <c r="A585">
        <f t="shared" si="7"/>
        <v>1210000</v>
      </c>
    </row>
    <row r="586" spans="1:1" x14ac:dyDescent="0.25">
      <c r="A586">
        <f t="shared" si="7"/>
        <v>1240000</v>
      </c>
    </row>
    <row r="587" spans="1:1" x14ac:dyDescent="0.25">
      <c r="A587">
        <f t="shared" si="7"/>
        <v>1270000</v>
      </c>
    </row>
    <row r="588" spans="1:1" x14ac:dyDescent="0.25">
      <c r="A588">
        <f t="shared" si="7"/>
        <v>1300000</v>
      </c>
    </row>
    <row r="589" spans="1:1" x14ac:dyDescent="0.25">
      <c r="A589">
        <f t="shared" si="7"/>
        <v>1330000</v>
      </c>
    </row>
    <row r="590" spans="1:1" x14ac:dyDescent="0.25">
      <c r="A590">
        <f t="shared" si="7"/>
        <v>1370000</v>
      </c>
    </row>
    <row r="591" spans="1:1" x14ac:dyDescent="0.25">
      <c r="A591">
        <f t="shared" si="7"/>
        <v>1400000</v>
      </c>
    </row>
    <row r="592" spans="1:1" x14ac:dyDescent="0.25">
      <c r="A592">
        <f t="shared" si="7"/>
        <v>1430000</v>
      </c>
    </row>
    <row r="593" spans="1:1" x14ac:dyDescent="0.25">
      <c r="A593">
        <f t="shared" si="7"/>
        <v>1470000</v>
      </c>
    </row>
    <row r="594" spans="1:1" x14ac:dyDescent="0.25">
      <c r="A594">
        <f t="shared" si="7"/>
        <v>1500000</v>
      </c>
    </row>
    <row r="595" spans="1:1" x14ac:dyDescent="0.25">
      <c r="A595">
        <f t="shared" si="7"/>
        <v>1540000</v>
      </c>
    </row>
    <row r="596" spans="1:1" x14ac:dyDescent="0.25">
      <c r="A596">
        <f t="shared" si="7"/>
        <v>1580000</v>
      </c>
    </row>
    <row r="597" spans="1:1" x14ac:dyDescent="0.25">
      <c r="A597">
        <f t="shared" si="7"/>
        <v>1620000</v>
      </c>
    </row>
    <row r="598" spans="1:1" x14ac:dyDescent="0.25">
      <c r="A598">
        <f t="shared" si="7"/>
        <v>1650000</v>
      </c>
    </row>
    <row r="599" spans="1:1" x14ac:dyDescent="0.25">
      <c r="A599">
        <f t="shared" si="7"/>
        <v>1690000</v>
      </c>
    </row>
    <row r="600" spans="1:1" x14ac:dyDescent="0.25">
      <c r="A600">
        <f t="shared" si="7"/>
        <v>1740000</v>
      </c>
    </row>
    <row r="601" spans="1:1" x14ac:dyDescent="0.25">
      <c r="A601">
        <f t="shared" si="7"/>
        <v>1780000</v>
      </c>
    </row>
    <row r="602" spans="1:1" x14ac:dyDescent="0.25">
      <c r="A602">
        <f t="shared" si="7"/>
        <v>1820000</v>
      </c>
    </row>
    <row r="603" spans="1:1" x14ac:dyDescent="0.25">
      <c r="A603">
        <f t="shared" si="7"/>
        <v>1870000</v>
      </c>
    </row>
    <row r="604" spans="1:1" x14ac:dyDescent="0.25">
      <c r="A604">
        <f t="shared" si="7"/>
        <v>1910000</v>
      </c>
    </row>
    <row r="605" spans="1:1" x14ac:dyDescent="0.25">
      <c r="A605">
        <f t="shared" si="7"/>
        <v>1960000</v>
      </c>
    </row>
    <row r="606" spans="1:1" x14ac:dyDescent="0.25">
      <c r="A606">
        <f t="shared" si="7"/>
        <v>2000000</v>
      </c>
    </row>
    <row r="607" spans="1:1" x14ac:dyDescent="0.25">
      <c r="A607">
        <f t="shared" si="7"/>
        <v>2050000</v>
      </c>
    </row>
    <row r="608" spans="1:1" x14ac:dyDescent="0.25">
      <c r="A608">
        <f t="shared" si="7"/>
        <v>2100000</v>
      </c>
    </row>
    <row r="609" spans="1:1" x14ac:dyDescent="0.25">
      <c r="A609">
        <f t="shared" si="7"/>
        <v>2150000</v>
      </c>
    </row>
    <row r="610" spans="1:1" x14ac:dyDescent="0.25">
      <c r="A610">
        <f t="shared" ref="A610:A673" si="8">A514*10</f>
        <v>2210000</v>
      </c>
    </row>
    <row r="611" spans="1:1" x14ac:dyDescent="0.25">
      <c r="A611">
        <f t="shared" si="8"/>
        <v>2260000</v>
      </c>
    </row>
    <row r="612" spans="1:1" x14ac:dyDescent="0.25">
      <c r="A612">
        <f t="shared" si="8"/>
        <v>2320000</v>
      </c>
    </row>
    <row r="613" spans="1:1" x14ac:dyDescent="0.25">
      <c r="A613">
        <f t="shared" si="8"/>
        <v>2370000.0000000005</v>
      </c>
    </row>
    <row r="614" spans="1:1" x14ac:dyDescent="0.25">
      <c r="A614">
        <f t="shared" si="8"/>
        <v>2430000</v>
      </c>
    </row>
    <row r="615" spans="1:1" x14ac:dyDescent="0.25">
      <c r="A615">
        <f t="shared" si="8"/>
        <v>2490000</v>
      </c>
    </row>
    <row r="616" spans="1:1" x14ac:dyDescent="0.25">
      <c r="A616">
        <f t="shared" si="8"/>
        <v>2550000</v>
      </c>
    </row>
    <row r="617" spans="1:1" x14ac:dyDescent="0.25">
      <c r="A617">
        <f t="shared" si="8"/>
        <v>2610000</v>
      </c>
    </row>
    <row r="618" spans="1:1" x14ac:dyDescent="0.25">
      <c r="A618">
        <f t="shared" si="8"/>
        <v>2670000</v>
      </c>
    </row>
    <row r="619" spans="1:1" x14ac:dyDescent="0.25">
      <c r="A619">
        <f t="shared" si="8"/>
        <v>2740000</v>
      </c>
    </row>
    <row r="620" spans="1:1" x14ac:dyDescent="0.25">
      <c r="A620">
        <f t="shared" si="8"/>
        <v>2800000</v>
      </c>
    </row>
    <row r="621" spans="1:1" x14ac:dyDescent="0.25">
      <c r="A621">
        <f t="shared" si="8"/>
        <v>2870000</v>
      </c>
    </row>
    <row r="622" spans="1:1" x14ac:dyDescent="0.25">
      <c r="A622">
        <f t="shared" si="8"/>
        <v>2940000</v>
      </c>
    </row>
    <row r="623" spans="1:1" x14ac:dyDescent="0.25">
      <c r="A623">
        <f t="shared" si="8"/>
        <v>3010000</v>
      </c>
    </row>
    <row r="624" spans="1:1" x14ac:dyDescent="0.25">
      <c r="A624">
        <f t="shared" si="8"/>
        <v>3090000</v>
      </c>
    </row>
    <row r="625" spans="1:1" x14ac:dyDescent="0.25">
      <c r="A625">
        <f t="shared" si="8"/>
        <v>3160000</v>
      </c>
    </row>
    <row r="626" spans="1:1" x14ac:dyDescent="0.25">
      <c r="A626">
        <f t="shared" si="8"/>
        <v>3240000</v>
      </c>
    </row>
    <row r="627" spans="1:1" x14ac:dyDescent="0.25">
      <c r="A627">
        <f t="shared" si="8"/>
        <v>3320000</v>
      </c>
    </row>
    <row r="628" spans="1:1" x14ac:dyDescent="0.25">
      <c r="A628">
        <f t="shared" si="8"/>
        <v>3400000</v>
      </c>
    </row>
    <row r="629" spans="1:1" x14ac:dyDescent="0.25">
      <c r="A629">
        <f t="shared" si="8"/>
        <v>3480000</v>
      </c>
    </row>
    <row r="630" spans="1:1" x14ac:dyDescent="0.25">
      <c r="A630">
        <f t="shared" si="8"/>
        <v>3570000</v>
      </c>
    </row>
    <row r="631" spans="1:1" x14ac:dyDescent="0.25">
      <c r="A631">
        <f t="shared" si="8"/>
        <v>3650000</v>
      </c>
    </row>
    <row r="632" spans="1:1" x14ac:dyDescent="0.25">
      <c r="A632">
        <f t="shared" si="8"/>
        <v>3740000</v>
      </c>
    </row>
    <row r="633" spans="1:1" x14ac:dyDescent="0.25">
      <c r="A633">
        <f t="shared" si="8"/>
        <v>3830000</v>
      </c>
    </row>
    <row r="634" spans="1:1" x14ac:dyDescent="0.25">
      <c r="A634">
        <f t="shared" si="8"/>
        <v>3920000</v>
      </c>
    </row>
    <row r="635" spans="1:1" x14ac:dyDescent="0.25">
      <c r="A635">
        <f t="shared" si="8"/>
        <v>4020000</v>
      </c>
    </row>
    <row r="636" spans="1:1" x14ac:dyDescent="0.25">
      <c r="A636">
        <f t="shared" si="8"/>
        <v>4120000</v>
      </c>
    </row>
    <row r="637" spans="1:1" x14ac:dyDescent="0.25">
      <c r="A637">
        <f t="shared" si="8"/>
        <v>4220000</v>
      </c>
    </row>
    <row r="638" spans="1:1" x14ac:dyDescent="0.25">
      <c r="A638">
        <f t="shared" si="8"/>
        <v>4320000</v>
      </c>
    </row>
    <row r="639" spans="1:1" x14ac:dyDescent="0.25">
      <c r="A639">
        <f t="shared" si="8"/>
        <v>4420000</v>
      </c>
    </row>
    <row r="640" spans="1:1" x14ac:dyDescent="0.25">
      <c r="A640">
        <f t="shared" si="8"/>
        <v>4530000</v>
      </c>
    </row>
    <row r="641" spans="1:1" x14ac:dyDescent="0.25">
      <c r="A641">
        <f t="shared" si="8"/>
        <v>4640000</v>
      </c>
    </row>
    <row r="642" spans="1:1" x14ac:dyDescent="0.25">
      <c r="A642">
        <f t="shared" si="8"/>
        <v>4750000</v>
      </c>
    </row>
    <row r="643" spans="1:1" x14ac:dyDescent="0.25">
      <c r="A643">
        <f t="shared" si="8"/>
        <v>4870000</v>
      </c>
    </row>
    <row r="644" spans="1:1" x14ac:dyDescent="0.25">
      <c r="A644">
        <f t="shared" si="8"/>
        <v>4990000.0000000009</v>
      </c>
    </row>
    <row r="645" spans="1:1" x14ac:dyDescent="0.25">
      <c r="A645">
        <f t="shared" si="8"/>
        <v>5110000</v>
      </c>
    </row>
    <row r="646" spans="1:1" x14ac:dyDescent="0.25">
      <c r="A646">
        <f t="shared" si="8"/>
        <v>5230000</v>
      </c>
    </row>
    <row r="647" spans="1:1" x14ac:dyDescent="0.25">
      <c r="A647">
        <f t="shared" si="8"/>
        <v>5360000</v>
      </c>
    </row>
    <row r="648" spans="1:1" x14ac:dyDescent="0.25">
      <c r="A648">
        <f t="shared" si="8"/>
        <v>5490000</v>
      </c>
    </row>
    <row r="649" spans="1:1" x14ac:dyDescent="0.25">
      <c r="A649">
        <f t="shared" si="8"/>
        <v>5620000</v>
      </c>
    </row>
    <row r="650" spans="1:1" x14ac:dyDescent="0.25">
      <c r="A650">
        <f t="shared" si="8"/>
        <v>5760000</v>
      </c>
    </row>
    <row r="651" spans="1:1" x14ac:dyDescent="0.25">
      <c r="A651">
        <f t="shared" si="8"/>
        <v>5900000</v>
      </c>
    </row>
    <row r="652" spans="1:1" x14ac:dyDescent="0.25">
      <c r="A652">
        <f t="shared" si="8"/>
        <v>6040000</v>
      </c>
    </row>
    <row r="653" spans="1:1" x14ac:dyDescent="0.25">
      <c r="A653">
        <f t="shared" si="8"/>
        <v>6189999.9999999991</v>
      </c>
    </row>
    <row r="654" spans="1:1" x14ac:dyDescent="0.25">
      <c r="A654">
        <f t="shared" si="8"/>
        <v>6340000</v>
      </c>
    </row>
    <row r="655" spans="1:1" x14ac:dyDescent="0.25">
      <c r="A655">
        <f t="shared" si="8"/>
        <v>6490000</v>
      </c>
    </row>
    <row r="656" spans="1:1" x14ac:dyDescent="0.25">
      <c r="A656">
        <f t="shared" si="8"/>
        <v>6650000</v>
      </c>
    </row>
    <row r="657" spans="1:1" x14ac:dyDescent="0.25">
      <c r="A657">
        <f t="shared" si="8"/>
        <v>6810000</v>
      </c>
    </row>
    <row r="658" spans="1:1" x14ac:dyDescent="0.25">
      <c r="A658">
        <f t="shared" si="8"/>
        <v>6980000</v>
      </c>
    </row>
    <row r="659" spans="1:1" x14ac:dyDescent="0.25">
      <c r="A659">
        <f t="shared" si="8"/>
        <v>7150000</v>
      </c>
    </row>
    <row r="660" spans="1:1" x14ac:dyDescent="0.25">
      <c r="A660">
        <f t="shared" si="8"/>
        <v>7320000</v>
      </c>
    </row>
    <row r="661" spans="1:1" x14ac:dyDescent="0.25">
      <c r="A661">
        <f t="shared" si="8"/>
        <v>7500000</v>
      </c>
    </row>
    <row r="662" spans="1:1" x14ac:dyDescent="0.25">
      <c r="A662">
        <f t="shared" si="8"/>
        <v>7680000</v>
      </c>
    </row>
    <row r="663" spans="1:1" x14ac:dyDescent="0.25">
      <c r="A663">
        <f t="shared" si="8"/>
        <v>7870000</v>
      </c>
    </row>
    <row r="664" spans="1:1" x14ac:dyDescent="0.25">
      <c r="A664">
        <f t="shared" si="8"/>
        <v>8060000</v>
      </c>
    </row>
    <row r="665" spans="1:1" x14ac:dyDescent="0.25">
      <c r="A665">
        <f t="shared" si="8"/>
        <v>8250000</v>
      </c>
    </row>
    <row r="666" spans="1:1" x14ac:dyDescent="0.25">
      <c r="A666">
        <f t="shared" si="8"/>
        <v>8450000</v>
      </c>
    </row>
    <row r="667" spans="1:1" x14ac:dyDescent="0.25">
      <c r="A667">
        <f t="shared" si="8"/>
        <v>8660000</v>
      </c>
    </row>
    <row r="668" spans="1:1" x14ac:dyDescent="0.25">
      <c r="A668">
        <f t="shared" si="8"/>
        <v>8870000.0000000019</v>
      </c>
    </row>
    <row r="669" spans="1:1" x14ac:dyDescent="0.25">
      <c r="A669">
        <f t="shared" si="8"/>
        <v>9090000</v>
      </c>
    </row>
    <row r="670" spans="1:1" x14ac:dyDescent="0.25">
      <c r="A670">
        <f t="shared" si="8"/>
        <v>9310000</v>
      </c>
    </row>
    <row r="671" spans="1:1" x14ac:dyDescent="0.25">
      <c r="A671">
        <f t="shared" si="8"/>
        <v>9530000</v>
      </c>
    </row>
    <row r="672" spans="1:1" x14ac:dyDescent="0.25">
      <c r="A672">
        <f t="shared" si="8"/>
        <v>9760000</v>
      </c>
    </row>
    <row r="673" spans="1:1" x14ac:dyDescent="0.25">
      <c r="A673">
        <f t="shared" si="8"/>
        <v>10000000</v>
      </c>
    </row>
    <row r="674" spans="1:1" x14ac:dyDescent="0.25">
      <c r="A674">
        <f t="shared" ref="A674:A737" si="9">A578*10</f>
        <v>10200000</v>
      </c>
    </row>
    <row r="675" spans="1:1" x14ac:dyDescent="0.25">
      <c r="A675">
        <f t="shared" si="9"/>
        <v>10500000</v>
      </c>
    </row>
    <row r="676" spans="1:1" x14ac:dyDescent="0.25">
      <c r="A676">
        <f t="shared" si="9"/>
        <v>10700000</v>
      </c>
    </row>
    <row r="677" spans="1:1" x14ac:dyDescent="0.25">
      <c r="A677">
        <f t="shared" si="9"/>
        <v>11000000</v>
      </c>
    </row>
    <row r="678" spans="1:1" x14ac:dyDescent="0.25">
      <c r="A678">
        <f t="shared" si="9"/>
        <v>11300000</v>
      </c>
    </row>
    <row r="679" spans="1:1" x14ac:dyDescent="0.25">
      <c r="A679">
        <f t="shared" si="9"/>
        <v>11500000</v>
      </c>
    </row>
    <row r="680" spans="1:1" x14ac:dyDescent="0.25">
      <c r="A680">
        <f t="shared" si="9"/>
        <v>11800000</v>
      </c>
    </row>
    <row r="681" spans="1:1" x14ac:dyDescent="0.25">
      <c r="A681">
        <f t="shared" si="9"/>
        <v>12100000</v>
      </c>
    </row>
    <row r="682" spans="1:1" x14ac:dyDescent="0.25">
      <c r="A682">
        <f t="shared" si="9"/>
        <v>12400000</v>
      </c>
    </row>
    <row r="683" spans="1:1" x14ac:dyDescent="0.25">
      <c r="A683">
        <f t="shared" si="9"/>
        <v>12700000</v>
      </c>
    </row>
    <row r="684" spans="1:1" x14ac:dyDescent="0.25">
      <c r="A684">
        <f t="shared" si="9"/>
        <v>13000000</v>
      </c>
    </row>
    <row r="685" spans="1:1" x14ac:dyDescent="0.25">
      <c r="A685">
        <f t="shared" si="9"/>
        <v>13300000</v>
      </c>
    </row>
    <row r="686" spans="1:1" x14ac:dyDescent="0.25">
      <c r="A686">
        <f t="shared" si="9"/>
        <v>13700000</v>
      </c>
    </row>
    <row r="687" spans="1:1" x14ac:dyDescent="0.25">
      <c r="A687">
        <f t="shared" si="9"/>
        <v>14000000</v>
      </c>
    </row>
    <row r="688" spans="1:1" x14ac:dyDescent="0.25">
      <c r="A688">
        <f t="shared" si="9"/>
        <v>14300000</v>
      </c>
    </row>
    <row r="689" spans="1:1" x14ac:dyDescent="0.25">
      <c r="A689">
        <f t="shared" si="9"/>
        <v>14700000</v>
      </c>
    </row>
    <row r="690" spans="1:1" x14ac:dyDescent="0.25">
      <c r="A690">
        <f t="shared" si="9"/>
        <v>15000000</v>
      </c>
    </row>
    <row r="691" spans="1:1" x14ac:dyDescent="0.25">
      <c r="A691">
        <f t="shared" si="9"/>
        <v>15400000</v>
      </c>
    </row>
    <row r="692" spans="1:1" x14ac:dyDescent="0.25">
      <c r="A692">
        <f t="shared" si="9"/>
        <v>15800000</v>
      </c>
    </row>
    <row r="693" spans="1:1" x14ac:dyDescent="0.25">
      <c r="A693">
        <f t="shared" si="9"/>
        <v>16200000</v>
      </c>
    </row>
    <row r="694" spans="1:1" x14ac:dyDescent="0.25">
      <c r="A694">
        <f t="shared" si="9"/>
        <v>16500000</v>
      </c>
    </row>
    <row r="695" spans="1:1" x14ac:dyDescent="0.25">
      <c r="A695">
        <f t="shared" si="9"/>
        <v>16900000</v>
      </c>
    </row>
    <row r="696" spans="1:1" x14ac:dyDescent="0.25">
      <c r="A696">
        <f t="shared" si="9"/>
        <v>17400000</v>
      </c>
    </row>
    <row r="697" spans="1:1" x14ac:dyDescent="0.25">
      <c r="A697">
        <f t="shared" si="9"/>
        <v>17800000</v>
      </c>
    </row>
    <row r="698" spans="1:1" x14ac:dyDescent="0.25">
      <c r="A698">
        <f t="shared" si="9"/>
        <v>18200000</v>
      </c>
    </row>
    <row r="699" spans="1:1" x14ac:dyDescent="0.25">
      <c r="A699">
        <f t="shared" si="9"/>
        <v>18700000</v>
      </c>
    </row>
    <row r="700" spans="1:1" x14ac:dyDescent="0.25">
      <c r="A700">
        <f t="shared" si="9"/>
        <v>19100000</v>
      </c>
    </row>
    <row r="701" spans="1:1" x14ac:dyDescent="0.25">
      <c r="A701">
        <f t="shared" si="9"/>
        <v>19600000</v>
      </c>
    </row>
    <row r="702" spans="1:1" x14ac:dyDescent="0.25">
      <c r="A702">
        <f t="shared" si="9"/>
        <v>20000000</v>
      </c>
    </row>
    <row r="703" spans="1:1" x14ac:dyDescent="0.25">
      <c r="A703">
        <f t="shared" si="9"/>
        <v>20500000</v>
      </c>
    </row>
    <row r="704" spans="1:1" x14ac:dyDescent="0.25">
      <c r="A704">
        <f t="shared" si="9"/>
        <v>21000000</v>
      </c>
    </row>
    <row r="705" spans="1:1" x14ac:dyDescent="0.25">
      <c r="A705">
        <f t="shared" si="9"/>
        <v>21500000</v>
      </c>
    </row>
    <row r="706" spans="1:1" x14ac:dyDescent="0.25">
      <c r="A706">
        <f t="shared" si="9"/>
        <v>22100000</v>
      </c>
    </row>
    <row r="707" spans="1:1" x14ac:dyDescent="0.25">
      <c r="A707">
        <f t="shared" si="9"/>
        <v>22600000</v>
      </c>
    </row>
    <row r="708" spans="1:1" x14ac:dyDescent="0.25">
      <c r="A708">
        <f t="shared" si="9"/>
        <v>23200000</v>
      </c>
    </row>
    <row r="709" spans="1:1" x14ac:dyDescent="0.25">
      <c r="A709">
        <f t="shared" si="9"/>
        <v>23700000.000000004</v>
      </c>
    </row>
    <row r="710" spans="1:1" x14ac:dyDescent="0.25">
      <c r="A710">
        <f t="shared" si="9"/>
        <v>24300000</v>
      </c>
    </row>
    <row r="711" spans="1:1" x14ac:dyDescent="0.25">
      <c r="A711">
        <f t="shared" si="9"/>
        <v>24900000</v>
      </c>
    </row>
    <row r="712" spans="1:1" x14ac:dyDescent="0.25">
      <c r="A712">
        <f t="shared" si="9"/>
        <v>25500000</v>
      </c>
    </row>
    <row r="713" spans="1:1" x14ac:dyDescent="0.25">
      <c r="A713">
        <f t="shared" si="9"/>
        <v>26100000</v>
      </c>
    </row>
    <row r="714" spans="1:1" x14ac:dyDescent="0.25">
      <c r="A714">
        <f t="shared" si="9"/>
        <v>26700000</v>
      </c>
    </row>
    <row r="715" spans="1:1" x14ac:dyDescent="0.25">
      <c r="A715">
        <f t="shared" si="9"/>
        <v>27400000</v>
      </c>
    </row>
    <row r="716" spans="1:1" x14ac:dyDescent="0.25">
      <c r="A716">
        <f t="shared" si="9"/>
        <v>28000000</v>
      </c>
    </row>
    <row r="717" spans="1:1" x14ac:dyDescent="0.25">
      <c r="A717">
        <f t="shared" si="9"/>
        <v>28700000</v>
      </c>
    </row>
    <row r="718" spans="1:1" x14ac:dyDescent="0.25">
      <c r="A718">
        <f t="shared" si="9"/>
        <v>29400000</v>
      </c>
    </row>
    <row r="719" spans="1:1" x14ac:dyDescent="0.25">
      <c r="A719">
        <f t="shared" si="9"/>
        <v>30100000</v>
      </c>
    </row>
    <row r="720" spans="1:1" x14ac:dyDescent="0.25">
      <c r="A720">
        <f t="shared" si="9"/>
        <v>30900000</v>
      </c>
    </row>
    <row r="721" spans="1:1" x14ac:dyDescent="0.25">
      <c r="A721">
        <f t="shared" si="9"/>
        <v>31600000</v>
      </c>
    </row>
    <row r="722" spans="1:1" x14ac:dyDescent="0.25">
      <c r="A722">
        <f t="shared" si="9"/>
        <v>32400000</v>
      </c>
    </row>
    <row r="723" spans="1:1" x14ac:dyDescent="0.25">
      <c r="A723">
        <f t="shared" si="9"/>
        <v>33200000</v>
      </c>
    </row>
    <row r="724" spans="1:1" x14ac:dyDescent="0.25">
      <c r="A724">
        <f t="shared" si="9"/>
        <v>34000000</v>
      </c>
    </row>
    <row r="725" spans="1:1" x14ac:dyDescent="0.25">
      <c r="A725">
        <f t="shared" si="9"/>
        <v>34800000</v>
      </c>
    </row>
    <row r="726" spans="1:1" x14ac:dyDescent="0.25">
      <c r="A726">
        <f t="shared" si="9"/>
        <v>35700000</v>
      </c>
    </row>
    <row r="727" spans="1:1" x14ac:dyDescent="0.25">
      <c r="A727">
        <f t="shared" si="9"/>
        <v>36500000</v>
      </c>
    </row>
    <row r="728" spans="1:1" x14ac:dyDescent="0.25">
      <c r="A728">
        <f t="shared" si="9"/>
        <v>37400000</v>
      </c>
    </row>
    <row r="729" spans="1:1" x14ac:dyDescent="0.25">
      <c r="A729">
        <f t="shared" si="9"/>
        <v>38300000</v>
      </c>
    </row>
    <row r="730" spans="1:1" x14ac:dyDescent="0.25">
      <c r="A730">
        <f t="shared" si="9"/>
        <v>39200000</v>
      </c>
    </row>
    <row r="731" spans="1:1" x14ac:dyDescent="0.25">
      <c r="A731">
        <f t="shared" si="9"/>
        <v>40200000</v>
      </c>
    </row>
    <row r="732" spans="1:1" x14ac:dyDescent="0.25">
      <c r="A732">
        <f t="shared" si="9"/>
        <v>41200000</v>
      </c>
    </row>
    <row r="733" spans="1:1" x14ac:dyDescent="0.25">
      <c r="A733">
        <f t="shared" si="9"/>
        <v>42200000</v>
      </c>
    </row>
    <row r="734" spans="1:1" x14ac:dyDescent="0.25">
      <c r="A734">
        <f t="shared" si="9"/>
        <v>43200000</v>
      </c>
    </row>
    <row r="735" spans="1:1" x14ac:dyDescent="0.25">
      <c r="A735">
        <f t="shared" si="9"/>
        <v>44200000</v>
      </c>
    </row>
    <row r="736" spans="1:1" x14ac:dyDescent="0.25">
      <c r="A736">
        <f t="shared" si="9"/>
        <v>45300000</v>
      </c>
    </row>
    <row r="737" spans="1:1" x14ac:dyDescent="0.25">
      <c r="A737">
        <f t="shared" si="9"/>
        <v>46400000</v>
      </c>
    </row>
    <row r="738" spans="1:1" x14ac:dyDescent="0.25">
      <c r="A738">
        <f t="shared" ref="A738:A769" si="10">A642*10</f>
        <v>47500000</v>
      </c>
    </row>
    <row r="739" spans="1:1" x14ac:dyDescent="0.25">
      <c r="A739">
        <f t="shared" si="10"/>
        <v>48700000</v>
      </c>
    </row>
    <row r="740" spans="1:1" x14ac:dyDescent="0.25">
      <c r="A740">
        <f t="shared" si="10"/>
        <v>49900000.000000007</v>
      </c>
    </row>
    <row r="741" spans="1:1" x14ac:dyDescent="0.25">
      <c r="A741">
        <f t="shared" si="10"/>
        <v>51100000</v>
      </c>
    </row>
    <row r="742" spans="1:1" x14ac:dyDescent="0.25">
      <c r="A742">
        <f t="shared" si="10"/>
        <v>52300000</v>
      </c>
    </row>
    <row r="743" spans="1:1" x14ac:dyDescent="0.25">
      <c r="A743">
        <f t="shared" si="10"/>
        <v>53600000</v>
      </c>
    </row>
    <row r="744" spans="1:1" x14ac:dyDescent="0.25">
      <c r="A744">
        <f t="shared" si="10"/>
        <v>54900000</v>
      </c>
    </row>
    <row r="745" spans="1:1" x14ac:dyDescent="0.25">
      <c r="A745">
        <f t="shared" si="10"/>
        <v>56200000</v>
      </c>
    </row>
    <row r="746" spans="1:1" x14ac:dyDescent="0.25">
      <c r="A746">
        <f t="shared" si="10"/>
        <v>57600000</v>
      </c>
    </row>
    <row r="747" spans="1:1" x14ac:dyDescent="0.25">
      <c r="A747">
        <f t="shared" si="10"/>
        <v>59000000</v>
      </c>
    </row>
    <row r="748" spans="1:1" x14ac:dyDescent="0.25">
      <c r="A748">
        <f t="shared" si="10"/>
        <v>60400000</v>
      </c>
    </row>
    <row r="749" spans="1:1" x14ac:dyDescent="0.25">
      <c r="A749">
        <f t="shared" si="10"/>
        <v>61899999.999999993</v>
      </c>
    </row>
    <row r="750" spans="1:1" x14ac:dyDescent="0.25">
      <c r="A750">
        <f t="shared" si="10"/>
        <v>63400000</v>
      </c>
    </row>
    <row r="751" spans="1:1" x14ac:dyDescent="0.25">
      <c r="A751">
        <f t="shared" si="10"/>
        <v>64900000</v>
      </c>
    </row>
    <row r="752" spans="1:1" x14ac:dyDescent="0.25">
      <c r="A752">
        <f t="shared" si="10"/>
        <v>66500000</v>
      </c>
    </row>
    <row r="753" spans="1:1" x14ac:dyDescent="0.25">
      <c r="A753">
        <f t="shared" si="10"/>
        <v>68100000</v>
      </c>
    </row>
    <row r="754" spans="1:1" x14ac:dyDescent="0.25">
      <c r="A754">
        <f t="shared" si="10"/>
        <v>69800000</v>
      </c>
    </row>
    <row r="755" spans="1:1" x14ac:dyDescent="0.25">
      <c r="A755">
        <f t="shared" si="10"/>
        <v>71500000</v>
      </c>
    </row>
    <row r="756" spans="1:1" x14ac:dyDescent="0.25">
      <c r="A756">
        <f t="shared" si="10"/>
        <v>73200000</v>
      </c>
    </row>
    <row r="757" spans="1:1" x14ac:dyDescent="0.25">
      <c r="A757">
        <f t="shared" si="10"/>
        <v>75000000</v>
      </c>
    </row>
    <row r="758" spans="1:1" x14ac:dyDescent="0.25">
      <c r="A758">
        <f t="shared" si="10"/>
        <v>76800000</v>
      </c>
    </row>
    <row r="759" spans="1:1" x14ac:dyDescent="0.25">
      <c r="A759">
        <f t="shared" si="10"/>
        <v>78700000</v>
      </c>
    </row>
    <row r="760" spans="1:1" x14ac:dyDescent="0.25">
      <c r="A760">
        <f t="shared" si="10"/>
        <v>80600000</v>
      </c>
    </row>
    <row r="761" spans="1:1" x14ac:dyDescent="0.25">
      <c r="A761">
        <f t="shared" si="10"/>
        <v>82500000</v>
      </c>
    </row>
    <row r="762" spans="1:1" x14ac:dyDescent="0.25">
      <c r="A762">
        <f t="shared" si="10"/>
        <v>84500000</v>
      </c>
    </row>
    <row r="763" spans="1:1" x14ac:dyDescent="0.25">
      <c r="A763">
        <f t="shared" si="10"/>
        <v>86600000</v>
      </c>
    </row>
    <row r="764" spans="1:1" x14ac:dyDescent="0.25">
      <c r="A764">
        <f t="shared" si="10"/>
        <v>88700000.000000015</v>
      </c>
    </row>
    <row r="765" spans="1:1" x14ac:dyDescent="0.25">
      <c r="A765">
        <f t="shared" si="10"/>
        <v>90900000</v>
      </c>
    </row>
    <row r="766" spans="1:1" x14ac:dyDescent="0.25">
      <c r="A766">
        <f t="shared" si="10"/>
        <v>93100000</v>
      </c>
    </row>
    <row r="767" spans="1:1" x14ac:dyDescent="0.25">
      <c r="A767">
        <f t="shared" si="10"/>
        <v>95300000</v>
      </c>
    </row>
    <row r="768" spans="1:1" x14ac:dyDescent="0.25">
      <c r="A768">
        <f t="shared" si="10"/>
        <v>97600000</v>
      </c>
    </row>
    <row r="769" spans="1:1" x14ac:dyDescent="0.25">
      <c r="A769">
        <f t="shared" si="10"/>
        <v>100000000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5B23-6B9C-4B9E-919D-870D0C3BD4D5}">
  <sheetPr codeName="Sheet5"/>
  <dimension ref="A1:C8"/>
  <sheetViews>
    <sheetView topLeftCell="A3" zoomScale="85" zoomScaleNormal="85" workbookViewId="0">
      <selection activeCell="A9" sqref="A9"/>
    </sheetView>
  </sheetViews>
  <sheetFormatPr defaultRowHeight="13.2" x14ac:dyDescent="0.25"/>
  <cols>
    <col min="1" max="1" width="106.44140625" customWidth="1"/>
    <col min="2" max="2" width="14.44140625" bestFit="1" customWidth="1"/>
  </cols>
  <sheetData>
    <row r="1" spans="1:3" ht="401.4" customHeight="1" x14ac:dyDescent="0.25">
      <c r="A1" s="1"/>
      <c r="B1" s="1" t="s">
        <v>385</v>
      </c>
      <c r="C1" s="1"/>
    </row>
    <row r="2" spans="1:3" ht="349.2" customHeight="1" x14ac:dyDescent="0.25">
      <c r="A2" s="1"/>
      <c r="B2" s="1" t="s">
        <v>440</v>
      </c>
      <c r="C2" s="1"/>
    </row>
    <row r="3" spans="1:3" ht="136.19999999999999" customHeight="1" x14ac:dyDescent="0.25">
      <c r="A3" s="158" t="s">
        <v>513</v>
      </c>
      <c r="B3" s="1" t="s">
        <v>512</v>
      </c>
      <c r="C3" s="1"/>
    </row>
    <row r="4" spans="1:3" x14ac:dyDescent="0.25">
      <c r="A4" s="1"/>
      <c r="B4" s="1"/>
      <c r="C4" s="1"/>
    </row>
    <row r="5" spans="1:3" x14ac:dyDescent="0.25">
      <c r="A5" s="1"/>
      <c r="B5" s="1"/>
      <c r="C5" s="1"/>
    </row>
    <row r="6" spans="1:3" x14ac:dyDescent="0.25">
      <c r="A6" s="1"/>
      <c r="B6" s="1"/>
      <c r="C6" s="1"/>
    </row>
    <row r="7" spans="1:3" x14ac:dyDescent="0.25">
      <c r="A7" s="1"/>
      <c r="B7" s="1"/>
      <c r="C7" s="1"/>
    </row>
    <row r="8" spans="1:3" x14ac:dyDescent="0.25">
      <c r="A8" s="1"/>
      <c r="B8" s="1"/>
      <c r="C8" s="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60960</xdr:colOff>
                <xdr:row>0</xdr:row>
                <xdr:rowOff>76200</xdr:rowOff>
              </from>
              <to>
                <xdr:col>0</xdr:col>
                <xdr:colOff>7200900</xdr:colOff>
                <xdr:row>0</xdr:row>
                <xdr:rowOff>4945380</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68580</xdr:colOff>
                <xdr:row>1</xdr:row>
                <xdr:rowOff>60960</xdr:rowOff>
              </from>
              <to>
                <xdr:col>0</xdr:col>
                <xdr:colOff>7185660</xdr:colOff>
                <xdr:row>1</xdr:row>
                <xdr:rowOff>4351020</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266-1C9E-4CB4-9BDB-66E0A9FBB5C9}">
  <sheetPr codeName="Sheet6"/>
  <dimension ref="A1:CF139"/>
  <sheetViews>
    <sheetView topLeftCell="R89" zoomScale="85" zoomScaleNormal="85" workbookViewId="0">
      <selection activeCell="V138" sqref="V138"/>
    </sheetView>
  </sheetViews>
  <sheetFormatPr defaultRowHeight="13.2" x14ac:dyDescent="0.25"/>
  <cols>
    <col min="1" max="1" width="113.33203125" customWidth="1"/>
    <col min="2" max="2" width="14.5546875" bestFit="1" customWidth="1"/>
    <col min="3" max="3" width="10" bestFit="1" customWidth="1"/>
    <col min="5" max="5" width="8.33203125" bestFit="1" customWidth="1"/>
    <col min="6" max="6" width="14.33203125" bestFit="1" customWidth="1"/>
    <col min="7" max="7" width="13.88671875" customWidth="1"/>
    <col min="8" max="8" width="14.109375" customWidth="1"/>
    <col min="9" max="9" width="20.44140625" bestFit="1" customWidth="1"/>
    <col min="10" max="10" width="22.44140625" bestFit="1" customWidth="1"/>
    <col min="11" max="11" width="19.5546875" customWidth="1"/>
    <col min="12" max="12" width="13" customWidth="1"/>
    <col min="13" max="13" width="19.5546875" customWidth="1"/>
    <col min="14" max="14" width="14.5546875" bestFit="1" customWidth="1"/>
    <col min="15" max="15" width="16.5546875" bestFit="1" customWidth="1"/>
    <col min="16" max="16" width="16.21875" customWidth="1"/>
    <col min="17" max="17" width="18" customWidth="1"/>
    <col min="18" max="18" width="15.33203125" customWidth="1"/>
    <col min="19" max="19" width="15" customWidth="1"/>
    <col min="20" max="20" width="17.109375" bestFit="1" customWidth="1"/>
    <col min="21" max="21" width="17.109375" customWidth="1"/>
    <col min="22" max="22" width="17.77734375" customWidth="1"/>
    <col min="23" max="25" width="16" customWidth="1"/>
    <col min="27" max="27" width="22" customWidth="1"/>
    <col min="28" max="28" width="22.77734375" bestFit="1" customWidth="1"/>
    <col min="29" max="29" width="19.109375" bestFit="1" customWidth="1"/>
    <col min="30" max="30" width="21.109375" bestFit="1" customWidth="1"/>
    <col min="31" max="31" width="19.88671875" customWidth="1"/>
    <col min="32" max="32" width="20.5546875" customWidth="1"/>
    <col min="35" max="35" width="11.44140625" bestFit="1" customWidth="1"/>
    <col min="36" max="36" width="9.5546875" bestFit="1" customWidth="1"/>
    <col min="37" max="37" width="11.33203125" customWidth="1"/>
    <col min="38" max="38" width="9.5546875" bestFit="1" customWidth="1"/>
    <col min="39" max="39" width="11.44140625" bestFit="1" customWidth="1"/>
    <col min="41" max="42" width="13.109375" bestFit="1" customWidth="1"/>
    <col min="44" max="44" width="11.44140625" bestFit="1" customWidth="1"/>
    <col min="49" max="49" width="15.77734375" bestFit="1" customWidth="1"/>
    <col min="50" max="50" width="15.44140625" customWidth="1"/>
    <col min="51" max="51" width="14.88671875" customWidth="1"/>
    <col min="52" max="52" width="15.5546875" bestFit="1" customWidth="1"/>
    <col min="53" max="54" width="17.109375" customWidth="1"/>
    <col min="55" max="55" width="18.77734375" customWidth="1"/>
    <col min="56" max="56" width="23.6640625" customWidth="1"/>
    <col min="57" max="57" width="20.88671875" customWidth="1"/>
    <col min="58" max="58" width="22" customWidth="1"/>
    <col min="59" max="59" width="22.6640625" customWidth="1"/>
    <col min="60" max="60" width="21.77734375" customWidth="1"/>
    <col min="61" max="61" width="19.21875" customWidth="1"/>
    <col min="64" max="64" width="10.77734375" bestFit="1" customWidth="1"/>
    <col min="66" max="66" width="14.88671875" bestFit="1" customWidth="1"/>
    <col min="68" max="68" width="10.44140625" bestFit="1" customWidth="1"/>
    <col min="73" max="73" width="12.21875" customWidth="1"/>
    <col min="83" max="83" width="112.77734375" customWidth="1"/>
  </cols>
  <sheetData>
    <row r="1" spans="1:84" ht="372.6" customHeight="1" x14ac:dyDescent="0.25">
      <c r="A1" s="1"/>
      <c r="B1" s="1"/>
      <c r="CD1" s="1"/>
      <c r="CE1" s="1"/>
      <c r="CF1" s="1"/>
    </row>
    <row r="2" spans="1:84" ht="16.2" customHeight="1" x14ac:dyDescent="0.25">
      <c r="A2" s="1" t="s">
        <v>433</v>
      </c>
      <c r="B2" s="1"/>
      <c r="CD2" s="1"/>
      <c r="CE2" s="1" t="s">
        <v>439</v>
      </c>
      <c r="CF2" s="1"/>
    </row>
    <row r="3" spans="1:84" ht="17.399999999999999" x14ac:dyDescent="0.3">
      <c r="AJ3" s="136" t="str">
        <f>"Phase Margin = "&amp;ROUND(AJ8,0)&amp;" °"</f>
        <v>Phase Margin = 67 °</v>
      </c>
      <c r="AK3" s="46"/>
      <c r="AM3" s="46"/>
      <c r="AO3" s="137" t="str">
        <f>"Gain Margin = "&amp;-1*ROUND(AL8,1)&amp;" dB"</f>
        <v>Gain Margin = 30.6 dB</v>
      </c>
      <c r="BM3" s="136" t="str">
        <f>"Phase Margin = "&amp;ROUND(BM8,0)&amp;" °"</f>
        <v>Phase Margin = 74 °</v>
      </c>
      <c r="BN3" s="46"/>
      <c r="BP3" s="46"/>
      <c r="BR3" s="137" t="str">
        <f>"Gain Margin = "&amp;-1*ROUND(BO8,1)&amp;" dB"</f>
        <v>Gain Margin = 17.8 dB</v>
      </c>
    </row>
    <row r="5" spans="1:84" ht="13.8" thickBot="1" x14ac:dyDescent="0.3"/>
    <row r="6" spans="1:84" ht="27.6" x14ac:dyDescent="0.35">
      <c r="AI6" s="135" t="s">
        <v>438</v>
      </c>
      <c r="AJ6" s="39" t="s">
        <v>430</v>
      </c>
      <c r="AK6" s="39" t="s">
        <v>431</v>
      </c>
      <c r="AL6" s="129" t="s">
        <v>224</v>
      </c>
      <c r="AM6" s="134" t="s">
        <v>434</v>
      </c>
      <c r="AN6" s="131"/>
      <c r="AO6" s="135" t="s">
        <v>435</v>
      </c>
      <c r="AP6" s="134" t="s">
        <v>437</v>
      </c>
      <c r="AQ6" s="131"/>
      <c r="AR6" s="134" t="s">
        <v>436</v>
      </c>
      <c r="AS6" s="131"/>
      <c r="BL6" s="135" t="s">
        <v>438</v>
      </c>
      <c r="BM6" s="39" t="s">
        <v>430</v>
      </c>
      <c r="BN6" s="39" t="s">
        <v>431</v>
      </c>
      <c r="BO6" s="129" t="s">
        <v>224</v>
      </c>
      <c r="BP6" s="134" t="s">
        <v>456</v>
      </c>
      <c r="BQ6" s="131"/>
      <c r="BR6" s="135" t="s">
        <v>435</v>
      </c>
      <c r="BS6" s="134" t="s">
        <v>437</v>
      </c>
      <c r="BT6" s="131"/>
      <c r="BU6" s="134" t="s">
        <v>436</v>
      </c>
      <c r="BV6" s="131"/>
      <c r="BX6" s="155" t="s">
        <v>490</v>
      </c>
    </row>
    <row r="7" spans="1:84" ht="13.8" thickBot="1" x14ac:dyDescent="0.3">
      <c r="D7" s="56"/>
      <c r="E7" s="56"/>
      <c r="F7" s="56"/>
      <c r="G7" s="58"/>
      <c r="H7" s="59"/>
      <c r="I7" s="56"/>
      <c r="AH7" t="s">
        <v>428</v>
      </c>
      <c r="AI7">
        <v>0</v>
      </c>
      <c r="AJ7" s="125">
        <f>AI8</f>
        <v>4238.5852502556081</v>
      </c>
      <c r="AK7">
        <v>-180</v>
      </c>
      <c r="AL7" s="47">
        <f>AK8</f>
        <v>208679.48728805364</v>
      </c>
      <c r="AM7" s="132">
        <v>-45</v>
      </c>
      <c r="AN7" s="133">
        <v>-45</v>
      </c>
      <c r="AO7">
        <v>-45</v>
      </c>
      <c r="AP7" s="132">
        <v>-45</v>
      </c>
      <c r="AQ7" s="133">
        <v>-45</v>
      </c>
      <c r="AR7" s="132">
        <v>-45</v>
      </c>
      <c r="AS7" s="133">
        <v>-45</v>
      </c>
      <c r="BK7" t="s">
        <v>428</v>
      </c>
      <c r="BL7">
        <v>0</v>
      </c>
      <c r="BM7" s="125">
        <f>BL8</f>
        <v>18940.469776327958</v>
      </c>
      <c r="BN7">
        <v>-180</v>
      </c>
      <c r="BO7" s="47">
        <f>BN8</f>
        <v>146019.05547315525</v>
      </c>
      <c r="BP7" s="132">
        <v>-45</v>
      </c>
      <c r="BQ7" s="133">
        <v>-45</v>
      </c>
      <c r="BR7">
        <v>-45</v>
      </c>
      <c r="BS7" s="132">
        <v>-45</v>
      </c>
      <c r="BT7" s="133">
        <v>-45</v>
      </c>
      <c r="BU7" s="132">
        <v>-45</v>
      </c>
      <c r="BV7" s="133">
        <v>-45</v>
      </c>
      <c r="BX7">
        <f>f.p_imon</f>
        <v>609.78918085497298</v>
      </c>
    </row>
    <row r="8" spans="1:84" x14ac:dyDescent="0.25">
      <c r="D8" s="39"/>
      <c r="E8" s="39"/>
      <c r="F8" s="39"/>
      <c r="G8" s="58"/>
      <c r="H8" s="60"/>
      <c r="I8" s="39"/>
      <c r="AH8" t="s">
        <v>429</v>
      </c>
      <c r="AI8" s="126">
        <f>SUM(AI12:AI138)</f>
        <v>4238.5852502556081</v>
      </c>
      <c r="AJ8" s="126">
        <f>180+SUM(AJ12:AJ138)</f>
        <v>67.15917149473556</v>
      </c>
      <c r="AK8" s="127">
        <f t="shared" ref="AK8:AQ8" si="0">SUM(AK12:AK138)</f>
        <v>208679.48728805364</v>
      </c>
      <c r="AL8" s="128">
        <f t="shared" si="0"/>
        <v>-30.64518163205971</v>
      </c>
      <c r="AM8" s="126">
        <f t="shared" si="0"/>
        <v>441.01677775608169</v>
      </c>
      <c r="AN8" s="126">
        <f t="shared" si="0"/>
        <v>29.924363075503937</v>
      </c>
      <c r="AO8" s="126">
        <f t="shared" si="0"/>
        <v>149376.87847269714</v>
      </c>
      <c r="AP8" s="126">
        <f>f.z_err</f>
        <v>2247.9516412874</v>
      </c>
      <c r="AQ8" s="126">
        <f t="shared" si="0"/>
        <v>7.4023265610413711</v>
      </c>
      <c r="AR8" s="126">
        <f>MAX(AR12:AR138)</f>
        <v>120818.18592749792</v>
      </c>
      <c r="AS8" s="126">
        <f>MIN(AS12:AS138)</f>
        <v>-27.388318590299171</v>
      </c>
      <c r="BK8" t="s">
        <v>429</v>
      </c>
      <c r="BL8" s="126">
        <f>SUM(BL12:BL138)</f>
        <v>18940.469776327958</v>
      </c>
      <c r="BM8" s="126">
        <f>180+SUM(BM12:BM138)</f>
        <v>74.39066406968972</v>
      </c>
      <c r="BN8" s="127">
        <f>SUM(BN12:BN138)</f>
        <v>146019.05547315525</v>
      </c>
      <c r="BO8" s="128">
        <f>SUM(BO12:BO138)</f>
        <v>-17.818810577275986</v>
      </c>
      <c r="BP8" s="126">
        <f>SUM(BP12:BP138)</f>
        <v>159215.99526201957</v>
      </c>
      <c r="BQ8" s="126">
        <f>SUM(BQ12:BQ138)</f>
        <v>-18.678225647325377</v>
      </c>
      <c r="BR8" s="126">
        <f>SUM(BR12:BR138)</f>
        <v>0</v>
      </c>
      <c r="BS8" s="126">
        <f>f.z_err</f>
        <v>2247.9516412874</v>
      </c>
      <c r="BT8" s="126">
        <f>AQ8</f>
        <v>7.4023265610413711</v>
      </c>
      <c r="BU8" s="126">
        <f>MAX(BU12:BU138)</f>
        <v>120818.18592749792</v>
      </c>
      <c r="BV8" s="126">
        <f>SUM(BV12:BV138)</f>
        <v>-14.592158198241144</v>
      </c>
      <c r="BX8" s="128">
        <f>SUM(BX12:BX138)</f>
        <v>37.605591739265726</v>
      </c>
    </row>
    <row r="9" spans="1:84" x14ac:dyDescent="0.25">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5">
      <c r="G10" s="58"/>
      <c r="H10" s="58"/>
      <c r="AA10" s="140" t="s">
        <v>447</v>
      </c>
      <c r="AB10" s="46"/>
      <c r="AC10" s="46"/>
      <c r="AD10" s="46"/>
      <c r="AE10" s="46"/>
      <c r="AF10" s="46"/>
      <c r="BD10" s="140" t="s">
        <v>450</v>
      </c>
      <c r="BE10" s="46"/>
      <c r="BF10" s="46"/>
      <c r="BG10" s="46"/>
      <c r="BH10" s="46"/>
      <c r="BI10" s="46"/>
    </row>
    <row r="11" spans="1:84" x14ac:dyDescent="0.25">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8" t="s">
        <v>543</v>
      </c>
      <c r="V11" s="97" t="s">
        <v>412</v>
      </c>
      <c r="W11" s="98" t="s">
        <v>413</v>
      </c>
      <c r="X11" s="156" t="s">
        <v>492</v>
      </c>
      <c r="Y11" s="156"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2" t="s">
        <v>454</v>
      </c>
      <c r="BC11" s="98" t="s">
        <v>455</v>
      </c>
      <c r="BD11" s="121" t="s">
        <v>422</v>
      </c>
      <c r="BE11" s="122" t="s">
        <v>423</v>
      </c>
      <c r="BF11" s="121" t="s">
        <v>451</v>
      </c>
      <c r="BG11" s="122" t="s">
        <v>452</v>
      </c>
      <c r="BH11" s="124" t="s">
        <v>426</v>
      </c>
      <c r="BI11" s="122" t="s">
        <v>427</v>
      </c>
    </row>
    <row r="12" spans="1:84" x14ac:dyDescent="0.25">
      <c r="C12" t="s">
        <v>391</v>
      </c>
      <c r="D12" s="57">
        <f>V.slope_typ*f.sw</f>
        <v>211500</v>
      </c>
      <c r="E12">
        <v>1</v>
      </c>
      <c r="F12">
        <v>1</v>
      </c>
      <c r="G12" s="58">
        <f t="shared" ref="G12:G43" si="1">20*LOG(IMABS(IMDIV(1,IMSUM(0,IMSUM(COMPLEX(0,2*PI*F12/Wsh),COMPLEX(1-(F12/fsw_sh)^2,0))))))</f>
        <v>1.0961510312242048E-10</v>
      </c>
      <c r="H12" s="58">
        <f t="shared" ref="H12:H43" si="2">180/PI*IMARGUMENT(IMDIV(1,IMSUM(0,IMSUM(COMPLEX(0,2*PI*F12/Wsh),COMPLEX(1-(F12/fsw_sh)^2,0)))))</f>
        <v>-1.898537234069988E-4</v>
      </c>
      <c r="I12">
        <f>20*LOG(IMABS(IMPRODUCT(A_COMP2VOUT,IMDIV(COMPLEX(1, 2*PI*F12/Wesr_zero),COMPLEX(1, 2*PI*F12/Wload_pole)))))</f>
        <v>32.610592141012141</v>
      </c>
      <c r="J12">
        <f t="shared" ref="J12:J43" si="3">180/PI*(IMARGUMENT(IMPRODUCT(A_COMP2VOUT,IMDIV(COMPLEX(1, 2*PI*F12/Wesr_zero),COMPLEX(1, 2*PI*F12/Wload_pole)))))</f>
        <v>-0.13004666302237614</v>
      </c>
      <c r="K12" t="str">
        <f t="shared" ref="K12:K43" si="4">IMDIV(IMPRODUCT(COMPLEX(R.fbb,0),IMDIV(COMPLEX(1,0),COMPLEX(0,2*PI*F12*C.fbb))),IMSUM(COMPLEX(R.fbb,0),IMDIV(COMPLEX(1,0),COMPLEX(0,2*PI*F12*C.fbb))) )</f>
        <v>5286.34361233246-0.00351172542063537i</v>
      </c>
      <c r="L12" t="str">
        <f t="shared" ref="L12:L43" si="5">IMSUM(COMPLEX(R.ff,0),IMDIV(COMPLEX(1,0),COMPLEX(0,2*PI*F12*C.ff)))</f>
        <v>1000000-159154976203.148i</v>
      </c>
      <c r="M12" t="str">
        <f t="shared" ref="M12:M43" si="6">IMDIV(IMPRODUCT(COMPLEX(R.fbt,0),L12),IMSUM(COMPLEX(R.fbt,0),L12))</f>
        <v>149999.999998978-0.141371639992619i</v>
      </c>
      <c r="N12">
        <f>20*LOG(IMABS(IMDIV(K12,IMSUM(K12,M12))))</f>
        <v>-29.359557505544245</v>
      </c>
      <c r="O12">
        <f t="shared" ref="O12:O43" si="7">180/PI*IMARGUMENT((IMDIV(K12,IMSUM(K12,M12))))</f>
        <v>1.5395744678469843E-5</v>
      </c>
      <c r="P12" t="str">
        <f t="shared" ref="P12:P43" si="8">IMDIV(COMPLEX(1,0),COMPLEX(0,2*PI*F12*C.hf))</f>
        <v>-3386276089.42868i</v>
      </c>
      <c r="Q12" t="str">
        <f t="shared" ref="Q12:Q43" si="9">IMSUM(R.comp,0,IMDIV(COMPLEX(1,0),COMPLEX(0,2*PI*F12*C.comp)))</f>
        <v>5900-13262914.6835957i</v>
      </c>
      <c r="R12" t="str">
        <f>IMDIV(IMPRODUCT(P12,Q12),IMSUM(P12,Q12))</f>
        <v>5854.05344518893-13211170.9409433i</v>
      </c>
      <c r="S12" t="str">
        <f t="shared" ref="S12:S43" si="10">IMDIV(IMPRODUCT(COMPLEX(R.eaout,0),IMDIV(1,COMPLEX(0,2*PI*F12*C.eaout))),IMSUM(COMPLEX(R.eaout,0),IMDIV(1,COMPLEX(0,2*PI*F12*C.eaout))))</f>
        <v>99999842.0866447-125663.481560266i</v>
      </c>
      <c r="T12" t="str">
        <f>IMDIV(IMPRODUCT(R12,S12),IMSUM(R12,S12))</f>
        <v>1720404.96672568-12980970.4590763i</v>
      </c>
      <c r="U12" t="str">
        <f>IMDIV(COMPLEX(1,0),IMSUM(COMPLEX(1,0),COMPLEX(0,F12/200000)))</f>
        <v>0.999999999975-0.000004999999999875i</v>
      </c>
      <c r="V12">
        <f t="shared" ref="V12:V43" si="11">20*LOG(IMABS(IMPRODUCT(IMPRODUCT(COMPLEX(GM,0),T12),U12)))</f>
        <v>82.341764647886521</v>
      </c>
      <c r="W12">
        <f t="shared" ref="W12:W43" si="12">180/PI*IMARGUMENT((IMPRODUCT(IMPRODUCT(COMPLEX(GM,0),T12),U12)))</f>
        <v>-82.45072836444028</v>
      </c>
      <c r="X12">
        <f>20*LOG(IMABS(U12))</f>
        <v>-1.0857362945991318E-10</v>
      </c>
      <c r="Y12">
        <f t="shared" ref="Y12:Y43" si="13">180/PI*IMARGUMENT((U12))</f>
        <v>-2.8647895716327903E-4</v>
      </c>
      <c r="AA12" s="123">
        <f>G12+I12</f>
        <v>32.610592141121757</v>
      </c>
      <c r="AB12" s="123">
        <f>H12+J12</f>
        <v>-0.13023651674578313</v>
      </c>
      <c r="AC12">
        <f>N12+V12</f>
        <v>52.982207142342276</v>
      </c>
      <c r="AD12">
        <f>O12+W12</f>
        <v>-82.450712968695598</v>
      </c>
      <c r="AE12" s="123">
        <f>AA12+AC12</f>
        <v>85.592799283464032</v>
      </c>
      <c r="AF12" s="123">
        <f>AB12+AD12</f>
        <v>-82.58094948544138</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4">COMPLEX(R.imon,0)</f>
        <v>26100</v>
      </c>
      <c r="AX12" t="str">
        <f t="shared" ref="AX12:AX43" si="15">IMSUM(R.imonhf,0,IMDIV(COMPLEX(1,0),COMPLEX(0,2*PI*F12*C.imon)))</f>
        <v>0.001-15915497.6203148i</v>
      </c>
      <c r="AY12" t="str">
        <f>IMDIV(IMPRODUCT(AW12,AX12),IMSUM(AW12,AX12))</f>
        <v>26099.9298092429-42.8015626197992i</v>
      </c>
      <c r="AZ12">
        <f t="shared" ref="AZ12:AZ43" si="16">20*LOG(IMABS(IMDIV(IMPRODUCT(IMPRODUCT(COMPLEX(-1,0),COMPLEX(GM.imon,0)),AY12),COMPLEX(A.s_typ,0))))</f>
        <v>14.353398380543075</v>
      </c>
      <c r="BA12">
        <f t="shared" ref="BA12:BA43" si="17">180/PI*(IMARGUMENT(IMDIV(IMPRODUCT(IMPRODUCT(COMPLEX(1,0),COMPLEX(GM.imon,0)),AY12),COMPLEX(A.s_typ,0))))</f>
        <v>-9.3959915770994343E-2</v>
      </c>
      <c r="BB12">
        <f t="shared" ref="BB12:BB43" si="18">20*LOG(IMABS(IMPRODUCT(A_COMP2CS,IMPRODUCT(IMDIV(COMPLEX(1, 2*PI*F12/Wesr_zero),COMPLEX(1, 2*PI*F12/Wload_pole)),IMDIV(COMPLEX(1, 2*PI*F12/WloadZ),COMPLEX(1, 2*PI*F12/Wesr_zero))))))</f>
        <v>-2.7695226950872702</v>
      </c>
      <c r="BC12">
        <f t="shared" ref="BC12:BC43" si="19">180/PI*(IMARGUMENT(IMPRODUCT(A_COMP2CS,IMPRODUCT(IMDIV(COMPLEX(1, 2*PI*F12/Wesr_zero),COMPLEX(1, 2*PI*F12/Wload_pole)),IMDIV(COMPLEX(1, 2*PI*F12/WloadZ),COMPLEX(1, 2*PI*F12/Wesr_zero))))))</f>
        <v>4.8982370597098472E-2</v>
      </c>
      <c r="BD12" s="123">
        <f>G12+BB12</f>
        <v>-2.7695226949776552</v>
      </c>
      <c r="BE12" s="123">
        <f>H12+BC12</f>
        <v>4.8792516873691474E-2</v>
      </c>
      <c r="BF12">
        <f>AZ12+V12</f>
        <v>96.69516302842959</v>
      </c>
      <c r="BG12">
        <f>BA12+W12</f>
        <v>-82.544688280211275</v>
      </c>
      <c r="BH12" s="123">
        <f>BD12+BF12</f>
        <v>93.925640333451938</v>
      </c>
      <c r="BI12" s="123">
        <f>BE12+BG12</f>
        <v>-82.495895763337586</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c r="BU12" s="123">
        <f>IF(AND(AD13&lt;$BU$7,AD12&gt;=$BU$7),(($BU$7-AD12)/(AD13-AD12)*(F13-F12)+F12),0)</f>
        <v>0</v>
      </c>
      <c r="BV12" s="123">
        <f>IF(BU12=0,0,BH12)</f>
        <v>0</v>
      </c>
      <c r="BX12" s="123">
        <f>IF(AND(F13&gt;$BX$7,F12&lt;=$BX$7),(($BX$7-F12)/(F13-F12)*(BH13-BH12)+BH12),0)</f>
        <v>0</v>
      </c>
      <c r="BY12" s="123"/>
    </row>
    <row r="13" spans="1:84" x14ac:dyDescent="0.25">
      <c r="C13" t="s">
        <v>392</v>
      </c>
      <c r="D13" s="57">
        <f>(V.supply_typ-V.load)/L.out*R.s*A.s_typ</f>
        <v>6060.606060606061</v>
      </c>
      <c r="E13">
        <v>2</v>
      </c>
      <c r="F13">
        <v>1.5</v>
      </c>
      <c r="G13" s="58">
        <f t="shared" si="1"/>
        <v>2.4661324898297047E-10</v>
      </c>
      <c r="H13" s="58">
        <f t="shared" si="2"/>
        <v>-2.8478058511564105E-4</v>
      </c>
      <c r="I13">
        <f t="shared" ref="I13:I43" si="20">20*LOG(IMABS(IMPRODUCT(A_COMP2VOUT,IMDIV(COMPLEX(1, 2*PI*F13/Wesr_zero),COMPLEX(1, 2*PI*F13/Wload_pole)))))</f>
        <v>32.610564009930847</v>
      </c>
      <c r="J13">
        <f t="shared" si="3"/>
        <v>-0.19506957211056666</v>
      </c>
      <c r="K13" t="str">
        <f t="shared" si="4"/>
        <v>5286.34361232956-0.00526758813095015i</v>
      </c>
      <c r="L13" t="str">
        <f t="shared" si="5"/>
        <v>1000000-106103317468.765i</v>
      </c>
      <c r="M13" t="str">
        <f t="shared" si="6"/>
        <v>149999.999997702-0.212057459975095i</v>
      </c>
      <c r="N13">
        <f t="shared" ref="N13:N76" si="21">20*LOG(IMABS(IMDIV(K13,IMSUM(K13,M13))))</f>
        <v>-29.359557505479863</v>
      </c>
      <c r="O13">
        <f t="shared" si="7"/>
        <v>2.3093617013241309E-5</v>
      </c>
      <c r="P13" t="str">
        <f t="shared" si="8"/>
        <v>-2257517392.95245i</v>
      </c>
      <c r="Q13" t="str">
        <f t="shared" si="9"/>
        <v>5900-8841943.12239711i</v>
      </c>
      <c r="R13" t="str">
        <f t="shared" ref="R13:R76" si="22">IMDIV(IMPRODUCT(P13,Q13),IMSUM(P13,Q13))</f>
        <v>5854.05344516691-8807447.30242878i</v>
      </c>
      <c r="S13" t="str">
        <f t="shared" si="10"/>
        <v>99999644.6956518-188494.850267221i</v>
      </c>
      <c r="T13" t="str">
        <f t="shared" ref="T13:T76" si="23">IMDIV(IMPRODUCT(R13,S13),IMSUM(R13,S13))</f>
        <v>775204.150940979-8737209.68955197i</v>
      </c>
      <c r="U13" t="str">
        <f t="shared" ref="U13:U76" si="24">IMDIV(COMPLEX(1,0),IMSUM(COMPLEX(1,0),COMPLEX(0,F13/200000)))</f>
        <v>0.99999999994375-7.49999999957813E-06i</v>
      </c>
      <c r="V13">
        <f t="shared" si="11"/>
        <v>78.861509098513579</v>
      </c>
      <c r="W13">
        <f t="shared" si="12"/>
        <v>-84.930187284509145</v>
      </c>
      <c r="X13">
        <f t="shared" ref="X13:X76" si="25">20*LOG(IMABS(U13))</f>
        <v>-2.4429018412297988E-10</v>
      </c>
      <c r="Y13">
        <f t="shared" si="13"/>
        <v>-4.2971843574044253E-4</v>
      </c>
      <c r="AA13" s="123">
        <f t="shared" ref="AA13:AA76" si="26">G13+I13</f>
        <v>32.610564010177463</v>
      </c>
      <c r="AB13" s="123">
        <f t="shared" ref="AB13:AB76" si="27">H13+J13</f>
        <v>-0.1953543526956823</v>
      </c>
      <c r="AC13">
        <f t="shared" ref="AC13:AC76" si="28">N13+V13</f>
        <v>49.501951593033716</v>
      </c>
      <c r="AD13">
        <f t="shared" ref="AD13:AD76" si="29">O13+W13</f>
        <v>-84.930164190892128</v>
      </c>
      <c r="AE13" s="123">
        <f t="shared" ref="AE13:AE76" si="30">AA13+AC13</f>
        <v>82.112515603211179</v>
      </c>
      <c r="AF13" s="123">
        <f t="shared" ref="AF13:AF76" si="31">AB13+AD13</f>
        <v>-85.125518543587816</v>
      </c>
      <c r="AI13" s="123">
        <f t="shared" ref="AI13:AI76" si="32">IF(AND(AE14&lt;$AI$7,AE13&gt;=$AI$7),(($AI$7-AE13)/(AE14-AE13)*(F14-F13)+F13),0)</f>
        <v>0</v>
      </c>
      <c r="AJ13" s="123">
        <f t="shared" ref="AJ13:AJ76" si="33">IF(AND(F14&gt;$AJ$7,F13&lt;=$AJ$7),(($AJ$7-F13)/(F14-F13)*(AF14-AF13)+AF13),0)</f>
        <v>0</v>
      </c>
      <c r="AK13" s="123">
        <f t="shared" ref="AK13:AK76" si="34">IF(AND(AF14&lt;$AK$7,AF13&gt;=$AK$7),(($AK$7-AF13)/(AF14-AF13)*(F14-F13)+F13),0)</f>
        <v>0</v>
      </c>
      <c r="AL13" s="123">
        <f t="shared" ref="AL13:AL76" si="35">IF(AND(F14&gt;$AL$7,F13&lt;=$AL$7),(($AL$7-F13)/(F14-F13)*(AE14-AE13)+AE13),0)</f>
        <v>0</v>
      </c>
      <c r="AM13" s="123">
        <f t="shared" ref="AM13:AM76" si="36">IF(AND(AB14&lt;$AM$7,AB13&gt;=$AM$7),(($AM$7-AB13)/(AB14-AB13)*(F14-F13)+F13),0)</f>
        <v>0</v>
      </c>
      <c r="AN13" s="123">
        <f t="shared" ref="AN13:AN76" si="37">IF(AND(AB14&lt;$AN$7,AB13&gt;=$AN$7),(($AN$7-AB13)/(AB14-AB13)*(AE14-AE13)+AE13),0)</f>
        <v>0</v>
      </c>
      <c r="AO13" s="123">
        <f t="shared" ref="AO13:AO76" si="38">IF(AND(J14&gt;$AO$7,J13&lt;=$AO$7),(($AO$7-J13)/(J14-J13)*(F14-F13)+F13),0)</f>
        <v>0</v>
      </c>
      <c r="AP13" s="123"/>
      <c r="AQ13" s="123">
        <f t="shared" ref="AQ13:AQ76" si="39">IF(AND(F13&lt;$AP$8,F14&gt;=$AP$8),($AP$8-F13)/(F14-F13)*(AE14-AE13)+AE13,0)</f>
        <v>0</v>
      </c>
      <c r="AR13" s="123">
        <f t="shared" ref="AR13:AR76" si="40">IF(AND(AD14&lt;$AR$7,AD13&gt;=$AR$7),(($AR$7-AD13)/(AD14-AD13)*(F14-F13)+F13),0)</f>
        <v>0</v>
      </c>
      <c r="AS13" s="123">
        <f t="shared" ref="AS13:AS76" si="41">IF(AND(AD14&lt;$AS$7,AD13&gt;=$AS$7),(($AS$7-AD13)/(AD14-AD13)*(AE14-AE13)+AE13),0)</f>
        <v>0</v>
      </c>
      <c r="AW13" t="str">
        <f t="shared" si="14"/>
        <v>26100</v>
      </c>
      <c r="AX13" t="str">
        <f t="shared" si="15"/>
        <v>0.001-10610331.7468765i</v>
      </c>
      <c r="AY13" t="str">
        <f t="shared" ref="AY13:AY76" si="42">IMDIV(IMPRODUCT(AW13,AX13),IMSUM(AW13,AX13))</f>
        <v>26099.8420713275-64.2021281061288i</v>
      </c>
      <c r="AZ13">
        <f t="shared" si="16"/>
        <v>14.353383781209562</v>
      </c>
      <c r="BA13">
        <f t="shared" si="17"/>
        <v>-0.1409397157276806</v>
      </c>
      <c r="BB13">
        <f t="shared" si="18"/>
        <v>-2.7694975982855681</v>
      </c>
      <c r="BC13">
        <f t="shared" si="19"/>
        <v>7.3472878869709699E-2</v>
      </c>
      <c r="BD13" s="123">
        <f t="shared" ref="BD13:BD76" si="43">G13+BB13</f>
        <v>-2.7694975980389547</v>
      </c>
      <c r="BE13" s="123">
        <f t="shared" ref="BE13:BE76" si="44">H13+BC13</f>
        <v>7.3188098284594064E-2</v>
      </c>
      <c r="BF13">
        <f t="shared" ref="BF13:BF76" si="45">AZ13+V13</f>
        <v>93.214892879723138</v>
      </c>
      <c r="BG13">
        <f t="shared" ref="BG13:BG76" si="46">BA13+W13</f>
        <v>-85.071127000236828</v>
      </c>
      <c r="BH13" s="123">
        <f t="shared" ref="BH13:BH76" si="47">BD13+BF13</f>
        <v>90.445395281684185</v>
      </c>
      <c r="BI13" s="123">
        <f t="shared" ref="BI13:BI76" si="48">BE13+BG13</f>
        <v>-84.997938901952239</v>
      </c>
      <c r="BL13" s="123">
        <f t="shared" ref="BL13:BL76" si="49">IF(AND(BH14&lt;$BL$7,BH13&gt;=$BL$7),(($BL$7-BH13)/(BH14-BH13)*(F14-F13)+F13),0)</f>
        <v>0</v>
      </c>
      <c r="BM13" s="123">
        <f t="shared" ref="BM13:BM76" si="50">IF(AND(F14&gt;$BM$7,F13&lt;=$BM$7),(($BM$7-F13)/(F14-F13)*(BI14-BI13)+BI13),0)</f>
        <v>0</v>
      </c>
      <c r="BN13" s="123">
        <f t="shared" ref="BN13:BN76" si="51">IF(AND(BI14&lt;$BN$7,BI13&gt;=$BN$7),(($BN$7-BI13)/(BI14-BI13)*(F14-F13)+F13),0)</f>
        <v>0</v>
      </c>
      <c r="BO13" s="123">
        <f t="shared" ref="BO13:BO76" si="52">IF(AND(F14&gt;$BO$7,F13&lt;=$BO$7),(($BO$7-F13)/(F14-F13)*(BH14-BH13)+BH13),0)</f>
        <v>0</v>
      </c>
      <c r="BP13" s="123">
        <f t="shared" ref="BP13:BP76" si="53">IF(AND(BE14&lt;$BP$7,BE13&gt;=$BP$7),(($BP$7-BE13)/(BE14-BE13)*(F14-F13)+F13),0)</f>
        <v>0</v>
      </c>
      <c r="BQ13" s="123">
        <f t="shared" ref="BQ13:BQ76" si="54">IF(AND(BE14&lt;$BQ$7,BE13&gt;=$BQ$7),(($BQ$7-BE13)/(BE14-BE13)*(BH14-BH13)+BH13),0)</f>
        <v>0</v>
      </c>
      <c r="BR13" s="123">
        <f t="shared" ref="BR13:BR76" si="55">IF(AND(AO14&gt;$BR$7,AO13&lt;=$BR$7),(($BR$7-AO13)/(AO14-AO13)*(F14-F13)+F13),0)</f>
        <v>0</v>
      </c>
      <c r="BS13" s="123"/>
      <c r="BT13" s="123"/>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5">
      <c r="C14" t="s">
        <v>393</v>
      </c>
      <c r="D14" s="57">
        <f>(V.load)/L.out*R.s*A.s_typ</f>
        <v>284848.48484848486</v>
      </c>
      <c r="E14">
        <v>3</v>
      </c>
      <c r="F14">
        <v>2</v>
      </c>
      <c r="G14" s="58">
        <f t="shared" si="1"/>
        <v>4.383736230093965E-10</v>
      </c>
      <c r="H14" s="58">
        <f t="shared" si="2"/>
        <v>-3.7970744683045736E-4</v>
      </c>
      <c r="I14">
        <f t="shared" si="20"/>
        <v>32.610524626723169</v>
      </c>
      <c r="J14">
        <f t="shared" si="3"/>
        <v>-0.26009197429851394</v>
      </c>
      <c r="K14" t="str">
        <f t="shared" si="4"/>
        <v>5286.34361232547-0.00702345084126144i</v>
      </c>
      <c r="L14" t="str">
        <f t="shared" si="5"/>
        <v>1000000-79577488101.574i</v>
      </c>
      <c r="M14" t="str">
        <f t="shared" si="6"/>
        <v>149999.999995914-0.282743279940952i</v>
      </c>
      <c r="N14">
        <f t="shared" si="21"/>
        <v>-29.359557505389553</v>
      </c>
      <c r="O14">
        <f t="shared" si="7"/>
        <v>3.0791489342651243E-5</v>
      </c>
      <c r="P14" t="str">
        <f t="shared" si="8"/>
        <v>-1693138044.71434i</v>
      </c>
      <c r="Q14" t="str">
        <f t="shared" si="9"/>
        <v>5900-6631457.34179783i</v>
      </c>
      <c r="R14" t="str">
        <f t="shared" si="22"/>
        <v>5854.05344513604-6605585.48571145i</v>
      </c>
      <c r="S14" t="str">
        <f t="shared" si="10"/>
        <v>99999368.349571-251325.772489652i</v>
      </c>
      <c r="T14" t="str">
        <f t="shared" si="23"/>
        <v>440074.126308718-6575039.60686941i</v>
      </c>
      <c r="U14" t="str">
        <f t="shared" si="24"/>
        <v>0.9999999999-0.000009999999999i</v>
      </c>
      <c r="V14">
        <f t="shared" si="11"/>
        <v>76.377379375635442</v>
      </c>
      <c r="W14">
        <f t="shared" si="12"/>
        <v>-86.171436840948346</v>
      </c>
      <c r="X14">
        <f t="shared" si="25"/>
        <v>-4.3429451784779571E-10</v>
      </c>
      <c r="Y14">
        <f t="shared" si="13"/>
        <v>-5.7295791431223413E-4</v>
      </c>
      <c r="AA14" s="123">
        <f t="shared" si="26"/>
        <v>32.610524627161546</v>
      </c>
      <c r="AB14" s="123">
        <f t="shared" si="27"/>
        <v>-0.26047168174534441</v>
      </c>
      <c r="AC14">
        <f t="shared" si="28"/>
        <v>47.017821870245889</v>
      </c>
      <c r="AD14">
        <f t="shared" si="29"/>
        <v>-86.171406049459009</v>
      </c>
      <c r="AE14" s="123">
        <f t="shared" si="30"/>
        <v>79.628346497407435</v>
      </c>
      <c r="AF14" s="123">
        <f t="shared" si="31"/>
        <v>-86.431877731204352</v>
      </c>
      <c r="AI14" s="123">
        <f t="shared" si="32"/>
        <v>0</v>
      </c>
      <c r="AJ14" s="123">
        <f t="shared" si="33"/>
        <v>0</v>
      </c>
      <c r="AK14" s="123">
        <f t="shared" si="34"/>
        <v>0</v>
      </c>
      <c r="AL14" s="123">
        <f t="shared" si="35"/>
        <v>0</v>
      </c>
      <c r="AM14" s="123">
        <f t="shared" si="36"/>
        <v>0</v>
      </c>
      <c r="AN14" s="123">
        <f t="shared" si="37"/>
        <v>0</v>
      </c>
      <c r="AO14" s="123">
        <f t="shared" si="38"/>
        <v>0</v>
      </c>
      <c r="AP14" s="123"/>
      <c r="AQ14" s="123">
        <f t="shared" si="39"/>
        <v>0</v>
      </c>
      <c r="AR14" s="123">
        <f t="shared" si="40"/>
        <v>0</v>
      </c>
      <c r="AS14" s="123">
        <f t="shared" si="41"/>
        <v>0</v>
      </c>
      <c r="AW14" t="str">
        <f t="shared" si="14"/>
        <v>26100</v>
      </c>
      <c r="AX14" t="str">
        <f t="shared" si="15"/>
        <v>0.001-7957748.8101574i</v>
      </c>
      <c r="AY14" t="str">
        <f t="shared" si="42"/>
        <v>26099.7192392368-85.6024346074235i</v>
      </c>
      <c r="AZ14">
        <f t="shared" si="16"/>
        <v>14.353363342225045</v>
      </c>
      <c r="BA14">
        <f t="shared" si="17"/>
        <v>-0.18791932617121768</v>
      </c>
      <c r="BB14">
        <f t="shared" si="18"/>
        <v>-2.7694624635531118</v>
      </c>
      <c r="BC14">
        <f t="shared" si="19"/>
        <v>9.7962574740066338E-2</v>
      </c>
      <c r="BD14" s="123">
        <f t="shared" si="43"/>
        <v>-2.769462463114738</v>
      </c>
      <c r="BE14" s="123">
        <f t="shared" si="44"/>
        <v>9.7582867293235884E-2</v>
      </c>
      <c r="BF14">
        <f t="shared" si="45"/>
        <v>90.730742717860494</v>
      </c>
      <c r="BG14">
        <f t="shared" si="46"/>
        <v>-86.359356167119557</v>
      </c>
      <c r="BH14" s="123">
        <f t="shared" si="47"/>
        <v>87.961280254745759</v>
      </c>
      <c r="BI14" s="123">
        <f t="shared" si="48"/>
        <v>-86.261773299826316</v>
      </c>
      <c r="BL14" s="123">
        <f t="shared" si="49"/>
        <v>0</v>
      </c>
      <c r="BM14" s="123">
        <f t="shared" si="50"/>
        <v>0</v>
      </c>
      <c r="BN14" s="123">
        <f t="shared" si="51"/>
        <v>0</v>
      </c>
      <c r="BO14" s="123">
        <f t="shared" si="52"/>
        <v>0</v>
      </c>
      <c r="BP14" s="123">
        <f t="shared" si="53"/>
        <v>0</v>
      </c>
      <c r="BQ14" s="123">
        <f t="shared" si="54"/>
        <v>0</v>
      </c>
      <c r="BR14" s="123">
        <f t="shared" si="55"/>
        <v>0</v>
      </c>
      <c r="BS14" s="123"/>
      <c r="BT14" s="123"/>
      <c r="BU14" s="123">
        <f t="shared" si="56"/>
        <v>0</v>
      </c>
      <c r="BV14" s="123">
        <f t="shared" si="57"/>
        <v>0</v>
      </c>
      <c r="BX14" s="123">
        <f t="shared" si="58"/>
        <v>0</v>
      </c>
      <c r="BY14" s="123"/>
    </row>
    <row r="15" spans="1:84" x14ac:dyDescent="0.25">
      <c r="C15" t="s">
        <v>394</v>
      </c>
      <c r="D15" s="99">
        <f>1+S.slope/S.rise</f>
        <v>35.897500000000001</v>
      </c>
      <c r="E15">
        <v>4</v>
      </c>
      <c r="F15">
        <v>2.5</v>
      </c>
      <c r="G15" s="58">
        <f t="shared" si="1"/>
        <v>6.8498301467005454E-10</v>
      </c>
      <c r="H15" s="58">
        <f t="shared" si="2"/>
        <v>-4.746343085534993E-4</v>
      </c>
      <c r="I15">
        <f t="shared" si="20"/>
        <v>32.610473991695244</v>
      </c>
      <c r="J15">
        <f t="shared" si="3"/>
        <v>-0.32511370063172673</v>
      </c>
      <c r="K15" t="str">
        <f t="shared" si="4"/>
        <v>5286.34361232023-0.0087793135515681i</v>
      </c>
      <c r="L15" t="str">
        <f t="shared" si="5"/>
        <v>1000000-63661990481.2592i</v>
      </c>
      <c r="M15" t="str">
        <f t="shared" si="6"/>
        <v>149999.999993616-0.353429099884671i</v>
      </c>
      <c r="N15">
        <f t="shared" si="21"/>
        <v>-29.359557505273521</v>
      </c>
      <c r="O15">
        <f t="shared" si="7"/>
        <v>3.848936166491809E-5</v>
      </c>
      <c r="P15" t="str">
        <f t="shared" si="8"/>
        <v>-1354510435.77147i</v>
      </c>
      <c r="Q15" t="str">
        <f t="shared" si="9"/>
        <v>5900-5305165.87343827i</v>
      </c>
      <c r="R15" t="str">
        <f t="shared" si="22"/>
        <v>5854.05344509636-5284468.39771307i</v>
      </c>
      <c r="S15" t="str">
        <f t="shared" si="10"/>
        <v>99999013.0497114-314156.099404869i</v>
      </c>
      <c r="T15" t="str">
        <f t="shared" si="23"/>
        <v>284189.200897606-5268267.53526778i</v>
      </c>
      <c r="U15" t="str">
        <f t="shared" si="24"/>
        <v>0.99999999984375-0.0000124999999980469i</v>
      </c>
      <c r="V15">
        <f t="shared" si="11"/>
        <v>74.445975651994871</v>
      </c>
      <c r="W15">
        <f t="shared" si="12"/>
        <v>-86.912987626433306</v>
      </c>
      <c r="X15">
        <f t="shared" si="25"/>
        <v>-6.7858470198299015E-10</v>
      </c>
      <c r="Y15">
        <f t="shared" si="13"/>
        <v>-7.1619739287686528E-4</v>
      </c>
      <c r="AA15" s="123">
        <f t="shared" si="26"/>
        <v>32.610473992380228</v>
      </c>
      <c r="AB15" s="123">
        <f t="shared" si="27"/>
        <v>-0.32558833494028022</v>
      </c>
      <c r="AC15">
        <f t="shared" si="28"/>
        <v>45.08641814672135</v>
      </c>
      <c r="AD15">
        <f t="shared" si="29"/>
        <v>-86.912949137071635</v>
      </c>
      <c r="AE15" s="123">
        <f t="shared" si="30"/>
        <v>77.696892139101578</v>
      </c>
      <c r="AF15" s="123">
        <f t="shared" si="31"/>
        <v>-87.238537472011913</v>
      </c>
      <c r="AI15" s="123">
        <f t="shared" si="32"/>
        <v>0</v>
      </c>
      <c r="AJ15" s="123">
        <f t="shared" si="33"/>
        <v>0</v>
      </c>
      <c r="AK15" s="123">
        <f t="shared" si="34"/>
        <v>0</v>
      </c>
      <c r="AL15" s="123">
        <f t="shared" si="35"/>
        <v>0</v>
      </c>
      <c r="AM15" s="123">
        <f t="shared" si="36"/>
        <v>0</v>
      </c>
      <c r="AN15" s="123">
        <f t="shared" si="37"/>
        <v>0</v>
      </c>
      <c r="AO15" s="123">
        <f t="shared" si="38"/>
        <v>0</v>
      </c>
      <c r="AP15" s="123"/>
      <c r="AQ15" s="123">
        <f t="shared" si="39"/>
        <v>0</v>
      </c>
      <c r="AR15" s="123">
        <f t="shared" si="40"/>
        <v>0</v>
      </c>
      <c r="AS15" s="123">
        <f t="shared" si="41"/>
        <v>0</v>
      </c>
      <c r="AW15" t="str">
        <f t="shared" si="14"/>
        <v>26100</v>
      </c>
      <c r="AX15" t="str">
        <f t="shared" si="15"/>
        <v>0.001-6366199.04812592i</v>
      </c>
      <c r="AY15" t="str">
        <f t="shared" si="42"/>
        <v>26099.561313962-107.002395800757i</v>
      </c>
      <c r="AZ15">
        <f t="shared" si="16"/>
        <v>14.353337063672051</v>
      </c>
      <c r="BA15">
        <f t="shared" si="17"/>
        <v>-0.23489868393293789</v>
      </c>
      <c r="BB15">
        <f t="shared" si="18"/>
        <v>-2.7694172916795985</v>
      </c>
      <c r="BC15">
        <f t="shared" si="19"/>
        <v>0.12245118745552401</v>
      </c>
      <c r="BD15" s="123">
        <f t="shared" si="43"/>
        <v>-2.7694172909946153</v>
      </c>
      <c r="BE15" s="123">
        <f t="shared" si="44"/>
        <v>0.12197655314697051</v>
      </c>
      <c r="BF15">
        <f t="shared" si="45"/>
        <v>88.799312715666929</v>
      </c>
      <c r="BG15">
        <f t="shared" si="46"/>
        <v>-87.147886310366246</v>
      </c>
      <c r="BH15" s="123">
        <f t="shared" si="47"/>
        <v>86.029895424672318</v>
      </c>
      <c r="BI15" s="123">
        <f t="shared" si="48"/>
        <v>-87.025909757219281</v>
      </c>
      <c r="BL15" s="123">
        <f t="shared" si="49"/>
        <v>0</v>
      </c>
      <c r="BM15" s="123">
        <f t="shared" si="50"/>
        <v>0</v>
      </c>
      <c r="BN15" s="123">
        <f t="shared" si="51"/>
        <v>0</v>
      </c>
      <c r="BO15" s="123">
        <f t="shared" si="52"/>
        <v>0</v>
      </c>
      <c r="BP15" s="123">
        <f t="shared" si="53"/>
        <v>0</v>
      </c>
      <c r="BQ15" s="123">
        <f t="shared" si="54"/>
        <v>0</v>
      </c>
      <c r="BR15" s="123">
        <f t="shared" si="55"/>
        <v>0</v>
      </c>
      <c r="BS15" s="123"/>
      <c r="BT15" s="123"/>
      <c r="BU15" s="123">
        <f t="shared" si="56"/>
        <v>0</v>
      </c>
      <c r="BV15" s="123">
        <f t="shared" si="57"/>
        <v>0</v>
      </c>
      <c r="BX15" s="123">
        <f t="shared" si="58"/>
        <v>0</v>
      </c>
      <c r="BY15" s="123"/>
    </row>
    <row r="16" spans="1:84" x14ac:dyDescent="0.25">
      <c r="C16" t="s">
        <v>395</v>
      </c>
      <c r="D16" s="99">
        <f>mc*(1-V.load/V.supply_typ)</f>
        <v>0.74786458333333472</v>
      </c>
      <c r="E16">
        <v>5</v>
      </c>
      <c r="F16">
        <v>3</v>
      </c>
      <c r="G16" s="58">
        <f t="shared" si="1"/>
        <v>9.863604204530916E-10</v>
      </c>
      <c r="H16" s="58">
        <f t="shared" si="2"/>
        <v>-5.6956117028683119E-4</v>
      </c>
      <c r="I16">
        <f t="shared" si="20"/>
        <v>32.610412105240584</v>
      </c>
      <c r="J16">
        <f t="shared" si="3"/>
        <v>-0.39013458216622487</v>
      </c>
      <c r="K16" t="str">
        <f t="shared" si="4"/>
        <v>5286.34361231382-0.010535176261869i</v>
      </c>
      <c r="L16" t="str">
        <f t="shared" si="5"/>
        <v>1000000-53051658734.3827i</v>
      </c>
      <c r="M16" t="str">
        <f t="shared" si="6"/>
        <v>149999.999990807-0.424114919800714i</v>
      </c>
      <c r="N16">
        <f t="shared" si="21"/>
        <v>-29.359557505131736</v>
      </c>
      <c r="O16">
        <f t="shared" si="7"/>
        <v>4.6187233978254865E-5</v>
      </c>
      <c r="P16" t="str">
        <f t="shared" si="8"/>
        <v>-1128758696.47623i</v>
      </c>
      <c r="Q16" t="str">
        <f t="shared" si="9"/>
        <v>5900-4420971.56119855i</v>
      </c>
      <c r="R16" t="str">
        <f t="shared" si="22"/>
        <v>5854.05344504787-4403723.67407411i</v>
      </c>
      <c r="S16" t="str">
        <f t="shared" si="10"/>
        <v>99998578.797756-376985.68219488i</v>
      </c>
      <c r="T16" t="str">
        <f t="shared" si="23"/>
        <v>199306.190600762-4393960.12978169i</v>
      </c>
      <c r="U16" t="str">
        <f t="shared" si="24"/>
        <v>0.999999999775-0.000014999999996625i</v>
      </c>
      <c r="V16">
        <f t="shared" si="11"/>
        <v>72.866048450091213</v>
      </c>
      <c r="W16">
        <f t="shared" si="12"/>
        <v>-87.403771308573127</v>
      </c>
      <c r="X16">
        <f t="shared" si="25"/>
        <v>-9.7716266518807683E-10</v>
      </c>
      <c r="Y16">
        <f t="shared" si="13"/>
        <v>-8.5943687143254113E-4</v>
      </c>
      <c r="AA16" s="123">
        <f t="shared" si="26"/>
        <v>32.610412106226946</v>
      </c>
      <c r="AB16" s="123">
        <f t="shared" si="27"/>
        <v>-0.39070414333651171</v>
      </c>
      <c r="AC16">
        <f t="shared" si="28"/>
        <v>43.506490944959481</v>
      </c>
      <c r="AD16">
        <f t="shared" si="29"/>
        <v>-87.40372512133915</v>
      </c>
      <c r="AE16" s="123">
        <f t="shared" si="30"/>
        <v>76.116903051186426</v>
      </c>
      <c r="AF16" s="123">
        <f t="shared" si="31"/>
        <v>-87.794429264675657</v>
      </c>
      <c r="AI16" s="123">
        <f t="shared" si="32"/>
        <v>0</v>
      </c>
      <c r="AJ16" s="123">
        <f t="shared" si="33"/>
        <v>0</v>
      </c>
      <c r="AK16" s="123">
        <f t="shared" si="34"/>
        <v>0</v>
      </c>
      <c r="AL16" s="123">
        <f t="shared" si="35"/>
        <v>0</v>
      </c>
      <c r="AM16" s="123">
        <f t="shared" si="36"/>
        <v>0</v>
      </c>
      <c r="AN16" s="123">
        <f t="shared" si="37"/>
        <v>0</v>
      </c>
      <c r="AO16" s="123">
        <f t="shared" si="38"/>
        <v>0</v>
      </c>
      <c r="AP16" s="123"/>
      <c r="AQ16" s="123">
        <f t="shared" si="39"/>
        <v>0</v>
      </c>
      <c r="AR16" s="123">
        <f t="shared" si="40"/>
        <v>0</v>
      </c>
      <c r="AS16" s="123">
        <f t="shared" si="41"/>
        <v>0</v>
      </c>
      <c r="AW16" t="str">
        <f t="shared" si="14"/>
        <v>26100</v>
      </c>
      <c r="AX16" t="str">
        <f t="shared" si="15"/>
        <v>0.001-5305165.87343827i</v>
      </c>
      <c r="AY16" t="str">
        <f t="shared" si="42"/>
        <v>26099.3682967771-128.401925367843i</v>
      </c>
      <c r="AZ16">
        <f t="shared" si="16"/>
        <v>14.353304945656557</v>
      </c>
      <c r="BA16">
        <f t="shared" si="17"/>
        <v>-0.28187772584620513</v>
      </c>
      <c r="BB16">
        <f t="shared" si="18"/>
        <v>-2.7693620836805288</v>
      </c>
      <c r="BC16">
        <f t="shared" si="19"/>
        <v>0.14693844630466404</v>
      </c>
      <c r="BD16" s="123">
        <f t="shared" si="43"/>
        <v>-2.7693620826941685</v>
      </c>
      <c r="BE16" s="123">
        <f t="shared" si="44"/>
        <v>0.14636888513437721</v>
      </c>
      <c r="BF16">
        <f t="shared" si="45"/>
        <v>87.219353395747774</v>
      </c>
      <c r="BG16">
        <f t="shared" si="46"/>
        <v>-87.685649034419328</v>
      </c>
      <c r="BH16" s="123">
        <f t="shared" si="47"/>
        <v>84.449991313053602</v>
      </c>
      <c r="BI16" s="123">
        <f t="shared" si="48"/>
        <v>-87.539280149284949</v>
      </c>
      <c r="BL16" s="123">
        <f t="shared" si="49"/>
        <v>0</v>
      </c>
      <c r="BM16" s="123">
        <f t="shared" si="50"/>
        <v>0</v>
      </c>
      <c r="BN16" s="123">
        <f t="shared" si="51"/>
        <v>0</v>
      </c>
      <c r="BO16" s="123">
        <f t="shared" si="52"/>
        <v>0</v>
      </c>
      <c r="BP16" s="123">
        <f t="shared" si="53"/>
        <v>0</v>
      </c>
      <c r="BQ16" s="123">
        <f t="shared" si="54"/>
        <v>0</v>
      </c>
      <c r="BR16" s="123">
        <f t="shared" si="55"/>
        <v>0</v>
      </c>
      <c r="BS16" s="123"/>
      <c r="BT16" s="123"/>
      <c r="BU16" s="123">
        <f t="shared" si="56"/>
        <v>0</v>
      </c>
      <c r="BV16" s="123">
        <f t="shared" si="57"/>
        <v>0</v>
      </c>
      <c r="BX16" s="123">
        <f t="shared" si="58"/>
        <v>0</v>
      </c>
      <c r="BY16" s="123"/>
    </row>
    <row r="17" spans="2:77" x14ac:dyDescent="0.25">
      <c r="C17" t="s">
        <v>396</v>
      </c>
      <c r="D17" s="99">
        <f>1/PI/(kfactor-0.5)</f>
        <v>1.2842090956505248</v>
      </c>
      <c r="E17">
        <v>6</v>
      </c>
      <c r="F17">
        <v>3.5</v>
      </c>
      <c r="G17" s="58">
        <f t="shared" si="1"/>
        <v>1.3425868438599846E-9</v>
      </c>
      <c r="H17" s="58">
        <f t="shared" si="2"/>
        <v>-6.6448803203249815E-4</v>
      </c>
      <c r="I17">
        <f t="shared" si="20"/>
        <v>32.610338967840221</v>
      </c>
      <c r="J17">
        <f t="shared" si="3"/>
        <v>-0.45515444997115556</v>
      </c>
      <c r="K17" t="str">
        <f t="shared" si="4"/>
        <v>5286.34361230622-0.0122910389721628i</v>
      </c>
      <c r="L17" t="str">
        <f t="shared" si="5"/>
        <v>1000000-45472850343.7566i</v>
      </c>
      <c r="M17" t="str">
        <f t="shared" si="6"/>
        <v>149999.999987487-0.494800739683537i</v>
      </c>
      <c r="N17">
        <f t="shared" si="21"/>
        <v>-29.359557504964133</v>
      </c>
      <c r="O17">
        <f t="shared" si="7"/>
        <v>5.38851062808754E-5</v>
      </c>
      <c r="P17" t="str">
        <f t="shared" si="8"/>
        <v>-967507454.12248i</v>
      </c>
      <c r="Q17" t="str">
        <f t="shared" si="9"/>
        <v>5900-3789404.19531305i</v>
      </c>
      <c r="R17" t="str">
        <f t="shared" si="22"/>
        <v>5854.05344499057-3774620.30149771i</v>
      </c>
      <c r="S17" t="str">
        <f t="shared" si="10"/>
        <v>99998065.5957622-439814.37204757i</v>
      </c>
      <c r="T17" t="str">
        <f t="shared" si="23"/>
        <v>148054.537875009-3768185.67061132i</v>
      </c>
      <c r="U17" t="str">
        <f t="shared" si="24"/>
        <v>0.99999999969375-0.0000174999999946406i</v>
      </c>
      <c r="V17">
        <f t="shared" si="11"/>
        <v>71.529345153823698</v>
      </c>
      <c r="W17">
        <f t="shared" si="12"/>
        <v>-87.750988752295498</v>
      </c>
      <c r="X17">
        <f t="shared" si="25"/>
        <v>-1.3300264788137207E-9</v>
      </c>
      <c r="Y17">
        <f t="shared" si="13"/>
        <v>-1.0026763499774742E-3</v>
      </c>
      <c r="AA17" s="123">
        <f t="shared" si="26"/>
        <v>32.610338969182806</v>
      </c>
      <c r="AB17" s="123">
        <f t="shared" si="27"/>
        <v>-0.45581893800318807</v>
      </c>
      <c r="AC17">
        <f t="shared" si="28"/>
        <v>42.169787648859568</v>
      </c>
      <c r="AD17">
        <f t="shared" si="29"/>
        <v>-87.750934867189216</v>
      </c>
      <c r="AE17" s="123">
        <f t="shared" si="30"/>
        <v>74.780126618042374</v>
      </c>
      <c r="AF17" s="123">
        <f t="shared" si="31"/>
        <v>-88.206753805192406</v>
      </c>
      <c r="AI17" s="123">
        <f t="shared" si="32"/>
        <v>0</v>
      </c>
      <c r="AJ17" s="123">
        <f t="shared" si="33"/>
        <v>0</v>
      </c>
      <c r="AK17" s="123">
        <f t="shared" si="34"/>
        <v>0</v>
      </c>
      <c r="AL17" s="123">
        <f t="shared" si="35"/>
        <v>0</v>
      </c>
      <c r="AM17" s="123">
        <f t="shared" si="36"/>
        <v>0</v>
      </c>
      <c r="AN17" s="123">
        <f t="shared" si="37"/>
        <v>0</v>
      </c>
      <c r="AO17" s="123">
        <f t="shared" si="38"/>
        <v>0</v>
      </c>
      <c r="AP17" s="123"/>
      <c r="AQ17" s="123">
        <f t="shared" si="39"/>
        <v>0</v>
      </c>
      <c r="AR17" s="123">
        <f t="shared" si="40"/>
        <v>0</v>
      </c>
      <c r="AS17" s="123">
        <f t="shared" si="41"/>
        <v>0</v>
      </c>
      <c r="AW17" t="str">
        <f t="shared" si="14"/>
        <v>26100</v>
      </c>
      <c r="AX17" t="str">
        <f t="shared" si="15"/>
        <v>0.001-4547285.03437566i</v>
      </c>
      <c r="AY17" t="str">
        <f t="shared" si="42"/>
        <v>26099.1401892392-149.800936996202i</v>
      </c>
      <c r="AZ17">
        <f t="shared" si="16"/>
        <v>14.353266988308107</v>
      </c>
      <c r="BA17">
        <f t="shared" si="17"/>
        <v>-0.32885638874693945</v>
      </c>
      <c r="BB17">
        <f t="shared" si="18"/>
        <v>-2.7692968407966001</v>
      </c>
      <c r="BC17">
        <f t="shared" si="19"/>
        <v>0.17142408062759751</v>
      </c>
      <c r="BD17" s="123">
        <f t="shared" si="43"/>
        <v>-2.7692968394540132</v>
      </c>
      <c r="BE17" s="123">
        <f t="shared" si="44"/>
        <v>0.170759592595565</v>
      </c>
      <c r="BF17">
        <f t="shared" si="45"/>
        <v>85.882612142131805</v>
      </c>
      <c r="BG17">
        <f t="shared" si="46"/>
        <v>-88.079845141042441</v>
      </c>
      <c r="BH17" s="123">
        <f t="shared" si="47"/>
        <v>83.11331530267779</v>
      </c>
      <c r="BI17" s="123">
        <f t="shared" si="48"/>
        <v>-87.909085548446882</v>
      </c>
      <c r="BL17" s="123">
        <f t="shared" si="49"/>
        <v>0</v>
      </c>
      <c r="BM17" s="123">
        <f t="shared" si="50"/>
        <v>0</v>
      </c>
      <c r="BN17" s="123">
        <f t="shared" si="51"/>
        <v>0</v>
      </c>
      <c r="BO17" s="123">
        <f t="shared" si="52"/>
        <v>0</v>
      </c>
      <c r="BP17" s="123">
        <f t="shared" si="53"/>
        <v>0</v>
      </c>
      <c r="BQ17" s="123">
        <f t="shared" si="54"/>
        <v>0</v>
      </c>
      <c r="BR17" s="123">
        <f t="shared" si="55"/>
        <v>0</v>
      </c>
      <c r="BS17" s="123"/>
      <c r="BT17" s="123"/>
      <c r="BU17" s="123">
        <f t="shared" si="56"/>
        <v>0</v>
      </c>
      <c r="BV17" s="123">
        <f t="shared" si="57"/>
        <v>0</v>
      </c>
      <c r="BX17" s="123">
        <f t="shared" si="58"/>
        <v>0</v>
      </c>
      <c r="BY17" s="123"/>
    </row>
    <row r="18" spans="2:77" x14ac:dyDescent="0.25">
      <c r="C18" t="s">
        <v>389</v>
      </c>
      <c r="D18" s="57">
        <f>Qfactor*2*PI*f.sw*0.5*1</f>
        <v>1896196.6799747739</v>
      </c>
      <c r="E18">
        <v>7</v>
      </c>
      <c r="F18">
        <v>4</v>
      </c>
      <c r="G18" s="58">
        <f t="shared" si="1"/>
        <v>1.7535793527218782E-9</v>
      </c>
      <c r="H18" s="58">
        <f t="shared" si="2"/>
        <v>-7.5941489379257546E-4</v>
      </c>
      <c r="I18">
        <f t="shared" si="20"/>
        <v>32.610254580062609</v>
      </c>
      <c r="J18">
        <f t="shared" si="3"/>
        <v>-0.52017313513142283</v>
      </c>
      <c r="K18" t="str">
        <f t="shared" si="4"/>
        <v>5286.34361229747-0.0140469016824485i</v>
      </c>
      <c r="L18" t="str">
        <f t="shared" si="5"/>
        <v>1000000-39788744050.787i</v>
      </c>
      <c r="M18" t="str">
        <f t="shared" si="6"/>
        <v>149999.999983656-0.565486559527613i</v>
      </c>
      <c r="N18">
        <f t="shared" si="21"/>
        <v>-29.359557504770702</v>
      </c>
      <c r="O18">
        <f t="shared" si="7"/>
        <v>6.1582978570994765E-5</v>
      </c>
      <c r="P18" t="str">
        <f t="shared" si="8"/>
        <v>-846569022.35717i</v>
      </c>
      <c r="Q18" t="str">
        <f t="shared" si="9"/>
        <v>5900-3315728.67089892i</v>
      </c>
      <c r="R18" t="str">
        <f t="shared" si="22"/>
        <v>5854.05344492444-3302792.77333539i</v>
      </c>
      <c r="S18" t="str">
        <f t="shared" si="10"/>
        <v>99997473.446161-502642.020157875i</v>
      </c>
      <c r="T18" t="str">
        <f t="shared" si="23"/>
        <v>114762.064869316-3298261.8062354i</v>
      </c>
      <c r="U18" t="str">
        <f t="shared" si="24"/>
        <v>0.9999999996-0.000019999999992i</v>
      </c>
      <c r="V18">
        <f t="shared" si="11"/>
        <v>70.370957212905139</v>
      </c>
      <c r="W18">
        <f t="shared" si="12"/>
        <v>-88.008378105167907</v>
      </c>
      <c r="X18">
        <f t="shared" si="25"/>
        <v>-1.7371780715214712E-9</v>
      </c>
      <c r="Y18">
        <f t="shared" si="13"/>
        <v>-1.1459158285098763E-3</v>
      </c>
      <c r="AA18" s="123">
        <f t="shared" si="26"/>
        <v>32.610254581816186</v>
      </c>
      <c r="AB18" s="123">
        <f t="shared" si="27"/>
        <v>-0.52093255002521544</v>
      </c>
      <c r="AC18">
        <f t="shared" si="28"/>
        <v>41.011399708134434</v>
      </c>
      <c r="AD18">
        <f t="shared" si="29"/>
        <v>-88.008316522189332</v>
      </c>
      <c r="AE18" s="123">
        <f t="shared" si="30"/>
        <v>73.621654289950612</v>
      </c>
      <c r="AF18" s="123">
        <f t="shared" si="31"/>
        <v>-88.529249072214554</v>
      </c>
      <c r="AI18" s="123">
        <f t="shared" si="32"/>
        <v>0</v>
      </c>
      <c r="AJ18" s="123">
        <f t="shared" si="33"/>
        <v>0</v>
      </c>
      <c r="AK18" s="123">
        <f t="shared" si="34"/>
        <v>0</v>
      </c>
      <c r="AL18" s="123">
        <f t="shared" si="35"/>
        <v>0</v>
      </c>
      <c r="AM18" s="123">
        <f t="shared" si="36"/>
        <v>0</v>
      </c>
      <c r="AN18" s="123">
        <f t="shared" si="37"/>
        <v>0</v>
      </c>
      <c r="AO18" s="123">
        <f t="shared" si="38"/>
        <v>0</v>
      </c>
      <c r="AP18" s="123"/>
      <c r="AQ18" s="123">
        <f t="shared" si="39"/>
        <v>0</v>
      </c>
      <c r="AR18" s="123">
        <f t="shared" si="40"/>
        <v>0</v>
      </c>
      <c r="AS18" s="123">
        <f t="shared" si="41"/>
        <v>0</v>
      </c>
      <c r="AW18" t="str">
        <f t="shared" si="14"/>
        <v>26100</v>
      </c>
      <c r="AX18" t="str">
        <f t="shared" si="15"/>
        <v>0.001-3978874.4050787i</v>
      </c>
      <c r="AY18" t="str">
        <f t="shared" si="42"/>
        <v>26098.8769931884-171.199344380316i</v>
      </c>
      <c r="AZ18">
        <f t="shared" si="16"/>
        <v>14.353223191779772</v>
      </c>
      <c r="BA18">
        <f t="shared" si="17"/>
        <v>-0.3758346094741144</v>
      </c>
      <c r="BB18">
        <f t="shared" si="18"/>
        <v>-2.7692215644942215</v>
      </c>
      <c r="BC18">
        <f t="shared" si="19"/>
        <v>0.19590781982626471</v>
      </c>
      <c r="BD18" s="123">
        <f t="shared" si="43"/>
        <v>-2.769221562740642</v>
      </c>
      <c r="BE18" s="123">
        <f t="shared" si="44"/>
        <v>0.19514840493247212</v>
      </c>
      <c r="BF18">
        <f t="shared" si="45"/>
        <v>84.724180404684915</v>
      </c>
      <c r="BG18">
        <f t="shared" si="46"/>
        <v>-88.384212714642018</v>
      </c>
      <c r="BH18" s="123">
        <f t="shared" si="47"/>
        <v>81.954958841944276</v>
      </c>
      <c r="BI18" s="123">
        <f t="shared" si="48"/>
        <v>-88.189064309709551</v>
      </c>
      <c r="BL18" s="123">
        <f t="shared" si="49"/>
        <v>0</v>
      </c>
      <c r="BM18" s="123">
        <f t="shared" si="50"/>
        <v>0</v>
      </c>
      <c r="BN18" s="123">
        <f t="shared" si="51"/>
        <v>0</v>
      </c>
      <c r="BO18" s="123">
        <f t="shared" si="52"/>
        <v>0</v>
      </c>
      <c r="BP18" s="123">
        <f t="shared" si="53"/>
        <v>0</v>
      </c>
      <c r="BQ18" s="123">
        <f t="shared" si="54"/>
        <v>0</v>
      </c>
      <c r="BR18" s="123">
        <f t="shared" si="55"/>
        <v>0</v>
      </c>
      <c r="BS18" s="123"/>
      <c r="BT18" s="123"/>
      <c r="BU18" s="123">
        <f t="shared" si="56"/>
        <v>0</v>
      </c>
      <c r="BV18" s="123">
        <f t="shared" si="57"/>
        <v>0</v>
      </c>
      <c r="BX18" s="123">
        <f t="shared" si="58"/>
        <v>0</v>
      </c>
      <c r="BY18" s="123"/>
    </row>
    <row r="19" spans="2:77" x14ac:dyDescent="0.25">
      <c r="C19" t="s">
        <v>390</v>
      </c>
      <c r="D19">
        <f>f.sw*0.5*1</f>
        <v>235000</v>
      </c>
      <c r="E19">
        <v>8</v>
      </c>
      <c r="F19">
        <v>4.5</v>
      </c>
      <c r="G19" s="58">
        <f t="shared" si="1"/>
        <v>2.2193340897211333E-9</v>
      </c>
      <c r="H19" s="58">
        <f t="shared" si="2"/>
        <v>-8.5434175556910706E-4</v>
      </c>
      <c r="I19">
        <f t="shared" si="20"/>
        <v>32.610158942563565</v>
      </c>
      <c r="J19">
        <f t="shared" si="3"/>
        <v>-0.58519046875031588</v>
      </c>
      <c r="K19" t="str">
        <f t="shared" si="4"/>
        <v>5286.34361228756-0.0158027643927249i</v>
      </c>
      <c r="L19" t="str">
        <f t="shared" si="5"/>
        <v>1000000-35367772489.5884i</v>
      </c>
      <c r="M19" t="str">
        <f t="shared" si="6"/>
        <v>149999.999979315-0.636172379327403i</v>
      </c>
      <c r="N19">
        <f t="shared" si="21"/>
        <v>-29.359557504551606</v>
      </c>
      <c r="O19">
        <f t="shared" si="7"/>
        <v>6.9280850846823729E-5</v>
      </c>
      <c r="P19" t="str">
        <f t="shared" si="8"/>
        <v>-752505797.650818i</v>
      </c>
      <c r="Q19" t="str">
        <f t="shared" si="9"/>
        <v>5900-2947314.37413237i</v>
      </c>
      <c r="R19" t="str">
        <f t="shared" si="22"/>
        <v>5854.05344484952-2935815.80811579i</v>
      </c>
      <c r="S19" t="str">
        <f t="shared" si="10"/>
        <v>99996802.3517574-565468.477728953i</v>
      </c>
      <c r="T19" t="str">
        <f t="shared" si="23"/>
        <v>91924.02407711-2932458.61448699i</v>
      </c>
      <c r="U19" t="str">
        <f t="shared" si="24"/>
        <v>0.99999999949375-0.0000224999999886094i</v>
      </c>
      <c r="V19">
        <f t="shared" si="11"/>
        <v>69.348903285574352</v>
      </c>
      <c r="W19">
        <f t="shared" si="12"/>
        <v>-88.205839885314404</v>
      </c>
      <c r="X19">
        <f t="shared" si="25"/>
        <v>-2.1986155146640294E-9</v>
      </c>
      <c r="Y19">
        <f t="shared" si="13"/>
        <v>-1.2891553070279549E-3</v>
      </c>
      <c r="AA19" s="123">
        <f t="shared" si="26"/>
        <v>32.610158944782903</v>
      </c>
      <c r="AB19" s="123">
        <f t="shared" si="27"/>
        <v>-0.58604481050588497</v>
      </c>
      <c r="AC19">
        <f t="shared" si="28"/>
        <v>39.989345781022749</v>
      </c>
      <c r="AD19">
        <f t="shared" si="29"/>
        <v>-88.205770604463552</v>
      </c>
      <c r="AE19" s="123">
        <f t="shared" si="30"/>
        <v>72.599504725805645</v>
      </c>
      <c r="AF19" s="123">
        <f t="shared" si="31"/>
        <v>-88.791815414969435</v>
      </c>
      <c r="AI19" s="123">
        <f t="shared" si="32"/>
        <v>0</v>
      </c>
      <c r="AJ19" s="123">
        <f t="shared" si="33"/>
        <v>0</v>
      </c>
      <c r="AK19" s="123">
        <f t="shared" si="34"/>
        <v>0</v>
      </c>
      <c r="AL19" s="123">
        <f t="shared" si="35"/>
        <v>0</v>
      </c>
      <c r="AM19" s="123">
        <f t="shared" si="36"/>
        <v>0</v>
      </c>
      <c r="AN19" s="123">
        <f t="shared" si="37"/>
        <v>0</v>
      </c>
      <c r="AO19" s="123">
        <f t="shared" si="38"/>
        <v>0</v>
      </c>
      <c r="AP19" s="123"/>
      <c r="AQ19" s="123">
        <f t="shared" si="39"/>
        <v>0</v>
      </c>
      <c r="AR19" s="123">
        <f t="shared" si="40"/>
        <v>0</v>
      </c>
      <c r="AS19" s="123">
        <f t="shared" si="41"/>
        <v>0</v>
      </c>
      <c r="AW19" t="str">
        <f t="shared" si="14"/>
        <v>26100</v>
      </c>
      <c r="AX19" t="str">
        <f t="shared" si="15"/>
        <v>0.001-3536777.24895884i</v>
      </c>
      <c r="AY19" t="str">
        <f t="shared" si="42"/>
        <v>26098.578710748-192.597061222792i</v>
      </c>
      <c r="AZ19">
        <f t="shared" si="16"/>
        <v>14.353173556248244</v>
      </c>
      <c r="BA19">
        <f t="shared" si="17"/>
        <v>-0.4228123248702701</v>
      </c>
      <c r="BB19">
        <f t="shared" si="18"/>
        <v>-2.7691362564651674</v>
      </c>
      <c r="BC19">
        <f t="shared" si="19"/>
        <v>0.2203893933747342</v>
      </c>
      <c r="BD19" s="123">
        <f t="shared" si="43"/>
        <v>-2.7691362542458333</v>
      </c>
      <c r="BE19" s="123">
        <f t="shared" si="44"/>
        <v>0.21953505161916509</v>
      </c>
      <c r="BF19">
        <f t="shared" si="45"/>
        <v>83.702076841822588</v>
      </c>
      <c r="BG19">
        <f t="shared" si="46"/>
        <v>-88.628652210184669</v>
      </c>
      <c r="BH19" s="123">
        <f t="shared" si="47"/>
        <v>80.932940587576752</v>
      </c>
      <c r="BI19" s="123">
        <f t="shared" si="48"/>
        <v>-88.409117158565508</v>
      </c>
      <c r="BL19" s="123">
        <f t="shared" si="49"/>
        <v>0</v>
      </c>
      <c r="BM19" s="123">
        <f t="shared" si="50"/>
        <v>0</v>
      </c>
      <c r="BN19" s="123">
        <f t="shared" si="51"/>
        <v>0</v>
      </c>
      <c r="BO19" s="123">
        <f t="shared" si="52"/>
        <v>0</v>
      </c>
      <c r="BP19" s="123">
        <f t="shared" si="53"/>
        <v>0</v>
      </c>
      <c r="BQ19" s="123">
        <f t="shared" si="54"/>
        <v>0</v>
      </c>
      <c r="BR19" s="123">
        <f t="shared" si="55"/>
        <v>0</v>
      </c>
      <c r="BS19" s="123"/>
      <c r="BT19" s="123"/>
      <c r="BU19" s="123">
        <f t="shared" si="56"/>
        <v>0</v>
      </c>
      <c r="BV19" s="123">
        <f t="shared" si="57"/>
        <v>0</v>
      </c>
      <c r="BX19" s="123">
        <f t="shared" si="58"/>
        <v>0</v>
      </c>
      <c r="BY19" s="123"/>
    </row>
    <row r="20" spans="2:77" x14ac:dyDescent="0.25">
      <c r="B20" s="46" t="s">
        <v>442</v>
      </c>
      <c r="C20" t="s">
        <v>397</v>
      </c>
      <c r="D20">
        <f>1/R.s/A.s_typ*(R.load*Wsh*L.out)/(R.load+Wsh*L.out)</f>
        <v>42.710114164419643</v>
      </c>
      <c r="E20">
        <v>9</v>
      </c>
      <c r="F20">
        <v>5</v>
      </c>
      <c r="G20" s="58">
        <f t="shared" si="1"/>
        <v>2.7399378443209027E-9</v>
      </c>
      <c r="H20" s="58">
        <f t="shared" si="2"/>
        <v>-9.4926861736415846E-4</v>
      </c>
      <c r="I20">
        <f t="shared" si="20"/>
        <v>32.610052056086317</v>
      </c>
      <c r="J20">
        <f t="shared" si="3"/>
        <v>-0.65020628195212504</v>
      </c>
      <c r="K20" t="str">
        <f t="shared" si="4"/>
        <v>5286.34361227648-0.0175586271029909i</v>
      </c>
      <c r="L20" t="str">
        <f t="shared" si="5"/>
        <v>1000000-31830995240.6296i</v>
      </c>
      <c r="M20" t="str">
        <f t="shared" si="6"/>
        <v>149999.999974462-0.70685819907737i</v>
      </c>
      <c r="N20">
        <f t="shared" si="21"/>
        <v>-29.359557504306526</v>
      </c>
      <c r="O20">
        <f t="shared" si="7"/>
        <v>7.6978723106581632E-5</v>
      </c>
      <c r="P20" t="str">
        <f t="shared" si="8"/>
        <v>-677255217.885736i</v>
      </c>
      <c r="Q20" t="str">
        <f t="shared" si="9"/>
        <v>5900-2652582.93671913i</v>
      </c>
      <c r="R20" t="str">
        <f t="shared" si="22"/>
        <v>5854.05344476575-2642234.23695609i</v>
      </c>
      <c r="S20" t="str">
        <f t="shared" si="10"/>
        <v>99996052.3157305-628293.59597336i</v>
      </c>
      <c r="T20" t="str">
        <f t="shared" si="23"/>
        <v>75581.7000144907-2639644.4686296i</v>
      </c>
      <c r="U20" t="str">
        <f t="shared" si="24"/>
        <v>0.999999999375-0.000024999999984375i</v>
      </c>
      <c r="V20">
        <f t="shared" si="11"/>
        <v>68.434467889092645</v>
      </c>
      <c r="W20">
        <f t="shared" si="12"/>
        <v>-88.3613323548648</v>
      </c>
      <c r="X20">
        <f t="shared" si="25"/>
        <v>-2.7143407369049804E-9</v>
      </c>
      <c r="Y20">
        <f t="shared" si="13"/>
        <v>-1.4323947855299159E-3</v>
      </c>
      <c r="AA20" s="123">
        <f t="shared" si="26"/>
        <v>32.610052058826255</v>
      </c>
      <c r="AB20" s="123">
        <f t="shared" si="27"/>
        <v>-0.65115555056948915</v>
      </c>
      <c r="AC20">
        <f t="shared" si="28"/>
        <v>39.074910384786122</v>
      </c>
      <c r="AD20">
        <f t="shared" si="29"/>
        <v>-88.361255376141699</v>
      </c>
      <c r="AE20" s="123">
        <f t="shared" si="30"/>
        <v>71.684962443612378</v>
      </c>
      <c r="AF20" s="123">
        <f t="shared" si="31"/>
        <v>-89.012410926711183</v>
      </c>
      <c r="AI20" s="123">
        <f t="shared" si="32"/>
        <v>0</v>
      </c>
      <c r="AJ20" s="123">
        <f t="shared" si="33"/>
        <v>0</v>
      </c>
      <c r="AK20" s="123">
        <f t="shared" si="34"/>
        <v>0</v>
      </c>
      <c r="AL20" s="123">
        <f t="shared" si="35"/>
        <v>0</v>
      </c>
      <c r="AM20" s="123">
        <f t="shared" si="36"/>
        <v>0</v>
      </c>
      <c r="AN20" s="123">
        <f t="shared" si="37"/>
        <v>0</v>
      </c>
      <c r="AO20" s="123">
        <f t="shared" si="38"/>
        <v>0</v>
      </c>
      <c r="AP20" s="123"/>
      <c r="AQ20" s="123">
        <f t="shared" si="39"/>
        <v>0</v>
      </c>
      <c r="AR20" s="123">
        <f t="shared" si="40"/>
        <v>0</v>
      </c>
      <c r="AS20" s="123">
        <f t="shared" si="41"/>
        <v>0</v>
      </c>
      <c r="AW20" t="str">
        <f t="shared" si="14"/>
        <v>26100</v>
      </c>
      <c r="AX20" t="str">
        <f t="shared" si="15"/>
        <v>0.001-3183099.52406296i</v>
      </c>
      <c r="AY20" t="str">
        <f t="shared" si="42"/>
        <v>26098.2453443243-213.994001235519i</v>
      </c>
      <c r="AZ20">
        <f t="shared" si="16"/>
        <v>14.353118081913776</v>
      </c>
      <c r="BA20">
        <f t="shared" si="17"/>
        <v>-0.46978947178201796</v>
      </c>
      <c r="BB20">
        <f t="shared" si="18"/>
        <v>-2.7690409186262777</v>
      </c>
      <c r="BC20">
        <f t="shared" si="19"/>
        <v>0.24486853082946067</v>
      </c>
      <c r="BD20" s="123">
        <f t="shared" si="43"/>
        <v>-2.7690409158863396</v>
      </c>
      <c r="BE20" s="123">
        <f t="shared" si="44"/>
        <v>0.2439192622120965</v>
      </c>
      <c r="BF20">
        <f t="shared" si="45"/>
        <v>82.787585971006422</v>
      </c>
      <c r="BG20">
        <f t="shared" si="46"/>
        <v>-88.831121826646822</v>
      </c>
      <c r="BH20" s="123">
        <f t="shared" si="47"/>
        <v>80.018545055120086</v>
      </c>
      <c r="BI20" s="123">
        <f t="shared" si="48"/>
        <v>-88.587202564434719</v>
      </c>
      <c r="BL20" s="123">
        <f t="shared" si="49"/>
        <v>0</v>
      </c>
      <c r="BM20" s="123">
        <f t="shared" si="50"/>
        <v>0</v>
      </c>
      <c r="BN20" s="123">
        <f t="shared" si="51"/>
        <v>0</v>
      </c>
      <c r="BO20" s="123">
        <f t="shared" si="52"/>
        <v>0</v>
      </c>
      <c r="BP20" s="123">
        <f t="shared" si="53"/>
        <v>0</v>
      </c>
      <c r="BQ20" s="123">
        <f t="shared" si="54"/>
        <v>0</v>
      </c>
      <c r="BR20" s="123">
        <f t="shared" si="55"/>
        <v>0</v>
      </c>
      <c r="BS20" s="123"/>
      <c r="BT20" s="123"/>
      <c r="BU20" s="123">
        <f t="shared" si="56"/>
        <v>0</v>
      </c>
      <c r="BV20" s="123">
        <f t="shared" si="57"/>
        <v>0</v>
      </c>
      <c r="BX20" s="123">
        <f t="shared" si="58"/>
        <v>0</v>
      </c>
      <c r="BY20" s="123"/>
    </row>
    <row r="21" spans="2:77" x14ac:dyDescent="0.25">
      <c r="B21" s="46" t="s">
        <v>442</v>
      </c>
      <c r="C21" t="s">
        <v>398</v>
      </c>
      <c r="D21">
        <f>1/R.esrb/C.outb_derated</f>
        <v>943396.22641509434</v>
      </c>
      <c r="E21">
        <v>10</v>
      </c>
      <c r="F21">
        <v>5.5</v>
      </c>
      <c r="G21" s="58">
        <f t="shared" si="1"/>
        <v>3.3153076843492323E-9</v>
      </c>
      <c r="H21" s="58">
        <f t="shared" si="2"/>
        <v>-1.0441954791797711E-3</v>
      </c>
      <c r="I21">
        <f t="shared" si="20"/>
        <v>32.609933921461518</v>
      </c>
      <c r="J21">
        <f t="shared" si="3"/>
        <v>-0.71522040588477731</v>
      </c>
      <c r="K21" t="str">
        <f t="shared" si="4"/>
        <v>5286.34361226423-0.0193144898132452i</v>
      </c>
      <c r="L21" t="str">
        <f t="shared" si="5"/>
        <v>1000000-28937268400.5724i</v>
      </c>
      <c r="M21" t="str">
        <f t="shared" si="6"/>
        <v>149999.9999691-0.777544018771978i</v>
      </c>
      <c r="N21">
        <f t="shared" si="21"/>
        <v>-29.359557504035848</v>
      </c>
      <c r="O21">
        <f t="shared" si="7"/>
        <v>8.4676595348474445E-5</v>
      </c>
      <c r="P21" t="str">
        <f t="shared" si="8"/>
        <v>-615686561.714305i</v>
      </c>
      <c r="Q21" t="str">
        <f t="shared" si="9"/>
        <v>5900-2411439.03338103i</v>
      </c>
      <c r="R21" t="str">
        <f t="shared" si="22"/>
        <v>5854.05344467318-2402031.13420361i</v>
      </c>
      <c r="S21" t="str">
        <f t="shared" si="10"/>
        <v>99995223.341633-691117.226114232i</v>
      </c>
      <c r="T21" t="str">
        <f t="shared" si="23"/>
        <v>63486.7867606633-2399967.25812142i</v>
      </c>
      <c r="U21" t="str">
        <f t="shared" si="24"/>
        <v>0.99999999924375-0.0000274999999792031i</v>
      </c>
      <c r="V21">
        <f t="shared" si="11"/>
        <v>67.607144338174578</v>
      </c>
      <c r="W21">
        <f t="shared" si="12"/>
        <v>-88.486291364749633</v>
      </c>
      <c r="X21">
        <f t="shared" si="25"/>
        <v>-3.2843527739265282E-9</v>
      </c>
      <c r="Y21">
        <f t="shared" si="13"/>
        <v>-1.5756342640139722E-3</v>
      </c>
      <c r="AA21" s="123">
        <f t="shared" si="26"/>
        <v>32.609933924776826</v>
      </c>
      <c r="AB21" s="123">
        <f t="shared" si="27"/>
        <v>-0.71626460136395709</v>
      </c>
      <c r="AC21">
        <f t="shared" si="28"/>
        <v>38.24758683413873</v>
      </c>
      <c r="AD21">
        <f t="shared" si="29"/>
        <v>-88.486206688154283</v>
      </c>
      <c r="AE21" s="123">
        <f t="shared" si="30"/>
        <v>70.857520758915555</v>
      </c>
      <c r="AF21" s="123">
        <f t="shared" si="31"/>
        <v>-89.202471289518243</v>
      </c>
      <c r="AI21" s="123">
        <f t="shared" si="32"/>
        <v>0</v>
      </c>
      <c r="AJ21" s="123">
        <f t="shared" si="33"/>
        <v>0</v>
      </c>
      <c r="AK21" s="123">
        <f t="shared" si="34"/>
        <v>0</v>
      </c>
      <c r="AL21" s="123">
        <f t="shared" si="35"/>
        <v>0</v>
      </c>
      <c r="AM21" s="123">
        <f t="shared" si="36"/>
        <v>0</v>
      </c>
      <c r="AN21" s="123">
        <f t="shared" si="37"/>
        <v>0</v>
      </c>
      <c r="AO21" s="123">
        <f t="shared" si="38"/>
        <v>0</v>
      </c>
      <c r="AP21" s="123"/>
      <c r="AQ21" s="123">
        <f t="shared" si="39"/>
        <v>0</v>
      </c>
      <c r="AR21" s="123">
        <f t="shared" si="40"/>
        <v>0</v>
      </c>
      <c r="AS21" s="123">
        <f t="shared" si="41"/>
        <v>0</v>
      </c>
      <c r="AW21" t="str">
        <f t="shared" si="14"/>
        <v>26100</v>
      </c>
      <c r="AX21" t="str">
        <f t="shared" si="15"/>
        <v>0.001-2893726.84005724i</v>
      </c>
      <c r="AY21" t="str">
        <f t="shared" si="42"/>
        <v>26097.8768966062-235.390078140833i</v>
      </c>
      <c r="AZ21">
        <f t="shared" si="16"/>
        <v>14.353056769000055</v>
      </c>
      <c r="BA21">
        <f t="shared" si="17"/>
        <v>-0.51676598706056776</v>
      </c>
      <c r="BB21">
        <f t="shared" si="18"/>
        <v>-2.7689355531196362</v>
      </c>
      <c r="BC21">
        <f t="shared" si="19"/>
        <v>0.269344961839588</v>
      </c>
      <c r="BD21" s="123">
        <f t="shared" si="43"/>
        <v>-2.7689355498043287</v>
      </c>
      <c r="BE21" s="123">
        <f t="shared" si="44"/>
        <v>0.26830076636040823</v>
      </c>
      <c r="BF21">
        <f t="shared" si="45"/>
        <v>81.96020110717464</v>
      </c>
      <c r="BG21">
        <f t="shared" si="46"/>
        <v>-89.003057351810199</v>
      </c>
      <c r="BH21" s="123">
        <f t="shared" si="47"/>
        <v>79.191265557370315</v>
      </c>
      <c r="BI21" s="123">
        <f t="shared" si="48"/>
        <v>-88.734756585449787</v>
      </c>
      <c r="BL21" s="123">
        <f t="shared" si="49"/>
        <v>0</v>
      </c>
      <c r="BM21" s="123">
        <f t="shared" si="50"/>
        <v>0</v>
      </c>
      <c r="BN21" s="123">
        <f t="shared" si="51"/>
        <v>0</v>
      </c>
      <c r="BO21" s="123">
        <f t="shared" si="52"/>
        <v>0</v>
      </c>
      <c r="BP21" s="123">
        <f t="shared" si="53"/>
        <v>0</v>
      </c>
      <c r="BQ21" s="123">
        <f t="shared" si="54"/>
        <v>0</v>
      </c>
      <c r="BR21" s="123">
        <f t="shared" si="55"/>
        <v>0</v>
      </c>
      <c r="BS21" s="123"/>
      <c r="BT21" s="123"/>
      <c r="BU21" s="123">
        <f t="shared" si="56"/>
        <v>0</v>
      </c>
      <c r="BV21" s="123">
        <f t="shared" si="57"/>
        <v>0</v>
      </c>
      <c r="BX21" s="123">
        <f t="shared" si="58"/>
        <v>0</v>
      </c>
      <c r="BY21" s="123"/>
    </row>
    <row r="22" spans="2:77" x14ac:dyDescent="0.25">
      <c r="B22" s="46" t="s">
        <v>442</v>
      </c>
      <c r="C22" t="s">
        <v>399</v>
      </c>
      <c r="D22">
        <f>1/R.load/C.outtotal_derated+1/Wsh/C.outtotal_derated/L.out</f>
        <v>2760.1331936562519</v>
      </c>
      <c r="E22">
        <v>11</v>
      </c>
      <c r="F22">
        <v>6</v>
      </c>
      <c r="G22" s="58">
        <f t="shared" si="1"/>
        <v>3.9455284706122561E-9</v>
      </c>
      <c r="H22" s="58">
        <f t="shared" si="2"/>
        <v>-1.1391223410180198E-3</v>
      </c>
      <c r="I22">
        <f t="shared" si="20"/>
        <v>32.609804539607069</v>
      </c>
      <c r="J22">
        <f t="shared" si="3"/>
        <v>-0.78023267172244204</v>
      </c>
      <c r="K22" t="str">
        <f t="shared" si="4"/>
        <v>5286.34361225082-0.0210703525234867i</v>
      </c>
      <c r="L22" t="str">
        <f t="shared" si="5"/>
        <v>1000000-26525829367.1913i</v>
      </c>
      <c r="M22" t="str">
        <f t="shared" si="6"/>
        <v>149999.999963226-0.848229838405704i</v>
      </c>
      <c r="N22">
        <f t="shared" si="21"/>
        <v>-29.359557503739325</v>
      </c>
      <c r="O22">
        <f t="shared" si="7"/>
        <v>9.2374467570727748E-5</v>
      </c>
      <c r="P22" t="str">
        <f t="shared" si="8"/>
        <v>-564379348.238113i</v>
      </c>
      <c r="Q22" t="str">
        <f t="shared" si="9"/>
        <v>5900-2210485.78059928i</v>
      </c>
      <c r="R22" t="str">
        <f t="shared" si="22"/>
        <v>5854.0534445718-2201861.88275654i</v>
      </c>
      <c r="S22" t="str">
        <f t="shared" si="10"/>
        <v>99994315.4333917-753939.219386446i</v>
      </c>
      <c r="T22" t="str">
        <f t="shared" si="23"/>
        <v>54285.6527780882-2200172.54753007i</v>
      </c>
      <c r="U22" t="str">
        <f t="shared" si="24"/>
        <v>0.9999999991-0.000029999999973i</v>
      </c>
      <c r="V22">
        <f t="shared" si="11"/>
        <v>66.851777896989276</v>
      </c>
      <c r="W22">
        <f t="shared" si="12"/>
        <v>-88.58834458545995</v>
      </c>
      <c r="X22">
        <f t="shared" si="25"/>
        <v>-3.9086496970844254E-9</v>
      </c>
      <c r="Y22">
        <f t="shared" si="13"/>
        <v>-1.7188737424783356E-3</v>
      </c>
      <c r="AA22" s="123">
        <f t="shared" si="26"/>
        <v>32.609804543552599</v>
      </c>
      <c r="AB22" s="123">
        <f t="shared" si="27"/>
        <v>-0.78137179406346002</v>
      </c>
      <c r="AC22">
        <f t="shared" si="28"/>
        <v>37.492220393249951</v>
      </c>
      <c r="AD22">
        <f t="shared" si="29"/>
        <v>-88.58825221099238</v>
      </c>
      <c r="AE22" s="123">
        <f t="shared" si="30"/>
        <v>70.10202493680255</v>
      </c>
      <c r="AF22" s="123">
        <f t="shared" si="31"/>
        <v>-89.36962400505584</v>
      </c>
      <c r="AI22" s="123">
        <f t="shared" si="32"/>
        <v>0</v>
      </c>
      <c r="AJ22" s="123">
        <f t="shared" si="33"/>
        <v>0</v>
      </c>
      <c r="AK22" s="123">
        <f t="shared" si="34"/>
        <v>0</v>
      </c>
      <c r="AL22" s="123">
        <f t="shared" si="35"/>
        <v>0</v>
      </c>
      <c r="AM22" s="123">
        <f t="shared" si="36"/>
        <v>0</v>
      </c>
      <c r="AN22" s="123">
        <f t="shared" si="37"/>
        <v>0</v>
      </c>
      <c r="AO22" s="123">
        <f t="shared" si="38"/>
        <v>0</v>
      </c>
      <c r="AP22" s="123"/>
      <c r="AQ22" s="123">
        <f t="shared" si="39"/>
        <v>0</v>
      </c>
      <c r="AR22" s="123">
        <f t="shared" si="40"/>
        <v>0</v>
      </c>
      <c r="AS22" s="123">
        <f t="shared" si="41"/>
        <v>0</v>
      </c>
      <c r="AW22" t="str">
        <f t="shared" si="14"/>
        <v>26100</v>
      </c>
      <c r="AX22" t="str">
        <f t="shared" si="15"/>
        <v>0.001-2652582.93671913i</v>
      </c>
      <c r="AY22" t="str">
        <f t="shared" si="42"/>
        <v>26097.4733705657-256.78520567267i</v>
      </c>
      <c r="AZ22">
        <f t="shared" si="16"/>
        <v>14.352989617754391</v>
      </c>
      <c r="BA22">
        <f t="shared" si="17"/>
        <v>-0.56374180756221393</v>
      </c>
      <c r="BB22">
        <f t="shared" si="18"/>
        <v>-2.7688201623126045</v>
      </c>
      <c r="BC22">
        <f t="shared" si="19"/>
        <v>0.29381841615723131</v>
      </c>
      <c r="BD22" s="123">
        <f t="shared" si="43"/>
        <v>-2.7688201583670762</v>
      </c>
      <c r="BE22" s="123">
        <f t="shared" si="44"/>
        <v>0.29267929381621327</v>
      </c>
      <c r="BF22">
        <f t="shared" si="45"/>
        <v>81.204767514743665</v>
      </c>
      <c r="BG22">
        <f t="shared" si="46"/>
        <v>-89.152086393022159</v>
      </c>
      <c r="BH22" s="123">
        <f t="shared" si="47"/>
        <v>78.435947356376587</v>
      </c>
      <c r="BI22" s="123">
        <f t="shared" si="48"/>
        <v>-88.859407099205953</v>
      </c>
      <c r="BL22" s="123">
        <f t="shared" si="49"/>
        <v>0</v>
      </c>
      <c r="BM22" s="123">
        <f t="shared" si="50"/>
        <v>0</v>
      </c>
      <c r="BN22" s="123">
        <f t="shared" si="51"/>
        <v>0</v>
      </c>
      <c r="BO22" s="123">
        <f t="shared" si="52"/>
        <v>0</v>
      </c>
      <c r="BP22" s="123">
        <f t="shared" si="53"/>
        <v>0</v>
      </c>
      <c r="BQ22" s="123">
        <f t="shared" si="54"/>
        <v>0</v>
      </c>
      <c r="BR22" s="123">
        <f t="shared" si="55"/>
        <v>0</v>
      </c>
      <c r="BS22" s="123"/>
      <c r="BT22" s="123"/>
      <c r="BU22" s="123">
        <f t="shared" si="56"/>
        <v>0</v>
      </c>
      <c r="BV22" s="123">
        <f t="shared" si="57"/>
        <v>0</v>
      </c>
      <c r="BX22" s="123">
        <f t="shared" si="58"/>
        <v>0</v>
      </c>
      <c r="BY22" s="123"/>
    </row>
    <row r="23" spans="2:77" x14ac:dyDescent="0.25">
      <c r="B23" s="139" t="s">
        <v>441</v>
      </c>
      <c r="C23" t="s">
        <v>446</v>
      </c>
      <c r="D23">
        <f>1/R.load/C.outtotal_derated</f>
        <v>2006.5634691074506</v>
      </c>
      <c r="E23">
        <v>12</v>
      </c>
      <c r="F23">
        <v>6.5</v>
      </c>
      <c r="G23" s="58">
        <f t="shared" si="1"/>
        <v>4.6305114849711606E-9</v>
      </c>
      <c r="H23" s="58">
        <f t="shared" si="2"/>
        <v>-1.2340492028809491E-3</v>
      </c>
      <c r="I23">
        <f t="shared" si="20"/>
        <v>32.609663911528315</v>
      </c>
      <c r="J23">
        <f t="shared" si="3"/>
        <v>-0.84524291066816926</v>
      </c>
      <c r="K23" t="str">
        <f t="shared" si="4"/>
        <v>5286.34361223623-0.0228262152337144i</v>
      </c>
      <c r="L23" t="str">
        <f t="shared" si="5"/>
        <v>1000000-24485380954.3305i</v>
      </c>
      <c r="M23" t="str">
        <f t="shared" si="6"/>
        <v>149999.999956842-0.918915657972989i</v>
      </c>
      <c r="N23">
        <f t="shared" si="21"/>
        <v>-29.359557503417022</v>
      </c>
      <c r="O23">
        <f t="shared" si="7"/>
        <v>1.000723397715415E-4</v>
      </c>
      <c r="P23" t="str">
        <f t="shared" si="8"/>
        <v>-520965552.219797i</v>
      </c>
      <c r="Q23" t="str">
        <f t="shared" si="9"/>
        <v>5900-2040448.41286087i</v>
      </c>
      <c r="R23" t="str">
        <f t="shared" si="22"/>
        <v>5854.05344446158-2032487.90154437i</v>
      </c>
      <c r="S23" t="str">
        <f t="shared" si="10"/>
        <v>99993328.595307-816759.42703781i</v>
      </c>
      <c r="T23" t="str">
        <f t="shared" si="23"/>
        <v>47123.8345219533-2031074.04599732i</v>
      </c>
      <c r="U23" t="str">
        <f t="shared" si="24"/>
        <v>0.99999999894375-0.0000324999999656719i</v>
      </c>
      <c r="V23">
        <f t="shared" si="11"/>
        <v>66.156852334035818</v>
      </c>
      <c r="W23">
        <f t="shared" si="12"/>
        <v>-88.672774652938244</v>
      </c>
      <c r="X23">
        <f t="shared" si="25"/>
        <v>-4.5872363280277123E-9</v>
      </c>
      <c r="Y23">
        <f t="shared" si="13"/>
        <v>-1.8621132209212133E-3</v>
      </c>
      <c r="AA23" s="123">
        <f t="shared" si="26"/>
        <v>32.60966391615883</v>
      </c>
      <c r="AB23" s="123">
        <f t="shared" si="27"/>
        <v>-0.84647695987105021</v>
      </c>
      <c r="AC23">
        <f t="shared" si="28"/>
        <v>36.797294830618796</v>
      </c>
      <c r="AD23">
        <f t="shared" si="29"/>
        <v>-88.672674580598468</v>
      </c>
      <c r="AE23" s="123">
        <f t="shared" si="30"/>
        <v>69.406958746777633</v>
      </c>
      <c r="AF23" s="123">
        <f t="shared" si="31"/>
        <v>-89.519151540469522</v>
      </c>
      <c r="AI23" s="123">
        <f t="shared" si="32"/>
        <v>0</v>
      </c>
      <c r="AJ23" s="123">
        <f t="shared" si="33"/>
        <v>0</v>
      </c>
      <c r="AK23" s="123">
        <f t="shared" si="34"/>
        <v>0</v>
      </c>
      <c r="AL23" s="123">
        <f t="shared" si="35"/>
        <v>0</v>
      </c>
      <c r="AM23" s="123">
        <f t="shared" si="36"/>
        <v>0</v>
      </c>
      <c r="AN23" s="123">
        <f t="shared" si="37"/>
        <v>0</v>
      </c>
      <c r="AO23" s="123">
        <f t="shared" si="38"/>
        <v>0</v>
      </c>
      <c r="AP23" s="123"/>
      <c r="AQ23" s="123">
        <f t="shared" si="39"/>
        <v>0</v>
      </c>
      <c r="AR23" s="123">
        <f t="shared" si="40"/>
        <v>0</v>
      </c>
      <c r="AS23" s="123">
        <f t="shared" si="41"/>
        <v>0</v>
      </c>
      <c r="AW23" t="str">
        <f t="shared" si="14"/>
        <v>26100</v>
      </c>
      <c r="AX23" t="str">
        <f t="shared" si="15"/>
        <v>0.001-2448538.09543305i</v>
      </c>
      <c r="AY23" t="str">
        <f t="shared" si="42"/>
        <v>26097.0347694575-278.179297577729i</v>
      </c>
      <c r="AZ23">
        <f t="shared" si="16"/>
        <v>14.352916628447602</v>
      </c>
      <c r="BA23">
        <f t="shared" si="17"/>
        <v>-0.610716870148859</v>
      </c>
      <c r="BB23">
        <f t="shared" si="18"/>
        <v>-2.7686947487970288</v>
      </c>
      <c r="BC23">
        <f t="shared" si="19"/>
        <v>0.31828862364769461</v>
      </c>
      <c r="BD23" s="123">
        <f t="shared" si="43"/>
        <v>-2.7686947441665173</v>
      </c>
      <c r="BE23" s="123">
        <f t="shared" si="44"/>
        <v>0.31705457444481366</v>
      </c>
      <c r="BF23">
        <f t="shared" si="45"/>
        <v>80.50976896248342</v>
      </c>
      <c r="BG23">
        <f t="shared" si="46"/>
        <v>-89.283491523087108</v>
      </c>
      <c r="BH23" s="123">
        <f t="shared" si="47"/>
        <v>77.741074218316896</v>
      </c>
      <c r="BI23" s="123">
        <f t="shared" si="48"/>
        <v>-88.966436948642297</v>
      </c>
      <c r="BL23" s="123">
        <f t="shared" si="49"/>
        <v>0</v>
      </c>
      <c r="BM23" s="123">
        <f t="shared" si="50"/>
        <v>0</v>
      </c>
      <c r="BN23" s="123">
        <f t="shared" si="51"/>
        <v>0</v>
      </c>
      <c r="BO23" s="123">
        <f t="shared" si="52"/>
        <v>0</v>
      </c>
      <c r="BP23" s="123">
        <f t="shared" si="53"/>
        <v>0</v>
      </c>
      <c r="BQ23" s="123">
        <f t="shared" si="54"/>
        <v>0</v>
      </c>
      <c r="BR23" s="123">
        <f t="shared" si="55"/>
        <v>0</v>
      </c>
      <c r="BS23" s="123"/>
      <c r="BT23" s="123"/>
      <c r="BU23" s="123">
        <f t="shared" si="56"/>
        <v>0</v>
      </c>
      <c r="BV23" s="123">
        <f t="shared" si="57"/>
        <v>0</v>
      </c>
      <c r="BX23" s="123">
        <f t="shared" si="58"/>
        <v>0</v>
      </c>
      <c r="BY23" s="123"/>
    </row>
    <row r="24" spans="2:77" x14ac:dyDescent="0.25">
      <c r="B24" s="139" t="s">
        <v>441</v>
      </c>
      <c r="C24" t="s">
        <v>453</v>
      </c>
      <c r="D24">
        <f>1/R.load*(R.load*Wsh*L.out)/(R.load+Wsh*L.out)</f>
        <v>0.72698066662841943</v>
      </c>
      <c r="E24">
        <v>13</v>
      </c>
      <c r="F24">
        <v>7</v>
      </c>
      <c r="G24" s="58">
        <f t="shared" si="1"/>
        <v>5.3702586560679207E-9</v>
      </c>
      <c r="H24" s="58">
        <f t="shared" si="2"/>
        <v>-1.3289760647706337E-3</v>
      </c>
      <c r="I24">
        <f t="shared" si="20"/>
        <v>32.609512038317824</v>
      </c>
      <c r="J24">
        <f t="shared" si="3"/>
        <v>-0.91025095395649824</v>
      </c>
      <c r="K24" t="str">
        <f t="shared" si="4"/>
        <v>5286.34361222049-0.024582077943927i</v>
      </c>
      <c r="L24" t="str">
        <f t="shared" si="5"/>
        <v>1000000-22736425171.8783i</v>
      </c>
      <c r="M24" t="str">
        <f t="shared" si="6"/>
        <v>149999.999949947-0.989601477468313i</v>
      </c>
      <c r="N24">
        <f t="shared" si="21"/>
        <v>-29.359557503068903</v>
      </c>
      <c r="O24">
        <f t="shared" si="7"/>
        <v>1.0777021194913932E-4</v>
      </c>
      <c r="P24" t="str">
        <f t="shared" si="8"/>
        <v>-483753727.06124i</v>
      </c>
      <c r="Q24" t="str">
        <f t="shared" si="9"/>
        <v>5900-1894702.09765652i</v>
      </c>
      <c r="R24" t="str">
        <f t="shared" si="22"/>
        <v>5854.05344434257-1887310.20408823i</v>
      </c>
      <c r="S24" t="str">
        <f t="shared" si="10"/>
        <v>99992262.8320531-879577.700330214i</v>
      </c>
      <c r="T24" t="str">
        <f t="shared" si="23"/>
        <v>41440.4206246416-1886104.57819976i</v>
      </c>
      <c r="U24" t="str">
        <f t="shared" si="24"/>
        <v>0.999999998775-0.000034999999957125i</v>
      </c>
      <c r="V24">
        <f t="shared" si="11"/>
        <v>65.513411403755768</v>
      </c>
      <c r="W24">
        <f t="shared" si="12"/>
        <v>-88.743355938353233</v>
      </c>
      <c r="X24">
        <f t="shared" si="25"/>
        <v>-5.320106880804311E-9</v>
      </c>
      <c r="Y24">
        <f t="shared" si="13"/>
        <v>-2.0053526993408116E-3</v>
      </c>
      <c r="AA24" s="123">
        <f t="shared" si="26"/>
        <v>32.609512043688085</v>
      </c>
      <c r="AB24" s="123">
        <f t="shared" si="27"/>
        <v>-0.91157993002126891</v>
      </c>
      <c r="AC24">
        <f t="shared" si="28"/>
        <v>36.153853900686869</v>
      </c>
      <c r="AD24">
        <f t="shared" si="29"/>
        <v>-88.743248168141278</v>
      </c>
      <c r="AE24" s="123">
        <f t="shared" si="30"/>
        <v>68.763365944374954</v>
      </c>
      <c r="AF24" s="123">
        <f t="shared" si="31"/>
        <v>-89.654828098162554</v>
      </c>
      <c r="AI24" s="123">
        <f t="shared" si="32"/>
        <v>0</v>
      </c>
      <c r="AJ24" s="123">
        <f t="shared" si="33"/>
        <v>0</v>
      </c>
      <c r="AK24" s="123">
        <f t="shared" si="34"/>
        <v>0</v>
      </c>
      <c r="AL24" s="123">
        <f t="shared" si="35"/>
        <v>0</v>
      </c>
      <c r="AM24" s="123">
        <f t="shared" si="36"/>
        <v>0</v>
      </c>
      <c r="AN24" s="123">
        <f t="shared" si="37"/>
        <v>0</v>
      </c>
      <c r="AO24" s="123">
        <f t="shared" si="38"/>
        <v>0</v>
      </c>
      <c r="AP24" s="123"/>
      <c r="AQ24" s="123">
        <f t="shared" si="39"/>
        <v>0</v>
      </c>
      <c r="AR24" s="123">
        <f t="shared" si="40"/>
        <v>0</v>
      </c>
      <c r="AS24" s="123">
        <f t="shared" si="41"/>
        <v>0</v>
      </c>
      <c r="AW24" t="str">
        <f t="shared" si="14"/>
        <v>26100</v>
      </c>
      <c r="AX24" t="str">
        <f t="shared" si="15"/>
        <v>0.001-2273642.51718783i</v>
      </c>
      <c r="AY24" t="str">
        <f t="shared" si="42"/>
        <v>26096.5610968192-299.572267616631i</v>
      </c>
      <c r="AZ24">
        <f t="shared" si="16"/>
        <v>14.352837801374088</v>
      </c>
      <c r="BA24">
        <f t="shared" si="17"/>
        <v>-0.65769111168851846</v>
      </c>
      <c r="BB24">
        <f t="shared" si="18"/>
        <v>-2.768559315389564</v>
      </c>
      <c r="BC24">
        <f t="shared" si="19"/>
        <v>0.34275531429975808</v>
      </c>
      <c r="BD24" s="123">
        <f t="shared" si="43"/>
        <v>-2.7685593100193056</v>
      </c>
      <c r="BE24" s="123">
        <f t="shared" si="44"/>
        <v>0.34142633823498747</v>
      </c>
      <c r="BF24">
        <f t="shared" si="45"/>
        <v>79.866249205129861</v>
      </c>
      <c r="BG24">
        <f t="shared" si="46"/>
        <v>-89.401047050041754</v>
      </c>
      <c r="BH24" s="123">
        <f t="shared" si="47"/>
        <v>77.097689895110562</v>
      </c>
      <c r="BI24" s="123">
        <f t="shared" si="48"/>
        <v>-89.059620711806772</v>
      </c>
      <c r="BL24" s="123">
        <f t="shared" si="49"/>
        <v>0</v>
      </c>
      <c r="BM24" s="123">
        <f t="shared" si="50"/>
        <v>0</v>
      </c>
      <c r="BN24" s="123">
        <f t="shared" si="51"/>
        <v>0</v>
      </c>
      <c r="BO24" s="123">
        <f t="shared" si="52"/>
        <v>0</v>
      </c>
      <c r="BP24" s="123">
        <f t="shared" si="53"/>
        <v>0</v>
      </c>
      <c r="BQ24" s="123">
        <f t="shared" si="54"/>
        <v>0</v>
      </c>
      <c r="BR24" s="123">
        <f t="shared" si="55"/>
        <v>0</v>
      </c>
      <c r="BS24" s="123"/>
      <c r="BT24" s="123"/>
      <c r="BU24" s="123">
        <f t="shared" si="56"/>
        <v>0</v>
      </c>
      <c r="BV24" s="123">
        <f t="shared" si="57"/>
        <v>0</v>
      </c>
      <c r="BX24" s="123">
        <f t="shared" si="58"/>
        <v>0</v>
      </c>
      <c r="BY24" s="123"/>
    </row>
    <row r="25" spans="2:77" x14ac:dyDescent="0.25">
      <c r="E25">
        <v>14</v>
      </c>
      <c r="F25">
        <v>7.5</v>
      </c>
      <c r="G25" s="58">
        <f t="shared" si="1"/>
        <v>6.1648606306703354E-9</v>
      </c>
      <c r="H25" s="58">
        <f t="shared" si="2"/>
        <v>-1.4239029266891108E-3</v>
      </c>
      <c r="I25">
        <f t="shared" si="20"/>
        <v>32.609348921155473</v>
      </c>
      <c r="J25">
        <f t="shared" si="3"/>
        <v>-0.97525663285607322</v>
      </c>
      <c r="K25" t="str">
        <f t="shared" si="4"/>
        <v>5286.34361220358-0.0263379406541232i</v>
      </c>
      <c r="L25" t="str">
        <f t="shared" si="5"/>
        <v>1000000-21220663493.7531i</v>
      </c>
      <c r="M25" t="str">
        <f t="shared" si="6"/>
        <v>149999.999942541-1.06028729688613i</v>
      </c>
      <c r="N25">
        <f t="shared" si="21"/>
        <v>-29.359557502695061</v>
      </c>
      <c r="O25">
        <f t="shared" si="7"/>
        <v>1.1546808410172775E-4</v>
      </c>
      <c r="P25" t="str">
        <f t="shared" si="8"/>
        <v>-451503478.590491i</v>
      </c>
      <c r="Q25" t="str">
        <f t="shared" si="9"/>
        <v>5900-1768388.62447942i</v>
      </c>
      <c r="R25" t="str">
        <f t="shared" si="22"/>
        <v>5854.05344421474-1761489.53363691i</v>
      </c>
      <c r="S25" t="str">
        <f t="shared" si="10"/>
        <v>99991118.1486779-942393.890540826i</v>
      </c>
      <c r="T25" t="str">
        <f t="shared" si="23"/>
        <v>36854.8612466083-1760445.03923078i</v>
      </c>
      <c r="U25" t="str">
        <f t="shared" si="24"/>
        <v>0.99999999859375-0.0000374999999472656i</v>
      </c>
      <c r="V25">
        <f t="shared" si="11"/>
        <v>64.914352392423481</v>
      </c>
      <c r="W25">
        <f t="shared" si="12"/>
        <v>-88.802856921626088</v>
      </c>
      <c r="X25">
        <f t="shared" si="25"/>
        <v>-6.1072671413927652E-9</v>
      </c>
      <c r="Y25">
        <f t="shared" si="13"/>
        <v>-2.1485921777353433E-3</v>
      </c>
      <c r="AA25" s="123">
        <f t="shared" si="26"/>
        <v>32.609348927320333</v>
      </c>
      <c r="AB25" s="123">
        <f t="shared" si="27"/>
        <v>-0.97668053578276237</v>
      </c>
      <c r="AC25">
        <f t="shared" si="28"/>
        <v>35.55479488972842</v>
      </c>
      <c r="AD25">
        <f t="shared" si="29"/>
        <v>-88.802741453541984</v>
      </c>
      <c r="AE25" s="123">
        <f t="shared" si="30"/>
        <v>68.164143817048753</v>
      </c>
      <c r="AF25" s="123">
        <f t="shared" si="31"/>
        <v>-89.779421989324746</v>
      </c>
      <c r="AI25" s="123">
        <f t="shared" si="32"/>
        <v>0</v>
      </c>
      <c r="AJ25" s="123">
        <f t="shared" si="33"/>
        <v>0</v>
      </c>
      <c r="AK25" s="123">
        <f t="shared" si="34"/>
        <v>0</v>
      </c>
      <c r="AL25" s="123">
        <f t="shared" si="35"/>
        <v>0</v>
      </c>
      <c r="AM25" s="123">
        <f t="shared" si="36"/>
        <v>0</v>
      </c>
      <c r="AN25" s="123">
        <f t="shared" si="37"/>
        <v>0</v>
      </c>
      <c r="AO25" s="123">
        <f t="shared" si="38"/>
        <v>0</v>
      </c>
      <c r="AP25" s="123"/>
      <c r="AQ25" s="123">
        <f t="shared" si="39"/>
        <v>0</v>
      </c>
      <c r="AR25" s="123">
        <f t="shared" si="40"/>
        <v>0</v>
      </c>
      <c r="AS25" s="123">
        <f t="shared" si="41"/>
        <v>0</v>
      </c>
      <c r="AW25" t="str">
        <f t="shared" si="14"/>
        <v>26100</v>
      </c>
      <c r="AX25" t="str">
        <f t="shared" si="15"/>
        <v>0.001-2122066.34937531i</v>
      </c>
      <c r="AY25" t="str">
        <f t="shared" si="42"/>
        <v>26096.0523564708-320.964029565072i</v>
      </c>
      <c r="AZ25">
        <f t="shared" si="16"/>
        <v>14.352753136851696</v>
      </c>
      <c r="BA25">
        <f t="shared" si="17"/>
        <v>-0.7046644690558268</v>
      </c>
      <c r="BB25">
        <f t="shared" si="18"/>
        <v>-2.7684138651317891</v>
      </c>
      <c r="BC25">
        <f t="shared" si="19"/>
        <v>0.3672182182359372</v>
      </c>
      <c r="BD25" s="123">
        <f t="shared" si="43"/>
        <v>-2.7684138589669285</v>
      </c>
      <c r="BE25" s="123">
        <f t="shared" si="44"/>
        <v>0.36579431530924811</v>
      </c>
      <c r="BF25">
        <f t="shared" si="45"/>
        <v>79.26710552927517</v>
      </c>
      <c r="BG25">
        <f t="shared" si="46"/>
        <v>-89.507521390681916</v>
      </c>
      <c r="BH25" s="123">
        <f t="shared" si="47"/>
        <v>76.498691670308247</v>
      </c>
      <c r="BI25" s="123">
        <f t="shared" si="48"/>
        <v>-89.141727075372671</v>
      </c>
      <c r="BL25" s="123">
        <f t="shared" si="49"/>
        <v>0</v>
      </c>
      <c r="BM25" s="123">
        <f t="shared" si="50"/>
        <v>0</v>
      </c>
      <c r="BN25" s="123">
        <f t="shared" si="51"/>
        <v>0</v>
      </c>
      <c r="BO25" s="123">
        <f t="shared" si="52"/>
        <v>0</v>
      </c>
      <c r="BP25" s="123">
        <f t="shared" si="53"/>
        <v>0</v>
      </c>
      <c r="BQ25" s="123">
        <f t="shared" si="54"/>
        <v>0</v>
      </c>
      <c r="BR25" s="123">
        <f t="shared" si="55"/>
        <v>0</v>
      </c>
      <c r="BS25" s="123"/>
      <c r="BT25" s="123"/>
      <c r="BU25" s="123">
        <f t="shared" si="56"/>
        <v>0</v>
      </c>
      <c r="BV25" s="123">
        <f t="shared" si="57"/>
        <v>0</v>
      </c>
      <c r="BX25" s="123">
        <f t="shared" si="58"/>
        <v>0</v>
      </c>
      <c r="BY25" s="123"/>
    </row>
    <row r="26" spans="2:77" x14ac:dyDescent="0.25">
      <c r="E26">
        <v>15</v>
      </c>
      <c r="F26">
        <v>8</v>
      </c>
      <c r="G26" s="58">
        <f t="shared" si="1"/>
        <v>7.0142229046717042E-9</v>
      </c>
      <c r="H26" s="58">
        <f t="shared" si="2"/>
        <v>-1.5188297886384501E-3</v>
      </c>
      <c r="I26">
        <f t="shared" si="20"/>
        <v>32.609174561308386</v>
      </c>
      <c r="J26">
        <f t="shared" si="3"/>
        <v>-1.0402597786722749</v>
      </c>
      <c r="K26" t="str">
        <f t="shared" si="4"/>
        <v>5286.34361218549-0.0280938033643019i</v>
      </c>
      <c r="L26" t="str">
        <f t="shared" si="5"/>
        <v>1000000-19894372025.3935i</v>
      </c>
      <c r="M26" t="str">
        <f t="shared" si="6"/>
        <v>149999.999934624-1.13097311622092i</v>
      </c>
      <c r="N26">
        <f t="shared" si="21"/>
        <v>-29.35955750229536</v>
      </c>
      <c r="O26">
        <f t="shared" si="7"/>
        <v>1.2316595622753287E-4</v>
      </c>
      <c r="P26" t="str">
        <f t="shared" si="8"/>
        <v>-423284511.178585i</v>
      </c>
      <c r="Q26" t="str">
        <f t="shared" si="9"/>
        <v>5900-1657864.33544946i</v>
      </c>
      <c r="R26" t="str">
        <f t="shared" si="22"/>
        <v>5854.05344407808-1651396.44762699i</v>
      </c>
      <c r="S26" t="str">
        <f t="shared" si="10"/>
        <v>99989894.5506027-1005207.84896325i</v>
      </c>
      <c r="T26" t="str">
        <f t="shared" si="23"/>
        <v>33101.6038255739-1650479.20177585i</v>
      </c>
      <c r="U26" t="str">
        <f t="shared" si="24"/>
        <v>0.9999999984-0.000039999999936i</v>
      </c>
      <c r="V26">
        <f t="shared" si="11"/>
        <v>64.353947638902127</v>
      </c>
      <c r="W26">
        <f t="shared" si="12"/>
        <v>-88.853354326017936</v>
      </c>
      <c r="X26">
        <f t="shared" si="25"/>
        <v>-6.9487132524979666E-9</v>
      </c>
      <c r="Y26">
        <f t="shared" si="13"/>
        <v>-2.2918316561030207E-3</v>
      </c>
      <c r="AA26" s="123">
        <f t="shared" si="26"/>
        <v>32.609174568322608</v>
      </c>
      <c r="AB26" s="123">
        <f t="shared" si="27"/>
        <v>-1.0417786084609133</v>
      </c>
      <c r="AC26">
        <f t="shared" si="28"/>
        <v>34.994390136606768</v>
      </c>
      <c r="AD26">
        <f t="shared" si="29"/>
        <v>-88.853231160061711</v>
      </c>
      <c r="AE26" s="123">
        <f t="shared" si="30"/>
        <v>67.603564704929369</v>
      </c>
      <c r="AF26" s="123">
        <f t="shared" si="31"/>
        <v>-89.895009768522627</v>
      </c>
      <c r="AI26" s="123">
        <f t="shared" si="32"/>
        <v>0</v>
      </c>
      <c r="AJ26" s="123">
        <f t="shared" si="33"/>
        <v>0</v>
      </c>
      <c r="AK26" s="123">
        <f t="shared" si="34"/>
        <v>0</v>
      </c>
      <c r="AL26" s="123">
        <f t="shared" si="35"/>
        <v>0</v>
      </c>
      <c r="AM26" s="123">
        <f t="shared" si="36"/>
        <v>0</v>
      </c>
      <c r="AN26" s="123">
        <f t="shared" si="37"/>
        <v>0</v>
      </c>
      <c r="AO26" s="123">
        <f t="shared" si="38"/>
        <v>0</v>
      </c>
      <c r="AP26" s="123"/>
      <c r="AQ26" s="123">
        <f t="shared" si="39"/>
        <v>0</v>
      </c>
      <c r="AR26" s="123">
        <f t="shared" si="40"/>
        <v>0</v>
      </c>
      <c r="AS26" s="123">
        <f t="shared" si="41"/>
        <v>0</v>
      </c>
      <c r="AW26" t="str">
        <f t="shared" si="14"/>
        <v>26100</v>
      </c>
      <c r="AX26" t="str">
        <f t="shared" si="15"/>
        <v>0.001-1989437.20253935i</v>
      </c>
      <c r="AY26" t="str">
        <f t="shared" si="42"/>
        <v>26095.5085525151-342.354497214989i</v>
      </c>
      <c r="AZ26">
        <f t="shared" si="16"/>
        <v>14.352662635221877</v>
      </c>
      <c r="BA26">
        <f t="shared" si="17"/>
        <v>-0.75163687913255306</v>
      </c>
      <c r="BB26">
        <f t="shared" si="18"/>
        <v>-2.768258401289371</v>
      </c>
      <c r="BC26">
        <f t="shared" si="19"/>
        <v>0.39167706572268901</v>
      </c>
      <c r="BD26" s="123">
        <f t="shared" si="43"/>
        <v>-2.768258394275148</v>
      </c>
      <c r="BE26" s="123">
        <f t="shared" si="44"/>
        <v>0.39015823593405058</v>
      </c>
      <c r="BF26">
        <f t="shared" si="45"/>
        <v>78.706610274124003</v>
      </c>
      <c r="BG26">
        <f t="shared" si="46"/>
        <v>-89.604991205150483</v>
      </c>
      <c r="BH26" s="123">
        <f t="shared" si="47"/>
        <v>75.938351879848852</v>
      </c>
      <c r="BI26" s="123">
        <f t="shared" si="48"/>
        <v>-89.214832969216431</v>
      </c>
      <c r="BL26" s="123">
        <f t="shared" si="49"/>
        <v>0</v>
      </c>
      <c r="BM26" s="123">
        <f t="shared" si="50"/>
        <v>0</v>
      </c>
      <c r="BN26" s="123">
        <f t="shared" si="51"/>
        <v>0</v>
      </c>
      <c r="BO26" s="123">
        <f t="shared" si="52"/>
        <v>0</v>
      </c>
      <c r="BP26" s="123">
        <f t="shared" si="53"/>
        <v>0</v>
      </c>
      <c r="BQ26" s="123">
        <f t="shared" si="54"/>
        <v>0</v>
      </c>
      <c r="BR26" s="123">
        <f t="shared" si="55"/>
        <v>0</v>
      </c>
      <c r="BS26" s="123"/>
      <c r="BT26" s="123"/>
      <c r="BU26" s="123">
        <f t="shared" si="56"/>
        <v>0</v>
      </c>
      <c r="BV26" s="123">
        <f t="shared" si="57"/>
        <v>0</v>
      </c>
      <c r="BX26" s="123">
        <f t="shared" si="58"/>
        <v>0</v>
      </c>
      <c r="BY26" s="123"/>
    </row>
    <row r="27" spans="2:77" x14ac:dyDescent="0.25">
      <c r="E27">
        <v>16</v>
      </c>
      <c r="F27">
        <v>8.5</v>
      </c>
      <c r="G27" s="58">
        <f t="shared" si="1"/>
        <v>7.9184380534926692E-9</v>
      </c>
      <c r="H27" s="58">
        <f t="shared" si="2"/>
        <v>-1.6137566506207045E-3</v>
      </c>
      <c r="I27">
        <f t="shared" si="20"/>
        <v>32.608988960130894</v>
      </c>
      <c r="J27">
        <f t="shared" si="3"/>
        <v>-1.1052602227498247</v>
      </c>
      <c r="K27" t="str">
        <f t="shared" si="4"/>
        <v>5286.34361216625-0.0298496660744621i</v>
      </c>
      <c r="L27" t="str">
        <f t="shared" si="5"/>
        <v>1000000-18724114847.4292i</v>
      </c>
      <c r="M27" t="str">
        <f t="shared" si="6"/>
        <v>149999.999926196-1.20165893546712i</v>
      </c>
      <c r="N27">
        <f t="shared" si="21"/>
        <v>-29.359557501869816</v>
      </c>
      <c r="O27">
        <f t="shared" si="7"/>
        <v>1.3086382832475763E-4</v>
      </c>
      <c r="P27" t="str">
        <f t="shared" si="8"/>
        <v>-398385422.285727i</v>
      </c>
      <c r="Q27" t="str">
        <f t="shared" si="9"/>
        <v>5900-1560342.90395243i</v>
      </c>
      <c r="R27" t="str">
        <f t="shared" si="22"/>
        <v>5854.05344393261-1554255.48998058i</v>
      </c>
      <c r="S27" t="str">
        <f t="shared" si="10"/>
        <v>99988592.0436227-1068019.42690873i</v>
      </c>
      <c r="T27" t="str">
        <f t="shared" si="23"/>
        <v>29990.7823126941-1553440.53943805i</v>
      </c>
      <c r="U27" t="str">
        <f t="shared" si="24"/>
        <v>0.99999999819375-0.0000424999999232344i</v>
      </c>
      <c r="V27">
        <f t="shared" si="11"/>
        <v>63.827511097536444</v>
      </c>
      <c r="W27">
        <f t="shared" si="12"/>
        <v>-88.896436459150109</v>
      </c>
      <c r="X27">
        <f t="shared" si="25"/>
        <v>-7.8444452141356898E-9</v>
      </c>
      <c r="Y27">
        <f t="shared" si="13"/>
        <v>-2.4350711344420495E-3</v>
      </c>
      <c r="AA27" s="123">
        <f t="shared" si="26"/>
        <v>32.608988968049331</v>
      </c>
      <c r="AB27" s="123">
        <f t="shared" si="27"/>
        <v>-1.1068739794004454</v>
      </c>
      <c r="AC27">
        <f t="shared" si="28"/>
        <v>34.467953595666629</v>
      </c>
      <c r="AD27">
        <f t="shared" si="29"/>
        <v>-88.896305595321792</v>
      </c>
      <c r="AE27" s="123">
        <f t="shared" si="30"/>
        <v>67.07694256371596</v>
      </c>
      <c r="AF27" s="123">
        <f t="shared" si="31"/>
        <v>-90.003179574722239</v>
      </c>
      <c r="AI27" s="123">
        <f t="shared" si="32"/>
        <v>0</v>
      </c>
      <c r="AJ27" s="123">
        <f t="shared" si="33"/>
        <v>0</v>
      </c>
      <c r="AK27" s="123">
        <f t="shared" si="34"/>
        <v>0</v>
      </c>
      <c r="AL27" s="123">
        <f t="shared" si="35"/>
        <v>0</v>
      </c>
      <c r="AM27" s="123">
        <f t="shared" si="36"/>
        <v>0</v>
      </c>
      <c r="AN27" s="123">
        <f t="shared" si="37"/>
        <v>0</v>
      </c>
      <c r="AO27" s="123">
        <f t="shared" si="38"/>
        <v>0</v>
      </c>
      <c r="AP27" s="123"/>
      <c r="AQ27" s="123">
        <f t="shared" si="39"/>
        <v>0</v>
      </c>
      <c r="AR27" s="123">
        <f t="shared" si="40"/>
        <v>0</v>
      </c>
      <c r="AS27" s="123">
        <f t="shared" si="41"/>
        <v>0</v>
      </c>
      <c r="AW27" t="str">
        <f t="shared" si="14"/>
        <v>26100</v>
      </c>
      <c r="AX27" t="str">
        <f t="shared" si="15"/>
        <v>0.001-1872411.48474292i</v>
      </c>
      <c r="AY27" t="str">
        <f t="shared" si="42"/>
        <v>26094.9296893374-363.74358437571i</v>
      </c>
      <c r="AZ27">
        <f t="shared" si="16"/>
        <v>14.352566296849588</v>
      </c>
      <c r="BA27">
        <f t="shared" si="17"/>
        <v>-0.79860827880809926</v>
      </c>
      <c r="BB27">
        <f t="shared" si="18"/>
        <v>-2.7680929273523258</v>
      </c>
      <c r="BC27">
        <f t="shared" si="19"/>
        <v>0.41613158718063253</v>
      </c>
      <c r="BD27" s="123">
        <f t="shared" si="43"/>
        <v>-2.7680929194338879</v>
      </c>
      <c r="BE27" s="123">
        <f t="shared" si="44"/>
        <v>0.41451783053001184</v>
      </c>
      <c r="BF27">
        <f t="shared" si="45"/>
        <v>78.180077394386032</v>
      </c>
      <c r="BG27">
        <f t="shared" si="46"/>
        <v>-89.695044737958213</v>
      </c>
      <c r="BH27" s="123">
        <f t="shared" si="47"/>
        <v>75.411984474952149</v>
      </c>
      <c r="BI27" s="123">
        <f t="shared" si="48"/>
        <v>-89.280526907428197</v>
      </c>
      <c r="BL27" s="123">
        <f t="shared" si="49"/>
        <v>0</v>
      </c>
      <c r="BM27" s="123">
        <f t="shared" si="50"/>
        <v>0</v>
      </c>
      <c r="BN27" s="123">
        <f t="shared" si="51"/>
        <v>0</v>
      </c>
      <c r="BO27" s="123">
        <f t="shared" si="52"/>
        <v>0</v>
      </c>
      <c r="BP27" s="123">
        <f t="shared" si="53"/>
        <v>0</v>
      </c>
      <c r="BQ27" s="123">
        <f t="shared" si="54"/>
        <v>0</v>
      </c>
      <c r="BR27" s="123">
        <f t="shared" si="55"/>
        <v>0</v>
      </c>
      <c r="BS27" s="123"/>
      <c r="BT27" s="123"/>
      <c r="BU27" s="123">
        <f t="shared" si="56"/>
        <v>0</v>
      </c>
      <c r="BV27" s="123">
        <f t="shared" si="57"/>
        <v>0</v>
      </c>
      <c r="BX27" s="123">
        <f t="shared" si="58"/>
        <v>0</v>
      </c>
      <c r="BY27" s="123"/>
    </row>
    <row r="28" spans="2:77" x14ac:dyDescent="0.25">
      <c r="E28">
        <v>17</v>
      </c>
      <c r="F28">
        <v>9</v>
      </c>
      <c r="G28" s="58">
        <f t="shared" si="1"/>
        <v>8.8774135016794034E-9</v>
      </c>
      <c r="H28" s="58">
        <f t="shared" si="2"/>
        <v>-1.7086835126379292E-3</v>
      </c>
      <c r="I28">
        <f t="shared" si="20"/>
        <v>32.60879211906451</v>
      </c>
      <c r="J28">
        <f t="shared" si="3"/>
        <v>-1.1702577964754006</v>
      </c>
      <c r="K28" t="str">
        <f t="shared" si="4"/>
        <v>5286.34361214584-0.0316055287846026i</v>
      </c>
      <c r="L28" t="str">
        <f t="shared" si="5"/>
        <v>1000000-17683886244.7942i</v>
      </c>
      <c r="M28" t="str">
        <f t="shared" si="6"/>
        <v>149999.999917258-1.27234475461922i</v>
      </c>
      <c r="N28">
        <f t="shared" si="21"/>
        <v>-29.3595575014186</v>
      </c>
      <c r="O28">
        <f t="shared" si="7"/>
        <v>1.3856170039161625E-4</v>
      </c>
      <c r="P28" t="str">
        <f t="shared" si="8"/>
        <v>-376252898.825409i</v>
      </c>
      <c r="Q28" t="str">
        <f t="shared" si="9"/>
        <v>5900-1473657.18706618i</v>
      </c>
      <c r="R28" t="str">
        <f t="shared" si="22"/>
        <v>5854.05344377831-1467907.97263709i</v>
      </c>
      <c r="S28" t="str">
        <f t="shared" si="10"/>
        <v>99987210.6339064-1130828.47570726i</v>
      </c>
      <c r="T28" t="str">
        <f t="shared" si="23"/>
        <v>27383.7345178029-1467176.55800747i</v>
      </c>
      <c r="U28" t="str">
        <f t="shared" si="24"/>
        <v>0.999999997975-0.000044999999908875i</v>
      </c>
      <c r="V28">
        <f t="shared" si="11"/>
        <v>63.331160196994659</v>
      </c>
      <c r="W28">
        <f t="shared" si="12"/>
        <v>-88.933338815312879</v>
      </c>
      <c r="X28">
        <f t="shared" si="25"/>
        <v>-8.7944639906502004E-9</v>
      </c>
      <c r="Y28">
        <f t="shared" si="13"/>
        <v>-2.5783106127506366E-3</v>
      </c>
      <c r="AA28" s="123">
        <f t="shared" si="26"/>
        <v>32.608792127941925</v>
      </c>
      <c r="AB28" s="123">
        <f t="shared" si="27"/>
        <v>-1.1719664799880385</v>
      </c>
      <c r="AC28">
        <f t="shared" si="28"/>
        <v>33.97160269557606</v>
      </c>
      <c r="AD28">
        <f t="shared" si="29"/>
        <v>-88.933200253612483</v>
      </c>
      <c r="AE28" s="123">
        <f t="shared" si="30"/>
        <v>66.580394823517992</v>
      </c>
      <c r="AF28" s="123">
        <f t="shared" si="31"/>
        <v>-90.105166733600527</v>
      </c>
      <c r="AI28" s="123">
        <f t="shared" si="32"/>
        <v>0</v>
      </c>
      <c r="AJ28" s="123">
        <f t="shared" si="33"/>
        <v>0</v>
      </c>
      <c r="AK28" s="123">
        <f t="shared" si="34"/>
        <v>0</v>
      </c>
      <c r="AL28" s="123">
        <f t="shared" si="35"/>
        <v>0</v>
      </c>
      <c r="AM28" s="123">
        <f t="shared" si="36"/>
        <v>0</v>
      </c>
      <c r="AN28" s="123">
        <f t="shared" si="37"/>
        <v>0</v>
      </c>
      <c r="AO28" s="123">
        <f t="shared" si="38"/>
        <v>0</v>
      </c>
      <c r="AP28" s="123"/>
      <c r="AQ28" s="123">
        <f t="shared" si="39"/>
        <v>0</v>
      </c>
      <c r="AR28" s="123">
        <f t="shared" si="40"/>
        <v>0</v>
      </c>
      <c r="AS28" s="123">
        <f t="shared" si="41"/>
        <v>0</v>
      </c>
      <c r="AW28" t="str">
        <f t="shared" si="14"/>
        <v>26100</v>
      </c>
      <c r="AX28" t="str">
        <f t="shared" si="15"/>
        <v>0.001-1768388.62447942i</v>
      </c>
      <c r="AY28" t="str">
        <f t="shared" si="42"/>
        <v>26094.3157716052-385.131204875118i</v>
      </c>
      <c r="AZ28">
        <f t="shared" si="16"/>
        <v>14.352464122123237</v>
      </c>
      <c r="BA28">
        <f t="shared" si="17"/>
        <v>-0.84557860498002924</v>
      </c>
      <c r="BB28">
        <f t="shared" si="18"/>
        <v>-2.7679174470343328</v>
      </c>
      <c r="BC28">
        <f t="shared" si="19"/>
        <v>0.44058151319471989</v>
      </c>
      <c r="BD28" s="123">
        <f t="shared" si="43"/>
        <v>-2.7679174381569194</v>
      </c>
      <c r="BE28" s="123">
        <f t="shared" si="44"/>
        <v>0.43887282968208197</v>
      </c>
      <c r="BF28">
        <f t="shared" si="45"/>
        <v>77.683624319117897</v>
      </c>
      <c r="BG28">
        <f t="shared" si="46"/>
        <v>-89.778917420292913</v>
      </c>
      <c r="BH28" s="123">
        <f t="shared" si="47"/>
        <v>74.915706880960983</v>
      </c>
      <c r="BI28" s="123">
        <f t="shared" si="48"/>
        <v>-89.34004459061083</v>
      </c>
      <c r="BL28" s="123">
        <f t="shared" si="49"/>
        <v>0</v>
      </c>
      <c r="BM28" s="123">
        <f t="shared" si="50"/>
        <v>0</v>
      </c>
      <c r="BN28" s="123">
        <f t="shared" si="51"/>
        <v>0</v>
      </c>
      <c r="BO28" s="123">
        <f t="shared" si="52"/>
        <v>0</v>
      </c>
      <c r="BP28" s="123">
        <f t="shared" si="53"/>
        <v>0</v>
      </c>
      <c r="BQ28" s="123">
        <f t="shared" si="54"/>
        <v>0</v>
      </c>
      <c r="BR28" s="123">
        <f t="shared" si="55"/>
        <v>0</v>
      </c>
      <c r="BS28" s="123"/>
      <c r="BT28" s="123"/>
      <c r="BU28" s="123">
        <f t="shared" si="56"/>
        <v>0</v>
      </c>
      <c r="BV28" s="123">
        <f t="shared" si="57"/>
        <v>0</v>
      </c>
      <c r="BX28" s="123">
        <f t="shared" si="58"/>
        <v>0</v>
      </c>
      <c r="BY28" s="123"/>
    </row>
    <row r="29" spans="2:77" x14ac:dyDescent="0.25">
      <c r="E29">
        <v>18</v>
      </c>
      <c r="F29">
        <v>9.5</v>
      </c>
      <c r="G29" s="58">
        <f t="shared" si="1"/>
        <v>9.8911569638334925E-9</v>
      </c>
      <c r="H29" s="58">
        <f t="shared" si="2"/>
        <v>-1.803610374692192E-3</v>
      </c>
      <c r="I29">
        <f t="shared" si="20"/>
        <v>32.608584039637883</v>
      </c>
      <c r="J29">
        <f t="shared" si="3"/>
        <v>-1.2352523312802668</v>
      </c>
      <c r="K29" t="str">
        <f t="shared" si="4"/>
        <v>5286.34361212426-0.0333613914947221i</v>
      </c>
      <c r="L29" t="str">
        <f t="shared" si="5"/>
        <v>1000000-16753155389.805i</v>
      </c>
      <c r="M29" t="str">
        <f t="shared" si="6"/>
        <v>149999.999907809-1.34303057367168i</v>
      </c>
      <c r="N29">
        <f t="shared" si="21"/>
        <v>-29.359557500941555</v>
      </c>
      <c r="O29">
        <f t="shared" si="7"/>
        <v>1.4625957242633228E-4</v>
      </c>
      <c r="P29" t="str">
        <f t="shared" si="8"/>
        <v>-356450114.676703i</v>
      </c>
      <c r="Q29" t="str">
        <f t="shared" si="9"/>
        <v>5900-1396096.28248375i</v>
      </c>
      <c r="R29" t="str">
        <f t="shared" si="22"/>
        <v>5854.05344361522-1390649.66818029i</v>
      </c>
      <c r="S29" t="str">
        <f t="shared" si="10"/>
        <v>99985750.3279957-1193634.84670883i</v>
      </c>
      <c r="T29" t="str">
        <f t="shared" si="23"/>
        <v>25177.2838379024-1389987.42658057i</v>
      </c>
      <c r="U29" t="str">
        <f t="shared" si="24"/>
        <v>0.99999999774375-0.0000474999998928281i</v>
      </c>
      <c r="V29">
        <f t="shared" si="11"/>
        <v>62.861642078584254</v>
      </c>
      <c r="W29">
        <f t="shared" si="12"/>
        <v>-88.965036879297784</v>
      </c>
      <c r="X29">
        <f t="shared" si="25"/>
        <v>-9.7987695820593061E-9</v>
      </c>
      <c r="Y29">
        <f t="shared" si="13"/>
        <v>-2.7215500910269959E-3</v>
      </c>
      <c r="AA29" s="123">
        <f t="shared" si="26"/>
        <v>32.608584049529043</v>
      </c>
      <c r="AB29" s="123">
        <f t="shared" si="27"/>
        <v>-1.2370559416549589</v>
      </c>
      <c r="AC29">
        <f t="shared" si="28"/>
        <v>33.502084577642698</v>
      </c>
      <c r="AD29">
        <f t="shared" si="29"/>
        <v>-88.964890619725352</v>
      </c>
      <c r="AE29" s="123">
        <f t="shared" si="30"/>
        <v>66.110668627171748</v>
      </c>
      <c r="AF29" s="123">
        <f t="shared" si="31"/>
        <v>-90.201946561380311</v>
      </c>
      <c r="AI29" s="123">
        <f t="shared" si="32"/>
        <v>0</v>
      </c>
      <c r="AJ29" s="123">
        <f t="shared" si="33"/>
        <v>0</v>
      </c>
      <c r="AK29" s="123">
        <f t="shared" si="34"/>
        <v>0</v>
      </c>
      <c r="AL29" s="123">
        <f t="shared" si="35"/>
        <v>0</v>
      </c>
      <c r="AM29" s="123">
        <f t="shared" si="36"/>
        <v>0</v>
      </c>
      <c r="AN29" s="123">
        <f t="shared" si="37"/>
        <v>0</v>
      </c>
      <c r="AO29" s="123">
        <f t="shared" si="38"/>
        <v>0</v>
      </c>
      <c r="AP29" s="123"/>
      <c r="AQ29" s="123">
        <f t="shared" si="39"/>
        <v>0</v>
      </c>
      <c r="AR29" s="123">
        <f t="shared" si="40"/>
        <v>0</v>
      </c>
      <c r="AS29" s="123">
        <f t="shared" si="41"/>
        <v>0</v>
      </c>
      <c r="AW29" t="str">
        <f t="shared" si="14"/>
        <v>26100</v>
      </c>
      <c r="AX29" t="str">
        <f t="shared" si="15"/>
        <v>0.001-1675315.5389805i</v>
      </c>
      <c r="AY29" t="str">
        <f t="shared" si="42"/>
        <v>26093.6668042685-406.517272560798i</v>
      </c>
      <c r="AZ29">
        <f t="shared" si="16"/>
        <v>14.352356111454805</v>
      </c>
      <c r="BA29">
        <f t="shared" si="17"/>
        <v>-0.8925477945545468</v>
      </c>
      <c r="BB29">
        <f t="shared" si="18"/>
        <v>-2.7677319642735054</v>
      </c>
      <c r="BC29">
        <f t="shared" si="19"/>
        <v>0.46502657452454288</v>
      </c>
      <c r="BD29" s="123">
        <f t="shared" si="43"/>
        <v>-2.7677319543823486</v>
      </c>
      <c r="BE29" s="123">
        <f t="shared" si="44"/>
        <v>0.4632229641498507</v>
      </c>
      <c r="BF29">
        <f t="shared" si="45"/>
        <v>77.213998190039064</v>
      </c>
      <c r="BG29">
        <f t="shared" si="46"/>
        <v>-89.85758467385233</v>
      </c>
      <c r="BH29" s="123">
        <f t="shared" si="47"/>
        <v>74.446266235656708</v>
      </c>
      <c r="BI29" s="123">
        <f t="shared" si="48"/>
        <v>-89.39436170970248</v>
      </c>
      <c r="BL29" s="123">
        <f t="shared" si="49"/>
        <v>0</v>
      </c>
      <c r="BM29" s="123">
        <f t="shared" si="50"/>
        <v>0</v>
      </c>
      <c r="BN29" s="123">
        <f t="shared" si="51"/>
        <v>0</v>
      </c>
      <c r="BO29" s="123">
        <f t="shared" si="52"/>
        <v>0</v>
      </c>
      <c r="BP29" s="123">
        <f t="shared" si="53"/>
        <v>0</v>
      </c>
      <c r="BQ29" s="123">
        <f t="shared" si="54"/>
        <v>0</v>
      </c>
      <c r="BR29" s="123">
        <f t="shared" si="55"/>
        <v>0</v>
      </c>
      <c r="BS29" s="123"/>
      <c r="BT29" s="123"/>
      <c r="BU29" s="123">
        <f t="shared" si="56"/>
        <v>0</v>
      </c>
      <c r="BV29" s="123">
        <f t="shared" si="57"/>
        <v>0</v>
      </c>
      <c r="BX29" s="123">
        <f t="shared" si="58"/>
        <v>0</v>
      </c>
      <c r="BY29" s="123"/>
    </row>
    <row r="30" spans="2:77" x14ac:dyDescent="0.25">
      <c r="E30">
        <v>19</v>
      </c>
      <c r="F30">
        <v>10</v>
      </c>
      <c r="G30" s="58">
        <f t="shared" si="1"/>
        <v>1.0959751372097779E-8</v>
      </c>
      <c r="H30" s="58">
        <f t="shared" si="2"/>
        <v>-1.8985372367855329E-3</v>
      </c>
      <c r="I30">
        <f t="shared" si="20"/>
        <v>32.608364723466735</v>
      </c>
      <c r="J30">
        <f t="shared" si="3"/>
        <v>-1.3002436586428603</v>
      </c>
      <c r="K30" t="str">
        <f t="shared" si="4"/>
        <v>5286.34361210151-0.0351172542048195i</v>
      </c>
      <c r="L30" t="str">
        <f t="shared" si="5"/>
        <v>1000000-15915497620.3148i</v>
      </c>
      <c r="M30" t="str">
        <f t="shared" si="6"/>
        <v>149999.99989785-1.41371639261896i</v>
      </c>
      <c r="N30">
        <f t="shared" si="21"/>
        <v>-29.359557500438818</v>
      </c>
      <c r="O30">
        <f t="shared" si="7"/>
        <v>1.5395744442710672E-4</v>
      </c>
      <c r="P30" t="str">
        <f t="shared" si="8"/>
        <v>-338627608.942868i</v>
      </c>
      <c r="Q30" t="str">
        <f t="shared" si="9"/>
        <v>5900-1326291.46835957i</v>
      </c>
      <c r="R30" t="str">
        <f t="shared" si="22"/>
        <v>5854.05344344328-1321117.19467717i</v>
      </c>
      <c r="S30" t="str">
        <f t="shared" si="10"/>
        <v>99984211.1328058-1256438.39128453i</v>
      </c>
      <c r="T30" t="str">
        <f t="shared" si="23"/>
        <v>23293.3749510484-1320512.94862752i</v>
      </c>
      <c r="U30" t="str">
        <f t="shared" si="24"/>
        <v>0.9999999975-0.000049999999875i</v>
      </c>
      <c r="V30">
        <f t="shared" si="11"/>
        <v>62.416204399403284</v>
      </c>
      <c r="W30">
        <f t="shared" si="12"/>
        <v>-88.992311102603267</v>
      </c>
      <c r="X30">
        <f t="shared" si="25"/>
        <v>-1.0857362952709313E-8</v>
      </c>
      <c r="Y30">
        <f t="shared" si="13"/>
        <v>-2.8647895692693382E-3</v>
      </c>
      <c r="AA30" s="123">
        <f t="shared" si="26"/>
        <v>32.608364734426488</v>
      </c>
      <c r="AB30" s="123">
        <f t="shared" si="27"/>
        <v>-1.3021421958796457</v>
      </c>
      <c r="AC30">
        <f t="shared" si="28"/>
        <v>33.056646898964466</v>
      </c>
      <c r="AD30">
        <f t="shared" si="29"/>
        <v>-88.992157145158842</v>
      </c>
      <c r="AE30" s="123">
        <f t="shared" si="30"/>
        <v>65.665011633390947</v>
      </c>
      <c r="AF30" s="123">
        <f t="shared" si="31"/>
        <v>-90.294299341038482</v>
      </c>
      <c r="AI30" s="123">
        <f t="shared" si="32"/>
        <v>0</v>
      </c>
      <c r="AJ30" s="123">
        <f t="shared" si="33"/>
        <v>0</v>
      </c>
      <c r="AK30" s="123">
        <f t="shared" si="34"/>
        <v>0</v>
      </c>
      <c r="AL30" s="123">
        <f t="shared" si="35"/>
        <v>0</v>
      </c>
      <c r="AM30" s="123">
        <f t="shared" si="36"/>
        <v>0</v>
      </c>
      <c r="AN30" s="123">
        <f t="shared" si="37"/>
        <v>0</v>
      </c>
      <c r="AO30" s="123">
        <f t="shared" si="38"/>
        <v>0</v>
      </c>
      <c r="AP30" s="123"/>
      <c r="AQ30" s="123">
        <f t="shared" si="39"/>
        <v>0</v>
      </c>
      <c r="AR30" s="123">
        <f t="shared" si="40"/>
        <v>0</v>
      </c>
      <c r="AS30" s="123">
        <f t="shared" si="41"/>
        <v>0</v>
      </c>
      <c r="AW30" t="str">
        <f t="shared" si="14"/>
        <v>26100</v>
      </c>
      <c r="AX30" t="str">
        <f t="shared" si="15"/>
        <v>0.001-1591549.76203148i</v>
      </c>
      <c r="AY30" t="str">
        <f t="shared" si="42"/>
        <v>26092.9827925596-427.901701301199i</v>
      </c>
      <c r="AZ30">
        <f t="shared" si="16"/>
        <v>14.352242265279806</v>
      </c>
      <c r="BA30">
        <f t="shared" si="17"/>
        <v>-0.93951578444701767</v>
      </c>
      <c r="BB30">
        <f t="shared" si="18"/>
        <v>-2.7675364832309608</v>
      </c>
      <c r="BC30">
        <f t="shared" si="19"/>
        <v>0.48946650211439036</v>
      </c>
      <c r="BD30" s="123">
        <f t="shared" si="43"/>
        <v>-2.7675364722712095</v>
      </c>
      <c r="BE30" s="123">
        <f t="shared" si="44"/>
        <v>0.48756796487760484</v>
      </c>
      <c r="BF30">
        <f t="shared" si="45"/>
        <v>76.768446664683097</v>
      </c>
      <c r="BG30">
        <f t="shared" si="46"/>
        <v>-89.931826887050278</v>
      </c>
      <c r="BH30" s="123">
        <f t="shared" si="47"/>
        <v>74.000910192411894</v>
      </c>
      <c r="BI30" s="123">
        <f t="shared" si="48"/>
        <v>-89.444258922172679</v>
      </c>
      <c r="BL30" s="123">
        <f t="shared" si="49"/>
        <v>0</v>
      </c>
      <c r="BM30" s="123">
        <f t="shared" si="50"/>
        <v>0</v>
      </c>
      <c r="BN30" s="123">
        <f t="shared" si="51"/>
        <v>0</v>
      </c>
      <c r="BO30" s="123">
        <f t="shared" si="52"/>
        <v>0</v>
      </c>
      <c r="BP30" s="123">
        <f t="shared" si="53"/>
        <v>0</v>
      </c>
      <c r="BQ30" s="123">
        <f t="shared" si="54"/>
        <v>0</v>
      </c>
      <c r="BR30" s="123">
        <f t="shared" si="55"/>
        <v>0</v>
      </c>
      <c r="BS30" s="123"/>
      <c r="BT30" s="123"/>
      <c r="BU30" s="123">
        <f t="shared" si="56"/>
        <v>0</v>
      </c>
      <c r="BV30" s="123">
        <f t="shared" si="57"/>
        <v>0</v>
      </c>
      <c r="BX30" s="123">
        <f t="shared" si="58"/>
        <v>0</v>
      </c>
      <c r="BY30" s="123"/>
    </row>
    <row r="31" spans="2:77" x14ac:dyDescent="0.25">
      <c r="E31">
        <v>20</v>
      </c>
      <c r="F31">
        <v>15</v>
      </c>
      <c r="G31" s="58">
        <f t="shared" si="1"/>
        <v>2.4659438639118212E-8</v>
      </c>
      <c r="H31" s="58">
        <f t="shared" si="2"/>
        <v>-2.8478058603213685E-3</v>
      </c>
      <c r="I31">
        <f t="shared" si="20"/>
        <v>32.605553958457499</v>
      </c>
      <c r="J31">
        <f t="shared" si="3"/>
        <v>-1.9499434871543022</v>
      </c>
      <c r="K31" t="str">
        <f t="shared" si="4"/>
        <v>5286.34361180991-0.0526758813043236i</v>
      </c>
      <c r="L31" t="str">
        <f t="shared" si="5"/>
        <v>1000000-10610331746.8765i</v>
      </c>
      <c r="M31" t="str">
        <f t="shared" si="6"/>
        <v>149999.999770162-2.12057457508905i</v>
      </c>
      <c r="N31">
        <f t="shared" si="21"/>
        <v>-29.359557493992419</v>
      </c>
      <c r="O31">
        <f t="shared" si="7"/>
        <v>2.3093616217555643E-4</v>
      </c>
      <c r="P31" t="str">
        <f t="shared" si="8"/>
        <v>-225751739.295245i</v>
      </c>
      <c r="Q31" t="str">
        <f t="shared" si="9"/>
        <v>5900-884194.312239711i</v>
      </c>
      <c r="R31" t="str">
        <f t="shared" si="22"/>
        <v>5854.05344123921-880744.881117126i</v>
      </c>
      <c r="S31" t="str">
        <f t="shared" si="10"/>
        <v>99964482.0586638-1884285.70271785i</v>
      </c>
      <c r="T31" t="str">
        <f t="shared" si="23"/>
        <v>13604.3459681767-880427.37042036i</v>
      </c>
      <c r="U31" t="str">
        <f t="shared" si="24"/>
        <v>0.999999994375-0.000074999999578125i</v>
      </c>
      <c r="V31">
        <f t="shared" si="11"/>
        <v>58.894907495033209</v>
      </c>
      <c r="W31">
        <f t="shared" si="12"/>
        <v>-89.119052946569056</v>
      </c>
      <c r="X31">
        <f t="shared" si="25"/>
        <v>-2.4429064734026222E-8</v>
      </c>
      <c r="Y31">
        <f t="shared" si="13"/>
        <v>-4.2971843494277739E-3</v>
      </c>
      <c r="AA31" s="123">
        <f t="shared" si="26"/>
        <v>32.605553983116934</v>
      </c>
      <c r="AB31" s="123">
        <f t="shared" si="27"/>
        <v>-1.9527912930146236</v>
      </c>
      <c r="AC31">
        <f t="shared" si="28"/>
        <v>29.53535000104079</v>
      </c>
      <c r="AD31">
        <f t="shared" si="29"/>
        <v>-89.118822010406873</v>
      </c>
      <c r="AE31" s="123">
        <f t="shared" si="30"/>
        <v>62.140903984157724</v>
      </c>
      <c r="AF31" s="123">
        <f t="shared" si="31"/>
        <v>-91.071613303421501</v>
      </c>
      <c r="AI31" s="123">
        <f t="shared" si="32"/>
        <v>0</v>
      </c>
      <c r="AJ31" s="123">
        <f t="shared" si="33"/>
        <v>0</v>
      </c>
      <c r="AK31" s="123">
        <f t="shared" si="34"/>
        <v>0</v>
      </c>
      <c r="AL31" s="123">
        <f t="shared" si="35"/>
        <v>0</v>
      </c>
      <c r="AM31" s="123">
        <f t="shared" si="36"/>
        <v>0</v>
      </c>
      <c r="AN31" s="123">
        <f t="shared" si="37"/>
        <v>0</v>
      </c>
      <c r="AO31" s="123">
        <f t="shared" si="38"/>
        <v>0</v>
      </c>
      <c r="AP31" s="123"/>
      <c r="AQ31" s="123">
        <f t="shared" si="39"/>
        <v>0</v>
      </c>
      <c r="AR31" s="123">
        <f t="shared" si="40"/>
        <v>0</v>
      </c>
      <c r="AS31" s="123">
        <f t="shared" si="41"/>
        <v>0</v>
      </c>
      <c r="AW31" t="str">
        <f t="shared" si="14"/>
        <v>26100</v>
      </c>
      <c r="AX31" t="str">
        <f t="shared" si="15"/>
        <v>0.001-1061033.17468765i</v>
      </c>
      <c r="AY31" t="str">
        <f t="shared" si="42"/>
        <v>26084.2165876405-641.636915002257i</v>
      </c>
      <c r="AZ31">
        <f t="shared" si="16"/>
        <v>14.350782963266447</v>
      </c>
      <c r="BA31">
        <f t="shared" si="17"/>
        <v>-1.4091158298103112</v>
      </c>
      <c r="BB31">
        <f t="shared" si="18"/>
        <v>-2.7650328421391199</v>
      </c>
      <c r="BC31">
        <f t="shared" si="19"/>
        <v>0.73352438245675744</v>
      </c>
      <c r="BD31" s="123">
        <f t="shared" si="43"/>
        <v>-2.7650328174796814</v>
      </c>
      <c r="BE31" s="123">
        <f t="shared" si="44"/>
        <v>0.73067657659643603</v>
      </c>
      <c r="BF31">
        <f t="shared" si="45"/>
        <v>73.245690458299663</v>
      </c>
      <c r="BG31">
        <f t="shared" si="46"/>
        <v>-90.528168776379374</v>
      </c>
      <c r="BH31" s="123">
        <f t="shared" si="47"/>
        <v>70.480657640819985</v>
      </c>
      <c r="BI31" s="123">
        <f t="shared" si="48"/>
        <v>-89.797492199782937</v>
      </c>
      <c r="BL31" s="123">
        <f t="shared" si="49"/>
        <v>0</v>
      </c>
      <c r="BM31" s="123">
        <f t="shared" si="50"/>
        <v>0</v>
      </c>
      <c r="BN31" s="123">
        <f t="shared" si="51"/>
        <v>0</v>
      </c>
      <c r="BO31" s="123">
        <f t="shared" si="52"/>
        <v>0</v>
      </c>
      <c r="BP31" s="123">
        <f t="shared" si="53"/>
        <v>0</v>
      </c>
      <c r="BQ31" s="123">
        <f t="shared" si="54"/>
        <v>0</v>
      </c>
      <c r="BR31" s="123">
        <f t="shared" si="55"/>
        <v>0</v>
      </c>
      <c r="BS31" s="123"/>
      <c r="BT31" s="123"/>
      <c r="BU31" s="123">
        <f t="shared" si="56"/>
        <v>0</v>
      </c>
      <c r="BV31" s="123">
        <f t="shared" si="57"/>
        <v>0</v>
      </c>
      <c r="BX31" s="123">
        <f t="shared" si="58"/>
        <v>0</v>
      </c>
      <c r="BY31" s="123"/>
    </row>
    <row r="32" spans="2:77" x14ac:dyDescent="0.25">
      <c r="E32">
        <v>21</v>
      </c>
      <c r="F32">
        <v>20</v>
      </c>
      <c r="G32" s="58">
        <f t="shared" si="1"/>
        <v>4.3838914758636422E-8</v>
      </c>
      <c r="H32" s="58">
        <f t="shared" si="2"/>
        <v>-3.7970744900289138E-3</v>
      </c>
      <c r="I32">
        <f t="shared" si="20"/>
        <v>32.601621941139406</v>
      </c>
      <c r="J32">
        <f t="shared" si="3"/>
        <v>-2.5991376482376349</v>
      </c>
      <c r="K32" t="str">
        <f t="shared" si="4"/>
        <v>5286.34361140166-0.0702345084003407i</v>
      </c>
      <c r="L32" t="str">
        <f t="shared" si="5"/>
        <v>1000000-7957748810.1574i</v>
      </c>
      <c r="M32" t="str">
        <f t="shared" si="6"/>
        <v>149999.999591399-2.82743274095168i</v>
      </c>
      <c r="N32">
        <f t="shared" si="21"/>
        <v>-29.35955748496756</v>
      </c>
      <c r="O32">
        <f t="shared" si="7"/>
        <v>3.0791487456581067E-4</v>
      </c>
      <c r="P32" t="str">
        <f t="shared" si="8"/>
        <v>-169313804.471434i</v>
      </c>
      <c r="Q32" t="str">
        <f t="shared" si="9"/>
        <v>5900-663145.734179783i</v>
      </c>
      <c r="R32" t="str">
        <f t="shared" si="22"/>
        <v>5854.05343815346-660558.749736809i</v>
      </c>
      <c r="S32" t="str">
        <f t="shared" si="10"/>
        <v>99936874.4316596-2511687.08175605i</v>
      </c>
      <c r="T32" t="str">
        <f t="shared" si="23"/>
        <v>10212.7421331018-660343.01893968i</v>
      </c>
      <c r="U32" t="str">
        <f t="shared" si="24"/>
        <v>0.99999999-0.000099999999i</v>
      </c>
      <c r="V32">
        <f t="shared" si="11"/>
        <v>56.396430445311253</v>
      </c>
      <c r="W32">
        <f t="shared" si="12"/>
        <v>-89.119692906010926</v>
      </c>
      <c r="X32">
        <f t="shared" si="25"/>
        <v>-4.3429448999285063E-8</v>
      </c>
      <c r="Y32">
        <f t="shared" si="13"/>
        <v>-5.729579124214729E-3</v>
      </c>
      <c r="AA32" s="123">
        <f t="shared" si="26"/>
        <v>32.601621984978323</v>
      </c>
      <c r="AB32" s="123">
        <f t="shared" si="27"/>
        <v>-2.6029347227276638</v>
      </c>
      <c r="AC32">
        <f t="shared" si="28"/>
        <v>27.036872960343693</v>
      </c>
      <c r="AD32">
        <f t="shared" si="29"/>
        <v>-89.119384991136357</v>
      </c>
      <c r="AE32" s="123">
        <f t="shared" si="30"/>
        <v>59.638494945322016</v>
      </c>
      <c r="AF32" s="123">
        <f t="shared" si="31"/>
        <v>-91.722319713864024</v>
      </c>
      <c r="AI32" s="123">
        <f t="shared" si="32"/>
        <v>0</v>
      </c>
      <c r="AJ32" s="123">
        <f t="shared" si="33"/>
        <v>0</v>
      </c>
      <c r="AK32" s="123">
        <f t="shared" si="34"/>
        <v>0</v>
      </c>
      <c r="AL32" s="123">
        <f t="shared" si="35"/>
        <v>0</v>
      </c>
      <c r="AM32" s="123">
        <f t="shared" si="36"/>
        <v>0</v>
      </c>
      <c r="AN32" s="123">
        <f t="shared" si="37"/>
        <v>0</v>
      </c>
      <c r="AO32" s="123">
        <f t="shared" si="38"/>
        <v>0</v>
      </c>
      <c r="AP32" s="123"/>
      <c r="AQ32" s="123">
        <f t="shared" si="39"/>
        <v>0</v>
      </c>
      <c r="AR32" s="123">
        <f t="shared" si="40"/>
        <v>0</v>
      </c>
      <c r="AS32" s="123">
        <f t="shared" si="41"/>
        <v>0</v>
      </c>
      <c r="AW32" t="str">
        <f t="shared" si="14"/>
        <v>26100</v>
      </c>
      <c r="AX32" t="str">
        <f t="shared" si="15"/>
        <v>0.001-795774.88101574i</v>
      </c>
      <c r="AY32" t="str">
        <f t="shared" si="42"/>
        <v>26071.9537916258-855.11368876687i</v>
      </c>
      <c r="AZ32">
        <f t="shared" si="16"/>
        <v>14.348740763885047</v>
      </c>
      <c r="BA32">
        <f t="shared" si="17"/>
        <v>-1.878526601449235</v>
      </c>
      <c r="BB32">
        <f t="shared" si="18"/>
        <v>-2.7615355994361424</v>
      </c>
      <c r="BC32">
        <f t="shared" si="19"/>
        <v>0.97677468831006031</v>
      </c>
      <c r="BD32" s="123">
        <f t="shared" si="43"/>
        <v>-2.7615355555972276</v>
      </c>
      <c r="BE32" s="123">
        <f t="shared" si="44"/>
        <v>0.97297761382003145</v>
      </c>
      <c r="BF32">
        <f t="shared" si="45"/>
        <v>70.7451712091963</v>
      </c>
      <c r="BG32">
        <f t="shared" si="46"/>
        <v>-90.998219507460163</v>
      </c>
      <c r="BH32" s="123">
        <f t="shared" si="47"/>
        <v>67.983635653599066</v>
      </c>
      <c r="BI32" s="123">
        <f t="shared" si="48"/>
        <v>-90.025241893640128</v>
      </c>
      <c r="BL32" s="123">
        <f t="shared" si="49"/>
        <v>0</v>
      </c>
      <c r="BM32" s="123">
        <f t="shared" si="50"/>
        <v>0</v>
      </c>
      <c r="BN32" s="123">
        <f t="shared" si="51"/>
        <v>0</v>
      </c>
      <c r="BO32" s="123">
        <f t="shared" si="52"/>
        <v>0</v>
      </c>
      <c r="BP32" s="123">
        <f t="shared" si="53"/>
        <v>0</v>
      </c>
      <c r="BQ32" s="123">
        <f t="shared" si="54"/>
        <v>0</v>
      </c>
      <c r="BR32" s="123">
        <f t="shared" si="55"/>
        <v>0</v>
      </c>
      <c r="BS32" s="123"/>
      <c r="BT32" s="123"/>
      <c r="BU32" s="123">
        <f t="shared" si="56"/>
        <v>0</v>
      </c>
      <c r="BV32" s="123">
        <f t="shared" si="57"/>
        <v>0</v>
      </c>
      <c r="BX32" s="123">
        <f t="shared" si="58"/>
        <v>0</v>
      </c>
      <c r="BY32" s="123"/>
    </row>
    <row r="33" spans="5:77" x14ac:dyDescent="0.25">
      <c r="E33">
        <v>22</v>
      </c>
      <c r="F33">
        <v>25</v>
      </c>
      <c r="G33" s="58">
        <f t="shared" si="1"/>
        <v>6.8498355201949873E-8</v>
      </c>
      <c r="H33" s="58">
        <f t="shared" si="2"/>
        <v>-4.7463431279653528E-3</v>
      </c>
      <c r="I33">
        <f t="shared" si="20"/>
        <v>32.596571715738591</v>
      </c>
      <c r="J33">
        <f t="shared" si="3"/>
        <v>-3.2476588056105191</v>
      </c>
      <c r="K33" t="str">
        <f t="shared" si="4"/>
        <v>5286.34361087678-0.0877931354917089i</v>
      </c>
      <c r="L33" t="str">
        <f t="shared" si="5"/>
        <v>1000000-6366199048.12592i</v>
      </c>
      <c r="M33" t="str">
        <f t="shared" si="6"/>
        <v>149999.99936156-3.53429088467126i</v>
      </c>
      <c r="N33">
        <f t="shared" si="21"/>
        <v>-29.359557473364038</v>
      </c>
      <c r="O33">
        <f t="shared" si="7"/>
        <v>3.8489357981189736E-4</v>
      </c>
      <c r="P33" t="str">
        <f t="shared" si="8"/>
        <v>-135451043.577147i</v>
      </c>
      <c r="Q33" t="str">
        <f t="shared" si="9"/>
        <v>5900-530516.587343827i</v>
      </c>
      <c r="R33" t="str">
        <f t="shared" si="22"/>
        <v>5854.05343418608-528447.091228388i</v>
      </c>
      <c r="S33" t="str">
        <f t="shared" si="10"/>
        <v>99901401.3100213-3138494.43144352i</v>
      </c>
      <c r="T33" t="str">
        <f t="shared" si="23"/>
        <v>8642.83617176792-528282.80467906i</v>
      </c>
      <c r="U33" t="str">
        <f t="shared" si="24"/>
        <v>0.999999984375-0.000124999998046875i</v>
      </c>
      <c r="V33">
        <f t="shared" si="11"/>
        <v>54.458491696185341</v>
      </c>
      <c r="W33">
        <f t="shared" si="12"/>
        <v>-89.069891124530358</v>
      </c>
      <c r="X33">
        <f t="shared" si="25"/>
        <v>-6.7858513855456616E-8</v>
      </c>
      <c r="Y33">
        <f t="shared" si="13"/>
        <v>-7.16197389183971E-3</v>
      </c>
      <c r="AA33" s="123">
        <f t="shared" si="26"/>
        <v>32.596571784236943</v>
      </c>
      <c r="AB33" s="123">
        <f t="shared" si="27"/>
        <v>-3.2524051487384846</v>
      </c>
      <c r="AC33">
        <f t="shared" si="28"/>
        <v>25.098934222821303</v>
      </c>
      <c r="AD33">
        <f t="shared" si="29"/>
        <v>-89.069506230950552</v>
      </c>
      <c r="AE33" s="123">
        <f t="shared" si="30"/>
        <v>57.695506007058242</v>
      </c>
      <c r="AF33" s="123">
        <f t="shared" si="31"/>
        <v>-92.321911379689041</v>
      </c>
      <c r="AI33" s="123">
        <f t="shared" si="32"/>
        <v>0</v>
      </c>
      <c r="AJ33" s="123">
        <f t="shared" si="33"/>
        <v>0</v>
      </c>
      <c r="AK33" s="123">
        <f t="shared" si="34"/>
        <v>0</v>
      </c>
      <c r="AL33" s="123">
        <f t="shared" si="35"/>
        <v>0</v>
      </c>
      <c r="AM33" s="123">
        <f t="shared" si="36"/>
        <v>0</v>
      </c>
      <c r="AN33" s="123">
        <f t="shared" si="37"/>
        <v>0</v>
      </c>
      <c r="AO33" s="123">
        <f t="shared" si="38"/>
        <v>0</v>
      </c>
      <c r="AP33" s="123"/>
      <c r="AQ33" s="123">
        <f t="shared" si="39"/>
        <v>0</v>
      </c>
      <c r="AR33" s="123">
        <f t="shared" si="40"/>
        <v>0</v>
      </c>
      <c r="AS33" s="123">
        <f t="shared" si="41"/>
        <v>0</v>
      </c>
      <c r="AW33" t="str">
        <f t="shared" si="14"/>
        <v>26100</v>
      </c>
      <c r="AX33" t="str">
        <f t="shared" si="15"/>
        <v>0.001-636619.904812592i</v>
      </c>
      <c r="AY33" t="str">
        <f t="shared" si="42"/>
        <v>26056.2042714881-1068.24641564144i</v>
      </c>
      <c r="AZ33">
        <f t="shared" si="16"/>
        <v>14.346116489246121</v>
      </c>
      <c r="BA33">
        <f t="shared" si="17"/>
        <v>-2.3476852453279848</v>
      </c>
      <c r="BB33">
        <f t="shared" si="18"/>
        <v>-2.7570525555714278</v>
      </c>
      <c r="BC33">
        <f t="shared" si="19"/>
        <v>1.2189529869235514</v>
      </c>
      <c r="BD33" s="123">
        <f t="shared" si="43"/>
        <v>-2.7570524870730728</v>
      </c>
      <c r="BE33" s="123">
        <f t="shared" si="44"/>
        <v>1.2142066437955861</v>
      </c>
      <c r="BF33">
        <f t="shared" si="45"/>
        <v>68.804608185431462</v>
      </c>
      <c r="BG33">
        <f t="shared" si="46"/>
        <v>-91.417576369858338</v>
      </c>
      <c r="BH33" s="123">
        <f t="shared" si="47"/>
        <v>66.047555698358394</v>
      </c>
      <c r="BI33" s="123">
        <f t="shared" si="48"/>
        <v>-90.203369726062746</v>
      </c>
      <c r="BL33" s="123">
        <f t="shared" si="49"/>
        <v>0</v>
      </c>
      <c r="BM33" s="123">
        <f t="shared" si="50"/>
        <v>0</v>
      </c>
      <c r="BN33" s="123">
        <f t="shared" si="51"/>
        <v>0</v>
      </c>
      <c r="BO33" s="123">
        <f t="shared" si="52"/>
        <v>0</v>
      </c>
      <c r="BP33" s="123">
        <f t="shared" si="53"/>
        <v>0</v>
      </c>
      <c r="BQ33" s="123">
        <f t="shared" si="54"/>
        <v>0</v>
      </c>
      <c r="BR33" s="123">
        <f t="shared" si="55"/>
        <v>0</v>
      </c>
      <c r="BS33" s="123"/>
      <c r="BT33" s="123"/>
      <c r="BU33" s="123">
        <f t="shared" si="56"/>
        <v>0</v>
      </c>
      <c r="BV33" s="123">
        <f t="shared" si="57"/>
        <v>0</v>
      </c>
      <c r="BX33" s="123">
        <f t="shared" si="58"/>
        <v>0</v>
      </c>
      <c r="BY33" s="123"/>
    </row>
    <row r="34" spans="5:77" x14ac:dyDescent="0.25">
      <c r="E34">
        <v>23</v>
      </c>
      <c r="F34">
        <v>30</v>
      </c>
      <c r="G34" s="58">
        <f t="shared" si="1"/>
        <v>9.8637582486133509E-8</v>
      </c>
      <c r="H34" s="58">
        <f t="shared" si="2"/>
        <v>-5.6956117761879808E-3</v>
      </c>
      <c r="I34">
        <f t="shared" si="20"/>
        <v>32.590407182791139</v>
      </c>
      <c r="J34">
        <f t="shared" si="3"/>
        <v>-3.8953406622301094</v>
      </c>
      <c r="K34" t="str">
        <f t="shared" si="4"/>
        <v>5286.34361023526-0.105351762577266i</v>
      </c>
      <c r="L34" t="str">
        <f t="shared" si="5"/>
        <v>1000000-5305165873.43827i</v>
      </c>
      <c r="M34" t="str">
        <f t="shared" si="6"/>
        <v>149999.999080647-4.24114900071196i</v>
      </c>
      <c r="N34">
        <f t="shared" si="21"/>
        <v>-29.359557459182028</v>
      </c>
      <c r="O34">
        <f t="shared" si="7"/>
        <v>4.6187227612773027E-4</v>
      </c>
      <c r="P34" t="str">
        <f t="shared" si="8"/>
        <v>-112875869.647623i</v>
      </c>
      <c r="Q34" t="str">
        <f t="shared" si="9"/>
        <v>5900-442097.156119855i</v>
      </c>
      <c r="R34" t="str">
        <f t="shared" si="22"/>
        <v>5854.05342933707-440372.669155908i</v>
      </c>
      <c r="S34" t="str">
        <f t="shared" si="10"/>
        <v>99858079.4564213-3764560.12266789i</v>
      </c>
      <c r="T34" t="str">
        <f t="shared" si="23"/>
        <v>7790.02708265817-440239.522293975i</v>
      </c>
      <c r="U34" t="str">
        <f t="shared" si="24"/>
        <v>0.9999999775-0.000149999996625i</v>
      </c>
      <c r="V34">
        <f t="shared" si="11"/>
        <v>52.875140089062292</v>
      </c>
      <c r="W34">
        <f t="shared" si="12"/>
        <v>-88.994871325342672</v>
      </c>
      <c r="X34">
        <f t="shared" si="25"/>
        <v>-9.7716260312672845E-8</v>
      </c>
      <c r="Y34">
        <f t="shared" si="13"/>
        <v>-8.5943686505122237E-3</v>
      </c>
      <c r="AA34" s="123">
        <f t="shared" si="26"/>
        <v>32.590407281428725</v>
      </c>
      <c r="AB34" s="123">
        <f t="shared" si="27"/>
        <v>-3.9010362740062976</v>
      </c>
      <c r="AC34">
        <f t="shared" si="28"/>
        <v>23.515582629880264</v>
      </c>
      <c r="AD34">
        <f t="shared" si="29"/>
        <v>-88.994409453066538</v>
      </c>
      <c r="AE34" s="123">
        <f t="shared" si="30"/>
        <v>56.105989911308988</v>
      </c>
      <c r="AF34" s="123">
        <f t="shared" si="31"/>
        <v>-92.89544572707284</v>
      </c>
      <c r="AI34" s="123">
        <f t="shared" si="32"/>
        <v>0</v>
      </c>
      <c r="AJ34" s="123">
        <f t="shared" si="33"/>
        <v>0</v>
      </c>
      <c r="AK34" s="123">
        <f t="shared" si="34"/>
        <v>0</v>
      </c>
      <c r="AL34" s="123">
        <f t="shared" si="35"/>
        <v>0</v>
      </c>
      <c r="AM34" s="123">
        <f t="shared" si="36"/>
        <v>0</v>
      </c>
      <c r="AN34" s="123">
        <f t="shared" si="37"/>
        <v>0</v>
      </c>
      <c r="AO34" s="123">
        <f t="shared" si="38"/>
        <v>0</v>
      </c>
      <c r="AP34" s="123"/>
      <c r="AQ34" s="123">
        <f t="shared" si="39"/>
        <v>0</v>
      </c>
      <c r="AR34" s="123">
        <f t="shared" si="40"/>
        <v>0</v>
      </c>
      <c r="AS34" s="123">
        <f t="shared" si="41"/>
        <v>0</v>
      </c>
      <c r="AW34" t="str">
        <f t="shared" si="14"/>
        <v>26100</v>
      </c>
      <c r="AX34" t="str">
        <f t="shared" si="15"/>
        <v>0.001-530516.587343827i</v>
      </c>
      <c r="AY34" t="str">
        <f t="shared" si="42"/>
        <v>26036.9806792935-1280.94994931066i</v>
      </c>
      <c r="AZ34">
        <f t="shared" si="16"/>
        <v>14.34291119445761</v>
      </c>
      <c r="BA34">
        <f t="shared" si="17"/>
        <v>-2.8165291101159662</v>
      </c>
      <c r="BB34">
        <f t="shared" si="18"/>
        <v>-2.7515936626893511</v>
      </c>
      <c r="BC34">
        <f t="shared" si="19"/>
        <v>1.4597988744471855</v>
      </c>
      <c r="BD34" s="123">
        <f t="shared" si="43"/>
        <v>-2.7515935640517686</v>
      </c>
      <c r="BE34" s="123">
        <f t="shared" si="44"/>
        <v>1.4541032626709975</v>
      </c>
      <c r="BF34">
        <f t="shared" si="45"/>
        <v>67.218051283519898</v>
      </c>
      <c r="BG34">
        <f t="shared" si="46"/>
        <v>-91.811400435458637</v>
      </c>
      <c r="BH34" s="123">
        <f t="shared" si="47"/>
        <v>64.466457719468124</v>
      </c>
      <c r="BI34" s="123">
        <f t="shared" si="48"/>
        <v>-90.357297172787639</v>
      </c>
      <c r="BL34" s="123">
        <f t="shared" si="49"/>
        <v>0</v>
      </c>
      <c r="BM34" s="123">
        <f t="shared" si="50"/>
        <v>0</v>
      </c>
      <c r="BN34" s="123">
        <f t="shared" si="51"/>
        <v>0</v>
      </c>
      <c r="BO34" s="123">
        <f t="shared" si="52"/>
        <v>0</v>
      </c>
      <c r="BP34" s="123">
        <f t="shared" si="53"/>
        <v>0</v>
      </c>
      <c r="BQ34" s="123">
        <f t="shared" si="54"/>
        <v>0</v>
      </c>
      <c r="BR34" s="123">
        <f t="shared" si="55"/>
        <v>0</v>
      </c>
      <c r="BS34" s="123"/>
      <c r="BT34" s="123"/>
      <c r="BU34" s="123">
        <f t="shared" si="56"/>
        <v>0</v>
      </c>
      <c r="BV34" s="123">
        <f t="shared" si="57"/>
        <v>0</v>
      </c>
      <c r="BX34" s="123">
        <f t="shared" si="58"/>
        <v>0</v>
      </c>
      <c r="BY34" s="123"/>
    </row>
    <row r="35" spans="5:77" x14ac:dyDescent="0.25">
      <c r="E35">
        <v>24</v>
      </c>
      <c r="F35">
        <v>35</v>
      </c>
      <c r="G35" s="58">
        <f t="shared" si="1"/>
        <v>1.3425677399039534E-7</v>
      </c>
      <c r="H35" s="58">
        <f t="shared" si="2"/>
        <v>-6.6448804367539036E-3</v>
      </c>
      <c r="I35">
        <f t="shared" si="20"/>
        <v>32.583133089141398</v>
      </c>
      <c r="J35">
        <f t="shared" si="3"/>
        <v>-4.5420182125681299</v>
      </c>
      <c r="K35" t="str">
        <f t="shared" si="4"/>
        <v>5286.34360947707-0.122910389655848i</v>
      </c>
      <c r="L35" t="str">
        <f t="shared" si="5"/>
        <v>1000000-4547285034.37566i</v>
      </c>
      <c r="M35" t="str">
        <f t="shared" si="6"/>
        <v>149999.998748658-4.94800708353795i</v>
      </c>
      <c r="N35">
        <f t="shared" si="21"/>
        <v>-29.359557442421526</v>
      </c>
      <c r="O35">
        <f t="shared" si="7"/>
        <v>5.3885096172725893E-4</v>
      </c>
      <c r="P35" t="str">
        <f t="shared" si="8"/>
        <v>-96750745.412248i</v>
      </c>
      <c r="Q35" t="str">
        <f t="shared" si="9"/>
        <v>5900-378940.419531305i</v>
      </c>
      <c r="R35" t="str">
        <f t="shared" si="22"/>
        <v>5854.05342360642-377462.382189683i</v>
      </c>
      <c r="S35" t="str">
        <f t="shared" si="10"/>
        <v>99806929.3181983-4389737.10966864i</v>
      </c>
      <c r="T35" t="str">
        <f t="shared" si="23"/>
        <v>7275.80306625645-377350.200826763i</v>
      </c>
      <c r="U35" t="str">
        <f t="shared" si="24"/>
        <v>0.999999969375001-0.000174999994640625i</v>
      </c>
      <c r="V35">
        <f t="shared" si="11"/>
        <v>51.53650584664463</v>
      </c>
      <c r="W35">
        <f t="shared" si="12"/>
        <v>-88.905444918677858</v>
      </c>
      <c r="X35">
        <f t="shared" si="25"/>
        <v>-1.3300268167662466E-7</v>
      </c>
      <c r="Y35">
        <f t="shared" si="13"/>
        <v>-1.0026763398441768E-2</v>
      </c>
      <c r="AA35" s="123">
        <f t="shared" si="26"/>
        <v>32.583133223398171</v>
      </c>
      <c r="AB35" s="123">
        <f t="shared" si="27"/>
        <v>-4.5486630930048841</v>
      </c>
      <c r="AC35">
        <f t="shared" si="28"/>
        <v>22.176948404223104</v>
      </c>
      <c r="AD35">
        <f t="shared" si="29"/>
        <v>-88.904906067716126</v>
      </c>
      <c r="AE35" s="123">
        <f t="shared" si="30"/>
        <v>54.760081627621275</v>
      </c>
      <c r="AF35" s="123">
        <f t="shared" si="31"/>
        <v>-93.453569160721017</v>
      </c>
      <c r="AI35" s="123">
        <f t="shared" si="32"/>
        <v>0</v>
      </c>
      <c r="AJ35" s="123">
        <f t="shared" si="33"/>
        <v>0</v>
      </c>
      <c r="AK35" s="123">
        <f t="shared" si="34"/>
        <v>0</v>
      </c>
      <c r="AL35" s="123">
        <f t="shared" si="35"/>
        <v>0</v>
      </c>
      <c r="AM35" s="123">
        <f t="shared" si="36"/>
        <v>0</v>
      </c>
      <c r="AN35" s="123">
        <f t="shared" si="37"/>
        <v>0</v>
      </c>
      <c r="AO35" s="123">
        <f t="shared" si="38"/>
        <v>0</v>
      </c>
      <c r="AP35" s="123"/>
      <c r="AQ35" s="123">
        <f t="shared" si="39"/>
        <v>0</v>
      </c>
      <c r="AR35" s="123">
        <f t="shared" si="40"/>
        <v>0</v>
      </c>
      <c r="AS35" s="123">
        <f t="shared" si="41"/>
        <v>0</v>
      </c>
      <c r="AW35" t="str">
        <f t="shared" si="14"/>
        <v>26100</v>
      </c>
      <c r="AX35" t="str">
        <f t="shared" si="15"/>
        <v>0.001-454728.503437566i</v>
      </c>
      <c r="AY35" t="str">
        <f t="shared" si="42"/>
        <v>26014.2984268467-1493.13971682494i</v>
      </c>
      <c r="AZ35">
        <f t="shared" si="16"/>
        <v>14.339126166213934</v>
      </c>
      <c r="BA35">
        <f t="shared" si="17"/>
        <v>-3.2849957970996675</v>
      </c>
      <c r="BB35">
        <f t="shared" si="18"/>
        <v>-2.7451709680420429</v>
      </c>
      <c r="BC35">
        <f t="shared" si="19"/>
        <v>1.6990569214726785</v>
      </c>
      <c r="BD35" s="123">
        <f t="shared" si="43"/>
        <v>-2.7451708337852687</v>
      </c>
      <c r="BE35" s="123">
        <f t="shared" si="44"/>
        <v>1.6924120410359247</v>
      </c>
      <c r="BF35">
        <f t="shared" si="45"/>
        <v>65.87563201285856</v>
      </c>
      <c r="BG35">
        <f t="shared" si="46"/>
        <v>-92.190440715777527</v>
      </c>
      <c r="BH35" s="123">
        <f t="shared" si="47"/>
        <v>63.130461179073293</v>
      </c>
      <c r="BI35" s="123">
        <f t="shared" si="48"/>
        <v>-90.498028674741605</v>
      </c>
      <c r="BL35" s="123">
        <f t="shared" si="49"/>
        <v>0</v>
      </c>
      <c r="BM35" s="123">
        <f t="shared" si="50"/>
        <v>0</v>
      </c>
      <c r="BN35" s="123">
        <f t="shared" si="51"/>
        <v>0</v>
      </c>
      <c r="BO35" s="123">
        <f t="shared" si="52"/>
        <v>0</v>
      </c>
      <c r="BP35" s="123">
        <f t="shared" si="53"/>
        <v>0</v>
      </c>
      <c r="BQ35" s="123">
        <f t="shared" si="54"/>
        <v>0</v>
      </c>
      <c r="BR35" s="123">
        <f t="shared" si="55"/>
        <v>0</v>
      </c>
      <c r="BS35" s="123"/>
      <c r="BT35" s="123"/>
      <c r="BU35" s="123">
        <f t="shared" si="56"/>
        <v>0</v>
      </c>
      <c r="BV35" s="123">
        <f t="shared" si="57"/>
        <v>0</v>
      </c>
      <c r="BX35" s="123">
        <f t="shared" si="58"/>
        <v>0</v>
      </c>
      <c r="BY35" s="123"/>
    </row>
    <row r="36" spans="5:77" x14ac:dyDescent="0.25">
      <c r="E36">
        <v>25</v>
      </c>
      <c r="F36">
        <v>40</v>
      </c>
      <c r="G36" s="58">
        <f t="shared" si="1"/>
        <v>1.7535575221106827E-7</v>
      </c>
      <c r="H36" s="58">
        <f t="shared" si="2"/>
        <v>-7.5941491117205604E-3</v>
      </c>
      <c r="I36">
        <f t="shared" si="20"/>
        <v>32.574755015828202</v>
      </c>
      <c r="J36">
        <f t="shared" si="3"/>
        <v>-5.1875279899417919</v>
      </c>
      <c r="K36" t="str">
        <f t="shared" si="4"/>
        <v>5286.34360860225-0.140469016726295i</v>
      </c>
      <c r="L36" t="str">
        <f t="shared" si="5"/>
        <v>1000000-3978874405.0787i</v>
      </c>
      <c r="M36" t="str">
        <f t="shared" si="6"/>
        <v>149999.998365594-5.65486512761351i</v>
      </c>
      <c r="N36">
        <f t="shared" si="21"/>
        <v>-29.359557423082435</v>
      </c>
      <c r="O36">
        <f t="shared" si="7"/>
        <v>6.1582963482444218E-4</v>
      </c>
      <c r="P36" t="str">
        <f t="shared" si="8"/>
        <v>-84656902.235717i</v>
      </c>
      <c r="Q36" t="str">
        <f t="shared" si="9"/>
        <v>5900-331572.867089892i</v>
      </c>
      <c r="R36" t="str">
        <f t="shared" si="22"/>
        <v>5854.05341699413-330279.679664867i</v>
      </c>
      <c r="S36" t="str">
        <f t="shared" si="10"/>
        <v>99747975.0032731-5013879.04458372i</v>
      </c>
      <c r="T36" t="str">
        <f t="shared" si="23"/>
        <v>6942.04906826654-330182.627037235i</v>
      </c>
      <c r="U36" t="str">
        <f t="shared" si="24"/>
        <v>0.999999960000002-0.000199999992i</v>
      </c>
      <c r="V36">
        <f t="shared" si="11"/>
        <v>50.377003552924009</v>
      </c>
      <c r="W36">
        <f t="shared" si="12"/>
        <v>-88.807018378120461</v>
      </c>
      <c r="X36">
        <f t="shared" si="25"/>
        <v>-1.7371778476376644E-7</v>
      </c>
      <c r="Y36">
        <f t="shared" si="13"/>
        <v>-1.1459158133837855E-2</v>
      </c>
      <c r="AA36" s="123">
        <f t="shared" si="26"/>
        <v>32.574755191183954</v>
      </c>
      <c r="AB36" s="123">
        <f t="shared" si="27"/>
        <v>-5.1951221390535123</v>
      </c>
      <c r="AC36">
        <f t="shared" si="28"/>
        <v>21.017446129841574</v>
      </c>
      <c r="AD36">
        <f t="shared" si="29"/>
        <v>-88.806402548485636</v>
      </c>
      <c r="AE36" s="123">
        <f t="shared" si="30"/>
        <v>53.592201321025527</v>
      </c>
      <c r="AF36" s="123">
        <f t="shared" si="31"/>
        <v>-94.001524687539145</v>
      </c>
      <c r="AI36" s="123">
        <f t="shared" si="32"/>
        <v>0</v>
      </c>
      <c r="AJ36" s="123">
        <f t="shared" si="33"/>
        <v>0</v>
      </c>
      <c r="AK36" s="123">
        <f t="shared" si="34"/>
        <v>0</v>
      </c>
      <c r="AL36" s="123">
        <f t="shared" si="35"/>
        <v>0</v>
      </c>
      <c r="AM36" s="123">
        <f t="shared" si="36"/>
        <v>0</v>
      </c>
      <c r="AN36" s="123">
        <f t="shared" si="37"/>
        <v>0</v>
      </c>
      <c r="AO36" s="123">
        <f t="shared" si="38"/>
        <v>0</v>
      </c>
      <c r="AP36" s="123"/>
      <c r="AQ36" s="123">
        <f t="shared" si="39"/>
        <v>0</v>
      </c>
      <c r="AR36" s="123">
        <f t="shared" si="40"/>
        <v>0</v>
      </c>
      <c r="AS36" s="123">
        <f t="shared" si="41"/>
        <v>0</v>
      </c>
      <c r="AW36" t="str">
        <f t="shared" si="14"/>
        <v>26100</v>
      </c>
      <c r="AX36" t="str">
        <f t="shared" si="15"/>
        <v>0.001-397887.44050787i</v>
      </c>
      <c r="AY36" t="str">
        <f t="shared" si="42"/>
        <v>25988.1756548944-1704.73182972335i</v>
      </c>
      <c r="AZ36">
        <f t="shared" si="16"/>
        <v>14.334762921079205</v>
      </c>
      <c r="BA36">
        <f t="shared" si="17"/>
        <v>-3.7530232095887452</v>
      </c>
      <c r="BB36">
        <f t="shared" si="18"/>
        <v>-2.7377985460982202</v>
      </c>
      <c r="BC36">
        <f t="shared" si="19"/>
        <v>1.9364775787471387</v>
      </c>
      <c r="BD36" s="123">
        <f t="shared" si="43"/>
        <v>-2.737798370742468</v>
      </c>
      <c r="BE36" s="123">
        <f t="shared" si="44"/>
        <v>1.928883429635418</v>
      </c>
      <c r="BF36">
        <f t="shared" si="45"/>
        <v>64.711766474003213</v>
      </c>
      <c r="BG36">
        <f t="shared" si="46"/>
        <v>-92.560041587709208</v>
      </c>
      <c r="BH36" s="123">
        <f t="shared" si="47"/>
        <v>61.973968103260745</v>
      </c>
      <c r="BI36" s="123">
        <f t="shared" si="48"/>
        <v>-90.631158158073788</v>
      </c>
      <c r="BL36" s="123">
        <f t="shared" si="49"/>
        <v>0</v>
      </c>
      <c r="BM36" s="123">
        <f t="shared" si="50"/>
        <v>0</v>
      </c>
      <c r="BN36" s="123">
        <f t="shared" si="51"/>
        <v>0</v>
      </c>
      <c r="BO36" s="123">
        <f t="shared" si="52"/>
        <v>0</v>
      </c>
      <c r="BP36" s="123">
        <f t="shared" si="53"/>
        <v>0</v>
      </c>
      <c r="BQ36" s="123">
        <f t="shared" si="54"/>
        <v>0</v>
      </c>
      <c r="BR36" s="123">
        <f t="shared" si="55"/>
        <v>0</v>
      </c>
      <c r="BS36" s="123"/>
      <c r="BT36" s="123"/>
      <c r="BU36" s="123">
        <f t="shared" si="56"/>
        <v>0</v>
      </c>
      <c r="BV36" s="123">
        <f t="shared" si="57"/>
        <v>0</v>
      </c>
      <c r="BX36" s="123">
        <f t="shared" si="58"/>
        <v>0</v>
      </c>
      <c r="BY36" s="123"/>
    </row>
    <row r="37" spans="5:77" x14ac:dyDescent="0.25">
      <c r="E37">
        <v>26</v>
      </c>
      <c r="F37">
        <v>45</v>
      </c>
      <c r="G37" s="58">
        <f t="shared" si="1"/>
        <v>2.2193461157445555E-7</v>
      </c>
      <c r="H37" s="58">
        <f t="shared" si="2"/>
        <v>-8.5434178031449735E-3</v>
      </c>
      <c r="I37">
        <f t="shared" si="20"/>
        <v>32.565279363922919</v>
      </c>
      <c r="J37">
        <f t="shared" si="3"/>
        <v>-5.8317083079911241</v>
      </c>
      <c r="K37" t="str">
        <f t="shared" si="4"/>
        <v>5286.34360761079-0.158027643787444i</v>
      </c>
      <c r="L37" t="str">
        <f t="shared" si="5"/>
        <v>1000000-3536777248.95884i</v>
      </c>
      <c r="M37" t="str">
        <f t="shared" si="6"/>
        <v>149999.997931455-6.36172312740286i</v>
      </c>
      <c r="N37">
        <f t="shared" si="21"/>
        <v>-29.359557401164839</v>
      </c>
      <c r="O37">
        <f t="shared" si="7"/>
        <v>6.9280829363321491E-4</v>
      </c>
      <c r="P37" t="str">
        <f t="shared" si="8"/>
        <v>-75250579.7650818i</v>
      </c>
      <c r="Q37" t="str">
        <f t="shared" si="9"/>
        <v>5900-294731.437413237i</v>
      </c>
      <c r="R37" t="str">
        <f t="shared" si="22"/>
        <v>5854.05340950021-293582.033434322i</v>
      </c>
      <c r="S37" t="str">
        <f t="shared" si="10"/>
        <v>99681244.2518111-5636840.39084765i</v>
      </c>
      <c r="T37" t="str">
        <f t="shared" si="23"/>
        <v>6713.22713542455-293496.44008189i</v>
      </c>
      <c r="U37" t="str">
        <f t="shared" si="24"/>
        <v>0.999999949375003-0.000224999988609376i</v>
      </c>
      <c r="V37">
        <f t="shared" si="11"/>
        <v>49.354328116761927</v>
      </c>
      <c r="W37">
        <f t="shared" si="12"/>
        <v>-88.702595905598244</v>
      </c>
      <c r="X37">
        <f t="shared" si="25"/>
        <v>-2.198615725434215E-7</v>
      </c>
      <c r="Y37">
        <f t="shared" si="13"/>
        <v>-1.289155285491005E-2</v>
      </c>
      <c r="AA37" s="123">
        <f t="shared" si="26"/>
        <v>32.565279585857532</v>
      </c>
      <c r="AB37" s="123">
        <f t="shared" si="27"/>
        <v>-5.8402517257942694</v>
      </c>
      <c r="AC37">
        <f t="shared" si="28"/>
        <v>19.994770715597088</v>
      </c>
      <c r="AD37">
        <f t="shared" si="29"/>
        <v>-88.701903097304609</v>
      </c>
      <c r="AE37" s="123">
        <f t="shared" si="30"/>
        <v>52.560050301454623</v>
      </c>
      <c r="AF37" s="123">
        <f t="shared" si="31"/>
        <v>-94.542154823098883</v>
      </c>
      <c r="AI37" s="123">
        <f t="shared" si="32"/>
        <v>0</v>
      </c>
      <c r="AJ37" s="123">
        <f t="shared" si="33"/>
        <v>0</v>
      </c>
      <c r="AK37" s="123">
        <f t="shared" si="34"/>
        <v>0</v>
      </c>
      <c r="AL37" s="123">
        <f t="shared" si="35"/>
        <v>0</v>
      </c>
      <c r="AM37" s="123">
        <f t="shared" si="36"/>
        <v>0</v>
      </c>
      <c r="AN37" s="123">
        <f t="shared" si="37"/>
        <v>0</v>
      </c>
      <c r="AO37" s="123">
        <f t="shared" si="38"/>
        <v>0</v>
      </c>
      <c r="AP37" s="123"/>
      <c r="AQ37" s="123">
        <f t="shared" si="39"/>
        <v>0</v>
      </c>
      <c r="AR37" s="123">
        <f t="shared" si="40"/>
        <v>0</v>
      </c>
      <c r="AS37" s="123">
        <f t="shared" si="41"/>
        <v>0</v>
      </c>
      <c r="AW37" t="str">
        <f t="shared" si="14"/>
        <v>26100</v>
      </c>
      <c r="AX37" t="str">
        <f t="shared" si="15"/>
        <v>0.001-353677.724895884i</v>
      </c>
      <c r="AY37" t="str">
        <f t="shared" si="42"/>
        <v>25958.633197004-1915.64319324856i</v>
      </c>
      <c r="AZ37">
        <f t="shared" si="16"/>
        <v>14.329823203470223</v>
      </c>
      <c r="BA37">
        <f t="shared" si="17"/>
        <v>-4.2205496017197737</v>
      </c>
      <c r="BB37">
        <f t="shared" si="18"/>
        <v>-2.7294924200754034</v>
      </c>
      <c r="BC37">
        <f t="shared" si="19"/>
        <v>2.1718180363512829</v>
      </c>
      <c r="BD37" s="123">
        <f t="shared" si="43"/>
        <v>-2.7294921981407918</v>
      </c>
      <c r="BE37" s="123">
        <f t="shared" si="44"/>
        <v>2.163274618548138</v>
      </c>
      <c r="BF37">
        <f t="shared" si="45"/>
        <v>63.684151320232147</v>
      </c>
      <c r="BG37">
        <f t="shared" si="46"/>
        <v>-92.923145507318011</v>
      </c>
      <c r="BH37" s="123">
        <f t="shared" si="47"/>
        <v>60.954659122091357</v>
      </c>
      <c r="BI37" s="123">
        <f t="shared" si="48"/>
        <v>-90.759870888769868</v>
      </c>
      <c r="BL37" s="123">
        <f t="shared" si="49"/>
        <v>0</v>
      </c>
      <c r="BM37" s="123">
        <f t="shared" si="50"/>
        <v>0</v>
      </c>
      <c r="BN37" s="123">
        <f t="shared" si="51"/>
        <v>0</v>
      </c>
      <c r="BO37" s="123">
        <f t="shared" si="52"/>
        <v>0</v>
      </c>
      <c r="BP37" s="123">
        <f t="shared" si="53"/>
        <v>0</v>
      </c>
      <c r="BQ37" s="123">
        <f t="shared" si="54"/>
        <v>0</v>
      </c>
      <c r="BR37" s="123">
        <f t="shared" si="55"/>
        <v>0</v>
      </c>
      <c r="BS37" s="123"/>
      <c r="BT37" s="123"/>
      <c r="BU37" s="123">
        <f t="shared" si="56"/>
        <v>0</v>
      </c>
      <c r="BV37" s="123">
        <f t="shared" si="57"/>
        <v>0</v>
      </c>
      <c r="BX37" s="123">
        <f t="shared" si="58"/>
        <v>0</v>
      </c>
      <c r="BY37" s="123"/>
    </row>
    <row r="38" spans="5:77" x14ac:dyDescent="0.25">
      <c r="E38">
        <v>27</v>
      </c>
      <c r="F38">
        <v>50</v>
      </c>
      <c r="G38" s="58">
        <f t="shared" si="1"/>
        <v>2.7399342720993809E-7</v>
      </c>
      <c r="H38" s="58">
        <f t="shared" si="2"/>
        <v>-9.4926865130843738E-3</v>
      </c>
      <c r="I38">
        <f t="shared" si="20"/>
        <v>32.554713338394876</v>
      </c>
      <c r="J38">
        <f t="shared" si="3"/>
        <v>-6.4743994954326691</v>
      </c>
      <c r="K38" t="str">
        <f t="shared" si="4"/>
        <v>5286.34360650269-0.175586270838132i</v>
      </c>
      <c r="L38" t="str">
        <f t="shared" si="5"/>
        <v>1000000-3183099524.06296i</v>
      </c>
      <c r="M38" t="str">
        <f t="shared" si="6"/>
        <v>149999.997446241-7.06858107737017i</v>
      </c>
      <c r="N38">
        <f t="shared" si="21"/>
        <v>-29.359557376668697</v>
      </c>
      <c r="O38">
        <f t="shared" si="7"/>
        <v>7.6978693636753522E-4</v>
      </c>
      <c r="P38" t="str">
        <f t="shared" si="8"/>
        <v>-67725521.7885736i</v>
      </c>
      <c r="Q38" t="str">
        <f t="shared" si="9"/>
        <v>5900-265258.293671913i</v>
      </c>
      <c r="R38" t="str">
        <f t="shared" si="22"/>
        <v>5854.05340112463-264223.926609767i</v>
      </c>
      <c r="S38" t="str">
        <f t="shared" si="10"/>
        <v>99606768.4036929-6258476.53525789i</v>
      </c>
      <c r="T38" t="str">
        <f t="shared" si="23"/>
        <v>6549.55150713457-264147.32901017i</v>
      </c>
      <c r="U38" t="str">
        <f t="shared" si="24"/>
        <v>0.999999937500004-0.000249999984375001i</v>
      </c>
      <c r="V38">
        <f t="shared" si="11"/>
        <v>48.439593402475658</v>
      </c>
      <c r="W38">
        <f t="shared" si="12"/>
        <v>-88.593980543247696</v>
      </c>
      <c r="X38">
        <f t="shared" si="25"/>
        <v>-2.7143404220912692E-7</v>
      </c>
      <c r="Y38">
        <f t="shared" si="13"/>
        <v>-1.4323947559867748E-2</v>
      </c>
      <c r="AA38" s="123">
        <f t="shared" si="26"/>
        <v>32.554713612388305</v>
      </c>
      <c r="AB38" s="123">
        <f t="shared" si="27"/>
        <v>-6.4838921819457536</v>
      </c>
      <c r="AC38">
        <f t="shared" si="28"/>
        <v>19.080036025806962</v>
      </c>
      <c r="AD38">
        <f t="shared" si="29"/>
        <v>-88.593210756311322</v>
      </c>
      <c r="AE38" s="123">
        <f t="shared" si="30"/>
        <v>51.634749638195267</v>
      </c>
      <c r="AF38" s="123">
        <f t="shared" si="31"/>
        <v>-95.07710293825707</v>
      </c>
      <c r="AI38" s="123">
        <f t="shared" si="32"/>
        <v>0</v>
      </c>
      <c r="AJ38" s="123">
        <f t="shared" si="33"/>
        <v>0</v>
      </c>
      <c r="AK38" s="123">
        <f t="shared" si="34"/>
        <v>0</v>
      </c>
      <c r="AL38" s="123">
        <f t="shared" si="35"/>
        <v>0</v>
      </c>
      <c r="AM38" s="123">
        <f t="shared" si="36"/>
        <v>0</v>
      </c>
      <c r="AN38" s="123">
        <f t="shared" si="37"/>
        <v>0</v>
      </c>
      <c r="AO38" s="123">
        <f t="shared" si="38"/>
        <v>0</v>
      </c>
      <c r="AP38" s="123"/>
      <c r="AQ38" s="123">
        <f t="shared" si="39"/>
        <v>0</v>
      </c>
      <c r="AR38" s="123">
        <f t="shared" si="40"/>
        <v>0</v>
      </c>
      <c r="AS38" s="123">
        <f t="shared" si="41"/>
        <v>0</v>
      </c>
      <c r="AW38" t="str">
        <f t="shared" si="14"/>
        <v>26100</v>
      </c>
      <c r="AX38" t="str">
        <f t="shared" si="15"/>
        <v>0.001-318309.952406296i</v>
      </c>
      <c r="AY38" t="str">
        <f t="shared" si="42"/>
        <v>25925.6945382479-2125.79161335887i</v>
      </c>
      <c r="AZ38">
        <f t="shared" si="16"/>
        <v>14.324308983343752</v>
      </c>
      <c r="BA38">
        <f t="shared" si="17"/>
        <v>-4.6875136265630015</v>
      </c>
      <c r="BB38">
        <f t="shared" si="18"/>
        <v>-2.7202704737208578</v>
      </c>
      <c r="BC38">
        <f t="shared" si="19"/>
        <v>2.4048430302742649</v>
      </c>
      <c r="BD38" s="123">
        <f t="shared" si="43"/>
        <v>-2.7202701997274308</v>
      </c>
      <c r="BE38" s="123">
        <f t="shared" si="44"/>
        <v>2.3953503437611805</v>
      </c>
      <c r="BF38">
        <f t="shared" si="45"/>
        <v>62.763902385819407</v>
      </c>
      <c r="BG38">
        <f t="shared" si="46"/>
        <v>-93.281494169810699</v>
      </c>
      <c r="BH38" s="123">
        <f t="shared" si="47"/>
        <v>60.043632186091976</v>
      </c>
      <c r="BI38" s="123">
        <f t="shared" si="48"/>
        <v>-90.886143826049519</v>
      </c>
      <c r="BL38" s="123">
        <f t="shared" si="49"/>
        <v>0</v>
      </c>
      <c r="BM38" s="123">
        <f t="shared" si="50"/>
        <v>0</v>
      </c>
      <c r="BN38" s="123">
        <f t="shared" si="51"/>
        <v>0</v>
      </c>
      <c r="BO38" s="123">
        <f t="shared" si="52"/>
        <v>0</v>
      </c>
      <c r="BP38" s="123">
        <f t="shared" si="53"/>
        <v>0</v>
      </c>
      <c r="BQ38" s="123">
        <f t="shared" si="54"/>
        <v>0</v>
      </c>
      <c r="BR38" s="123">
        <f t="shared" si="55"/>
        <v>0</v>
      </c>
      <c r="BS38" s="123"/>
      <c r="BT38" s="123"/>
      <c r="BU38" s="123">
        <f t="shared" si="56"/>
        <v>0</v>
      </c>
      <c r="BV38" s="123">
        <f t="shared" si="57"/>
        <v>0</v>
      </c>
      <c r="BX38" s="123">
        <f t="shared" si="58"/>
        <v>0</v>
      </c>
      <c r="BY38" s="123"/>
    </row>
    <row r="39" spans="5:77" x14ac:dyDescent="0.25">
      <c r="E39">
        <v>28</v>
      </c>
      <c r="F39">
        <v>55</v>
      </c>
      <c r="G39" s="58">
        <f t="shared" si="1"/>
        <v>3.315320370119756E-7</v>
      </c>
      <c r="H39" s="58">
        <f t="shared" si="2"/>
        <v>-1.0441955243596156E-2</v>
      </c>
      <c r="I39">
        <f t="shared" si="20"/>
        <v>32.543064930087894</v>
      </c>
      <c r="J39">
        <f t="shared" si="3"/>
        <v>-7.1154441232683183</v>
      </c>
      <c r="K39" t="str">
        <f t="shared" si="4"/>
        <v>5286.34360527795-0.193144897877197i</v>
      </c>
      <c r="L39" t="str">
        <f t="shared" si="5"/>
        <v>1000000-2893726840.05724i</v>
      </c>
      <c r="M39" t="str">
        <f t="shared" si="6"/>
        <v>149999.996909952-7.77543897197973i</v>
      </c>
      <c r="N39">
        <f t="shared" si="21"/>
        <v>-29.359557349593967</v>
      </c>
      <c r="O39">
        <f t="shared" si="7"/>
        <v>8.4676556124137355E-4</v>
      </c>
      <c r="P39" t="str">
        <f t="shared" si="8"/>
        <v>-61568656.1714305i</v>
      </c>
      <c r="Q39" t="str">
        <f t="shared" si="9"/>
        <v>5900-241143.903338103i</v>
      </c>
      <c r="R39" t="str">
        <f t="shared" si="22"/>
        <v>5854.05339186743-240203.666625933i</v>
      </c>
      <c r="S39" t="str">
        <f t="shared" si="10"/>
        <v>99524582.3618656-6878643.89853031i</v>
      </c>
      <c r="T39" t="str">
        <f t="shared" si="23"/>
        <v>6428.44970449427-240134.327334166i</v>
      </c>
      <c r="U39" t="str">
        <f t="shared" si="24"/>
        <v>0.999999924375006-0.000274999979203127i</v>
      </c>
      <c r="V39">
        <f t="shared" si="11"/>
        <v>47.61219584866798</v>
      </c>
      <c r="W39">
        <f t="shared" si="12"/>
        <v>-88.482320146287364</v>
      </c>
      <c r="X39">
        <f t="shared" si="25"/>
        <v>-3.2843518710728875E-7</v>
      </c>
      <c r="Y39">
        <f t="shared" si="13"/>
        <v>-1.575634224692055E-2</v>
      </c>
      <c r="AA39" s="123">
        <f t="shared" si="26"/>
        <v>32.54306526161993</v>
      </c>
      <c r="AB39" s="123">
        <f t="shared" si="27"/>
        <v>-7.1258860785119147</v>
      </c>
      <c r="AC39">
        <f t="shared" si="28"/>
        <v>18.252638499074013</v>
      </c>
      <c r="AD39">
        <f t="shared" si="29"/>
        <v>-88.481473380726129</v>
      </c>
      <c r="AE39" s="123">
        <f t="shared" si="30"/>
        <v>50.795703760693939</v>
      </c>
      <c r="AF39" s="123">
        <f t="shared" si="31"/>
        <v>-95.60735945923804</v>
      </c>
      <c r="AI39" s="123">
        <f t="shared" si="32"/>
        <v>0</v>
      </c>
      <c r="AJ39" s="123">
        <f t="shared" si="33"/>
        <v>0</v>
      </c>
      <c r="AK39" s="123">
        <f t="shared" si="34"/>
        <v>0</v>
      </c>
      <c r="AL39" s="123">
        <f t="shared" si="35"/>
        <v>0</v>
      </c>
      <c r="AM39" s="123">
        <f t="shared" si="36"/>
        <v>0</v>
      </c>
      <c r="AN39" s="123">
        <f t="shared" si="37"/>
        <v>0</v>
      </c>
      <c r="AO39" s="123">
        <f t="shared" si="38"/>
        <v>0</v>
      </c>
      <c r="AP39" s="123"/>
      <c r="AQ39" s="123">
        <f t="shared" si="39"/>
        <v>0</v>
      </c>
      <c r="AR39" s="123">
        <f t="shared" si="40"/>
        <v>0</v>
      </c>
      <c r="AS39" s="123">
        <f t="shared" si="41"/>
        <v>0</v>
      </c>
      <c r="AW39" t="str">
        <f t="shared" si="14"/>
        <v>26100</v>
      </c>
      <c r="AX39" t="str">
        <f t="shared" si="15"/>
        <v>0.001-289372.684005724i</v>
      </c>
      <c r="AY39" t="str">
        <f t="shared" si="42"/>
        <v>25889.3857688496-2335.09590125305i</v>
      </c>
      <c r="AZ39">
        <f t="shared" si="16"/>
        <v>14.318222453595837</v>
      </c>
      <c r="BA39">
        <f t="shared" si="17"/>
        <v>-5.1538543834395467</v>
      </c>
      <c r="BB39">
        <f t="shared" si="18"/>
        <v>-2.7101523542578771</v>
      </c>
      <c r="BC39">
        <f t="shared" si="19"/>
        <v>2.6353255910267679</v>
      </c>
      <c r="BD39" s="123">
        <f t="shared" si="43"/>
        <v>-2.7101520227258402</v>
      </c>
      <c r="BE39" s="123">
        <f t="shared" si="44"/>
        <v>2.6248836357831715</v>
      </c>
      <c r="BF39">
        <f t="shared" si="45"/>
        <v>61.930418302263817</v>
      </c>
      <c r="BG39">
        <f t="shared" si="46"/>
        <v>-93.636174529726915</v>
      </c>
      <c r="BH39" s="123">
        <f t="shared" si="47"/>
        <v>59.220266279537974</v>
      </c>
      <c r="BI39" s="123">
        <f t="shared" si="48"/>
        <v>-91.011290893943738</v>
      </c>
      <c r="BL39" s="123">
        <f t="shared" si="49"/>
        <v>0</v>
      </c>
      <c r="BM39" s="123">
        <f t="shared" si="50"/>
        <v>0</v>
      </c>
      <c r="BN39" s="123">
        <f t="shared" si="51"/>
        <v>0</v>
      </c>
      <c r="BO39" s="123">
        <f t="shared" si="52"/>
        <v>0</v>
      </c>
      <c r="BP39" s="123">
        <f t="shared" si="53"/>
        <v>0</v>
      </c>
      <c r="BQ39" s="123">
        <f t="shared" si="54"/>
        <v>0</v>
      </c>
      <c r="BR39" s="123">
        <f t="shared" si="55"/>
        <v>0</v>
      </c>
      <c r="BS39" s="123"/>
      <c r="BT39" s="123"/>
      <c r="BU39" s="123">
        <f t="shared" si="56"/>
        <v>0</v>
      </c>
      <c r="BV39" s="123">
        <f t="shared" si="57"/>
        <v>0</v>
      </c>
      <c r="BX39" s="123">
        <f t="shared" si="58"/>
        <v>0</v>
      </c>
      <c r="BY39" s="123"/>
    </row>
    <row r="40" spans="5:77" x14ac:dyDescent="0.25">
      <c r="E40">
        <v>29</v>
      </c>
      <c r="F40">
        <v>60</v>
      </c>
      <c r="G40" s="58">
        <f t="shared" si="1"/>
        <v>3.9455051994651583E-7</v>
      </c>
      <c r="H40" s="58">
        <f t="shared" si="2"/>
        <v>-1.1391223996737495E-2</v>
      </c>
      <c r="I40">
        <f t="shared" si="20"/>
        <v>32.530342895902017</v>
      </c>
      <c r="J40">
        <f t="shared" si="3"/>
        <v>-7.7546872236785083</v>
      </c>
      <c r="K40" t="str">
        <f t="shared" si="4"/>
        <v>5286.34360393657-0.210703524903477i</v>
      </c>
      <c r="L40" t="str">
        <f t="shared" si="5"/>
        <v>1000000-2652582936.71913i</v>
      </c>
      <c r="M40" t="str">
        <f t="shared" si="6"/>
        <v>149999.996322588-8.48229680569584i</v>
      </c>
      <c r="N40">
        <f t="shared" si="21"/>
        <v>-29.35955731994078</v>
      </c>
      <c r="O40">
        <f t="shared" si="7"/>
        <v>9.2374416646868866E-4</v>
      </c>
      <c r="P40" t="str">
        <f t="shared" si="8"/>
        <v>-56437934.8238113i</v>
      </c>
      <c r="Q40" t="str">
        <f t="shared" si="9"/>
        <v>5900-221048.578059928i</v>
      </c>
      <c r="R40" t="str">
        <f t="shared" si="22"/>
        <v>5854.0533817286-220186.791772641i</v>
      </c>
      <c r="S40" t="str">
        <f t="shared" si="10"/>
        <v>99434724.5516522-7497200.04416816i</v>
      </c>
      <c r="T40" t="str">
        <f t="shared" si="23"/>
        <v>6336.34165219672-220123.437599687i</v>
      </c>
      <c r="U40" t="str">
        <f t="shared" si="24"/>
        <v>0.999999910000008-0.000299999973000002i</v>
      </c>
      <c r="V40">
        <f t="shared" si="11"/>
        <v>46.856922409116926</v>
      </c>
      <c r="W40">
        <f t="shared" si="12"/>
        <v>-88.368380373755897</v>
      </c>
      <c r="X40">
        <f t="shared" si="25"/>
        <v>-3.9086501795238646E-7</v>
      </c>
      <c r="Y40">
        <f t="shared" si="13"/>
        <v>-1.7188736914277858E-2</v>
      </c>
      <c r="AA40" s="123">
        <f t="shared" si="26"/>
        <v>32.530343290452535</v>
      </c>
      <c r="AB40" s="123">
        <f t="shared" si="27"/>
        <v>-7.7660784476752456</v>
      </c>
      <c r="AC40">
        <f t="shared" si="28"/>
        <v>17.497365089176146</v>
      </c>
      <c r="AD40">
        <f t="shared" si="29"/>
        <v>-88.367456629589427</v>
      </c>
      <c r="AE40" s="123">
        <f t="shared" si="30"/>
        <v>50.027708379628677</v>
      </c>
      <c r="AF40" s="123">
        <f t="shared" si="31"/>
        <v>-96.133535077264668</v>
      </c>
      <c r="AI40" s="123">
        <f t="shared" si="32"/>
        <v>0</v>
      </c>
      <c r="AJ40" s="123">
        <f t="shared" si="33"/>
        <v>0</v>
      </c>
      <c r="AK40" s="123">
        <f t="shared" si="34"/>
        <v>0</v>
      </c>
      <c r="AL40" s="123">
        <f t="shared" si="35"/>
        <v>0</v>
      </c>
      <c r="AM40" s="123">
        <f t="shared" si="36"/>
        <v>0</v>
      </c>
      <c r="AN40" s="123">
        <f t="shared" si="37"/>
        <v>0</v>
      </c>
      <c r="AO40" s="123">
        <f t="shared" si="38"/>
        <v>0</v>
      </c>
      <c r="AP40" s="123"/>
      <c r="AQ40" s="123">
        <f t="shared" si="39"/>
        <v>0</v>
      </c>
      <c r="AR40" s="123">
        <f t="shared" si="40"/>
        <v>0</v>
      </c>
      <c r="AS40" s="123">
        <f t="shared" si="41"/>
        <v>0</v>
      </c>
      <c r="AW40" t="str">
        <f t="shared" si="14"/>
        <v>26100</v>
      </c>
      <c r="AX40" t="str">
        <f t="shared" si="15"/>
        <v>0.001-265258.293671913i</v>
      </c>
      <c r="AY40" t="str">
        <f t="shared" si="42"/>
        <v>25849.7355329571-2543.47597513538i</v>
      </c>
      <c r="AZ40">
        <f t="shared" si="16"/>
        <v>14.311566027178962</v>
      </c>
      <c r="BA40">
        <f t="shared" si="17"/>
        <v>-5.6195114643603752</v>
      </c>
      <c r="BB40">
        <f t="shared" si="18"/>
        <v>-2.6991593674812226</v>
      </c>
      <c r="BC40">
        <f t="shared" si="19"/>
        <v>2.8630477296984589</v>
      </c>
      <c r="BD40" s="123">
        <f t="shared" si="43"/>
        <v>-2.6991589729307028</v>
      </c>
      <c r="BE40" s="123">
        <f t="shared" si="44"/>
        <v>2.8516565057017216</v>
      </c>
      <c r="BF40">
        <f t="shared" si="45"/>
        <v>61.168488436295888</v>
      </c>
      <c r="BG40">
        <f t="shared" si="46"/>
        <v>-93.987891838116269</v>
      </c>
      <c r="BH40" s="123">
        <f t="shared" si="47"/>
        <v>58.469329463365185</v>
      </c>
      <c r="BI40" s="123">
        <f t="shared" si="48"/>
        <v>-91.136235332414543</v>
      </c>
      <c r="BL40" s="123">
        <f t="shared" si="49"/>
        <v>0</v>
      </c>
      <c r="BM40" s="123">
        <f t="shared" si="50"/>
        <v>0</v>
      </c>
      <c r="BN40" s="123">
        <f t="shared" si="51"/>
        <v>0</v>
      </c>
      <c r="BO40" s="123">
        <f t="shared" si="52"/>
        <v>0</v>
      </c>
      <c r="BP40" s="123">
        <f t="shared" si="53"/>
        <v>0</v>
      </c>
      <c r="BQ40" s="123">
        <f t="shared" si="54"/>
        <v>0</v>
      </c>
      <c r="BR40" s="123">
        <f t="shared" si="55"/>
        <v>0</v>
      </c>
      <c r="BS40" s="123"/>
      <c r="BT40" s="123"/>
      <c r="BU40" s="123">
        <f t="shared" si="56"/>
        <v>0</v>
      </c>
      <c r="BV40" s="123">
        <f t="shared" si="57"/>
        <v>0</v>
      </c>
      <c r="BX40" s="123">
        <f t="shared" si="58"/>
        <v>0</v>
      </c>
      <c r="BY40" s="123"/>
    </row>
    <row r="41" spans="5:77" x14ac:dyDescent="0.25">
      <c r="E41">
        <v>30</v>
      </c>
      <c r="F41">
        <v>65</v>
      </c>
      <c r="G41" s="58">
        <f t="shared" si="1"/>
        <v>4.6304879296212743E-7</v>
      </c>
      <c r="H41" s="58">
        <f t="shared" si="2"/>
        <v>-1.2340492774565615E-2</v>
      </c>
      <c r="I41">
        <f t="shared" si="20"/>
        <v>32.516556737281455</v>
      </c>
      <c r="J41">
        <f t="shared" si="3"/>
        <v>-8.3919764998866473</v>
      </c>
      <c r="K41" t="str">
        <f t="shared" si="4"/>
        <v>5286.34360247853-0.228262151915811i</v>
      </c>
      <c r="L41" t="str">
        <f t="shared" si="5"/>
        <v>1000000-2448538095.43305i</v>
      </c>
      <c r="M41" t="str">
        <f t="shared" si="6"/>
        <v>149999.995684148-9.18915457298254i</v>
      </c>
      <c r="N41">
        <f t="shared" si="21"/>
        <v>-29.359557287708974</v>
      </c>
      <c r="O41">
        <f t="shared" si="7"/>
        <v>1.0007227502633724E-3</v>
      </c>
      <c r="P41" t="str">
        <f t="shared" si="8"/>
        <v>-52096555.2219797i</v>
      </c>
      <c r="Q41" t="str">
        <f t="shared" si="9"/>
        <v>5900-204044.841286087i</v>
      </c>
      <c r="R41" t="str">
        <f t="shared" si="22"/>
        <v>5854.0533707081-203249.443942839i</v>
      </c>
      <c r="S41" t="str">
        <f t="shared" si="10"/>
        <v>99337236.8761092-8114003.78547435i</v>
      </c>
      <c r="T41" t="str">
        <f t="shared" si="23"/>
        <v>6264.65980815119-203191.112922046i</v>
      </c>
      <c r="U41" t="str">
        <f t="shared" si="24"/>
        <v>0.999999894375011-0.000324999965671879i</v>
      </c>
      <c r="V41">
        <f t="shared" si="11"/>
        <v>46.162220048523295</v>
      </c>
      <c r="W41">
        <f t="shared" si="12"/>
        <v>-88.252691685136654</v>
      </c>
      <c r="X41">
        <f t="shared" si="25"/>
        <v>-4.5872352328954592E-7</v>
      </c>
      <c r="Y41">
        <f t="shared" si="13"/>
        <v>-1.8621131560149343E-2</v>
      </c>
      <c r="AA41" s="123">
        <f t="shared" si="26"/>
        <v>32.516557200330247</v>
      </c>
      <c r="AB41" s="123">
        <f t="shared" si="27"/>
        <v>-8.4043169926612133</v>
      </c>
      <c r="AC41">
        <f t="shared" si="28"/>
        <v>16.802662760814322</v>
      </c>
      <c r="AD41">
        <f t="shared" si="29"/>
        <v>-88.251690962386391</v>
      </c>
      <c r="AE41" s="123">
        <f t="shared" si="30"/>
        <v>49.319219961144569</v>
      </c>
      <c r="AF41" s="123">
        <f t="shared" si="31"/>
        <v>-96.656007955047599</v>
      </c>
      <c r="AI41" s="123">
        <f t="shared" si="32"/>
        <v>0</v>
      </c>
      <c r="AJ41" s="123">
        <f t="shared" si="33"/>
        <v>0</v>
      </c>
      <c r="AK41" s="123">
        <f t="shared" si="34"/>
        <v>0</v>
      </c>
      <c r="AL41" s="123">
        <f t="shared" si="35"/>
        <v>0</v>
      </c>
      <c r="AM41" s="123">
        <f t="shared" si="36"/>
        <v>0</v>
      </c>
      <c r="AN41" s="123">
        <f t="shared" si="37"/>
        <v>0</v>
      </c>
      <c r="AO41" s="123">
        <f t="shared" si="38"/>
        <v>0</v>
      </c>
      <c r="AP41" s="123"/>
      <c r="AQ41" s="123">
        <f t="shared" si="39"/>
        <v>0</v>
      </c>
      <c r="AR41" s="123">
        <f t="shared" si="40"/>
        <v>0</v>
      </c>
      <c r="AS41" s="123">
        <f t="shared" si="41"/>
        <v>0</v>
      </c>
      <c r="AW41" t="str">
        <f t="shared" si="14"/>
        <v>26100</v>
      </c>
      <c r="AX41" t="str">
        <f t="shared" si="15"/>
        <v>0.001-244853.809543305i</v>
      </c>
      <c r="AY41" t="str">
        <f t="shared" si="42"/>
        <v>25806.7749727331-2750.85295896114i</v>
      </c>
      <c r="AZ41">
        <f t="shared" si="16"/>
        <v>14.304342333946103</v>
      </c>
      <c r="BA41">
        <f t="shared" si="17"/>
        <v>-6.0844249995004711</v>
      </c>
      <c r="BB41">
        <f t="shared" si="18"/>
        <v>-2.6873143660445269</v>
      </c>
      <c r="BC41">
        <f t="shared" si="19"/>
        <v>3.0878010576735457</v>
      </c>
      <c r="BD41" s="123">
        <f t="shared" si="43"/>
        <v>-2.6873139029957338</v>
      </c>
      <c r="BE41" s="123">
        <f t="shared" si="44"/>
        <v>3.0754605648989801</v>
      </c>
      <c r="BF41">
        <f t="shared" si="45"/>
        <v>60.466562382469398</v>
      </c>
      <c r="BG41">
        <f t="shared" si="46"/>
        <v>-94.337116684637124</v>
      </c>
      <c r="BH41" s="123">
        <f t="shared" si="47"/>
        <v>57.779248479473665</v>
      </c>
      <c r="BI41" s="123">
        <f t="shared" si="48"/>
        <v>-91.261656119738149</v>
      </c>
      <c r="BL41" s="123">
        <f t="shared" si="49"/>
        <v>0</v>
      </c>
      <c r="BM41" s="123">
        <f t="shared" si="50"/>
        <v>0</v>
      </c>
      <c r="BN41" s="123">
        <f t="shared" si="51"/>
        <v>0</v>
      </c>
      <c r="BO41" s="123">
        <f t="shared" si="52"/>
        <v>0</v>
      </c>
      <c r="BP41" s="123">
        <f t="shared" si="53"/>
        <v>0</v>
      </c>
      <c r="BQ41" s="123">
        <f t="shared" si="54"/>
        <v>0</v>
      </c>
      <c r="BR41" s="123">
        <f t="shared" si="55"/>
        <v>0</v>
      </c>
      <c r="BS41" s="123"/>
      <c r="BT41" s="123"/>
      <c r="BU41" s="123">
        <f t="shared" si="56"/>
        <v>0</v>
      </c>
      <c r="BV41" s="123">
        <f t="shared" si="57"/>
        <v>0</v>
      </c>
      <c r="BX41" s="123">
        <f t="shared" si="58"/>
        <v>0</v>
      </c>
      <c r="BY41" s="123"/>
    </row>
    <row r="42" spans="5:77" x14ac:dyDescent="0.25">
      <c r="E42">
        <v>31</v>
      </c>
      <c r="F42">
        <v>70</v>
      </c>
      <c r="G42" s="58">
        <f t="shared" si="1"/>
        <v>5.3702703336540972E-7</v>
      </c>
      <c r="H42" s="58">
        <f t="shared" si="2"/>
        <v>-1.3289761579137591E-2</v>
      </c>
      <c r="I42">
        <f t="shared" si="20"/>
        <v>32.501716677117514</v>
      </c>
      <c r="J42">
        <f t="shared" si="3"/>
        <v>-9.0271625263426571</v>
      </c>
      <c r="K42" t="str">
        <f t="shared" si="4"/>
        <v>5286.34360090386-0.245820778913034i</v>
      </c>
      <c r="L42" t="str">
        <f t="shared" si="5"/>
        <v>1000000-2273642517.18783i</v>
      </c>
      <c r="M42" t="str">
        <f t="shared" si="6"/>
        <v>149999.994994634-9.89601226830419i</v>
      </c>
      <c r="N42">
        <f t="shared" si="21"/>
        <v>-29.359557252898654</v>
      </c>
      <c r="O42">
        <f t="shared" si="7"/>
        <v>1.0777013108394268E-3</v>
      </c>
      <c r="P42" t="str">
        <f t="shared" si="8"/>
        <v>-48375372.706124i</v>
      </c>
      <c r="Q42" t="str">
        <f t="shared" si="9"/>
        <v>5900-189470.209765652i</v>
      </c>
      <c r="R42" t="str">
        <f t="shared" si="22"/>
        <v>5854.05335880598-188731.724488639i</v>
      </c>
      <c r="S42" t="str">
        <f t="shared" si="10"/>
        <v>99232164.6675276-8728915.29054128i</v>
      </c>
      <c r="T42" t="str">
        <f t="shared" si="23"/>
        <v>6207.78238268822-188677.671396745i</v>
      </c>
      <c r="U42" t="str">
        <f t="shared" si="24"/>
        <v>0.999999877500015-0.000349999957125005i</v>
      </c>
      <c r="V42">
        <f t="shared" si="11"/>
        <v>45.519108360304763</v>
      </c>
      <c r="W42">
        <f t="shared" si="12"/>
        <v>-88.135633339086638</v>
      </c>
      <c r="X42">
        <f t="shared" si="25"/>
        <v>-5.3201070806763932E-7</v>
      </c>
      <c r="Y42">
        <f t="shared" si="13"/>
        <v>-2.0053526182744336E-2</v>
      </c>
      <c r="AA42" s="123">
        <f t="shared" si="26"/>
        <v>32.501717214144549</v>
      </c>
      <c r="AB42" s="123">
        <f t="shared" si="27"/>
        <v>-9.040452287921795</v>
      </c>
      <c r="AC42">
        <f t="shared" si="28"/>
        <v>16.159551107406109</v>
      </c>
      <c r="AD42">
        <f t="shared" si="29"/>
        <v>-88.134555637775804</v>
      </c>
      <c r="AE42" s="123">
        <f t="shared" si="30"/>
        <v>48.661268321550658</v>
      </c>
      <c r="AF42" s="123">
        <f t="shared" si="31"/>
        <v>-97.175007925697599</v>
      </c>
      <c r="AI42" s="123">
        <f t="shared" si="32"/>
        <v>0</v>
      </c>
      <c r="AJ42" s="123">
        <f t="shared" si="33"/>
        <v>0</v>
      </c>
      <c r="AK42" s="123">
        <f t="shared" si="34"/>
        <v>0</v>
      </c>
      <c r="AL42" s="123">
        <f t="shared" si="35"/>
        <v>0</v>
      </c>
      <c r="AM42" s="123">
        <f t="shared" si="36"/>
        <v>0</v>
      </c>
      <c r="AN42" s="123">
        <f t="shared" si="37"/>
        <v>0</v>
      </c>
      <c r="AO42" s="123">
        <f t="shared" si="38"/>
        <v>0</v>
      </c>
      <c r="AP42" s="123"/>
      <c r="AQ42" s="123">
        <f t="shared" si="39"/>
        <v>0</v>
      </c>
      <c r="AR42" s="123">
        <f t="shared" si="40"/>
        <v>0</v>
      </c>
      <c r="AS42" s="123">
        <f t="shared" si="41"/>
        <v>0</v>
      </c>
      <c r="AW42" t="str">
        <f t="shared" si="14"/>
        <v>26100</v>
      </c>
      <c r="AX42" t="str">
        <f t="shared" si="15"/>
        <v>0.001-227364.251718783i</v>
      </c>
      <c r="AY42" t="str">
        <f t="shared" si="42"/>
        <v>25760.5376679609-2957.14927791691i</v>
      </c>
      <c r="AZ42">
        <f t="shared" si="16"/>
        <v>14.296554217229325</v>
      </c>
      <c r="BA42">
        <f t="shared" si="17"/>
        <v>-6.5485357016263794</v>
      </c>
      <c r="BB42">
        <f t="shared" si="18"/>
        <v>-2.6746416320178525</v>
      </c>
      <c r="BC42">
        <f t="shared" si="19"/>
        <v>3.309387337044309</v>
      </c>
      <c r="BD42" s="123">
        <f t="shared" si="43"/>
        <v>-2.674641094990819</v>
      </c>
      <c r="BE42" s="123">
        <f t="shared" si="44"/>
        <v>3.2960975754651716</v>
      </c>
      <c r="BF42">
        <f t="shared" si="45"/>
        <v>59.815662577534084</v>
      </c>
      <c r="BG42">
        <f t="shared" si="46"/>
        <v>-94.684169040713016</v>
      </c>
      <c r="BH42" s="123">
        <f t="shared" si="47"/>
        <v>57.141021482543266</v>
      </c>
      <c r="BI42" s="123">
        <f t="shared" si="48"/>
        <v>-91.388071465247847</v>
      </c>
      <c r="BL42" s="123">
        <f t="shared" si="49"/>
        <v>0</v>
      </c>
      <c r="BM42" s="123">
        <f t="shared" si="50"/>
        <v>0</v>
      </c>
      <c r="BN42" s="123">
        <f t="shared" si="51"/>
        <v>0</v>
      </c>
      <c r="BO42" s="123">
        <f t="shared" si="52"/>
        <v>0</v>
      </c>
      <c r="BP42" s="123">
        <f t="shared" si="53"/>
        <v>0</v>
      </c>
      <c r="BQ42" s="123">
        <f t="shared" si="54"/>
        <v>0</v>
      </c>
      <c r="BR42" s="123">
        <f t="shared" si="55"/>
        <v>0</v>
      </c>
      <c r="BS42" s="123"/>
      <c r="BT42" s="123"/>
      <c r="BU42" s="123">
        <f t="shared" si="56"/>
        <v>0</v>
      </c>
      <c r="BV42" s="123">
        <f t="shared" si="57"/>
        <v>0</v>
      </c>
      <c r="BX42" s="123">
        <f t="shared" si="58"/>
        <v>0</v>
      </c>
      <c r="BY42" s="123"/>
    </row>
    <row r="43" spans="5:77" x14ac:dyDescent="0.25">
      <c r="E43">
        <v>32</v>
      </c>
      <c r="F43">
        <v>75</v>
      </c>
      <c r="G43" s="58">
        <f t="shared" si="1"/>
        <v>6.1648515036956775E-7</v>
      </c>
      <c r="H43" s="58">
        <f t="shared" si="2"/>
        <v>-1.4239030412510872E-2</v>
      </c>
      <c r="I43">
        <f t="shared" si="20"/>
        <v>32.485833635181599</v>
      </c>
      <c r="J43">
        <f t="shared" si="3"/>
        <v>-9.6600989386348619</v>
      </c>
      <c r="K43" t="str">
        <f t="shared" si="4"/>
        <v>5286.34359921255-0.263379405893985i</v>
      </c>
      <c r="L43" t="str">
        <f t="shared" si="5"/>
        <v>1000000-2122066349.37531i</v>
      </c>
      <c r="M43" t="str">
        <f t="shared" si="6"/>
        <v>149999.994254044-10.602869886125i</v>
      </c>
      <c r="N43">
        <f t="shared" si="21"/>
        <v>-29.359557215509795</v>
      </c>
      <c r="O43">
        <f t="shared" si="7"/>
        <v>1.1546798464108308E-3</v>
      </c>
      <c r="P43" t="str">
        <f t="shared" si="8"/>
        <v>-45150347.8590491i</v>
      </c>
      <c r="Q43" t="str">
        <f t="shared" si="9"/>
        <v>5900-176838.862447942i</v>
      </c>
      <c r="R43" t="str">
        <f t="shared" si="22"/>
        <v>5854.05334602223-176149.70773492i</v>
      </c>
      <c r="S43" t="str">
        <f t="shared" si="10"/>
        <v>99119556.6351816-9341796.18505903i</v>
      </c>
      <c r="T43" t="str">
        <f t="shared" si="23"/>
        <v>6161.89652759987-176099.343108101i</v>
      </c>
      <c r="U43" t="str">
        <f t="shared" si="24"/>
        <v>0.99999985937502-0.000374999947265632i</v>
      </c>
      <c r="V43">
        <f t="shared" si="11"/>
        <v>44.920468235017481</v>
      </c>
      <c r="W43">
        <f t="shared" si="12"/>
        <v>-88.017483792957236</v>
      </c>
      <c r="X43">
        <f t="shared" si="25"/>
        <v>-6.1072656953109756E-7</v>
      </c>
      <c r="Y43">
        <f t="shared" si="13"/>
        <v>-2.1485920780272443E-2</v>
      </c>
      <c r="AA43" s="123">
        <f t="shared" si="26"/>
        <v>32.485834251666752</v>
      </c>
      <c r="AB43" s="123">
        <f t="shared" si="27"/>
        <v>-9.6743379690473734</v>
      </c>
      <c r="AC43">
        <f t="shared" si="28"/>
        <v>15.560911019507685</v>
      </c>
      <c r="AD43">
        <f t="shared" si="29"/>
        <v>-88.016329113110828</v>
      </c>
      <c r="AE43" s="123">
        <f t="shared" si="30"/>
        <v>48.046745271174437</v>
      </c>
      <c r="AF43" s="123">
        <f t="shared" si="31"/>
        <v>-97.6906670821582</v>
      </c>
      <c r="AI43" s="123">
        <f t="shared" si="32"/>
        <v>0</v>
      </c>
      <c r="AJ43" s="123">
        <f t="shared" si="33"/>
        <v>0</v>
      </c>
      <c r="AK43" s="123">
        <f t="shared" si="34"/>
        <v>0</v>
      </c>
      <c r="AL43" s="123">
        <f t="shared" si="35"/>
        <v>0</v>
      </c>
      <c r="AM43" s="123">
        <f t="shared" si="36"/>
        <v>0</v>
      </c>
      <c r="AN43" s="123">
        <f t="shared" si="37"/>
        <v>0</v>
      </c>
      <c r="AO43" s="123">
        <f t="shared" si="38"/>
        <v>0</v>
      </c>
      <c r="AP43" s="123"/>
      <c r="AQ43" s="123">
        <f t="shared" si="39"/>
        <v>0</v>
      </c>
      <c r="AR43" s="123">
        <f t="shared" si="40"/>
        <v>0</v>
      </c>
      <c r="AS43" s="123">
        <f t="shared" si="41"/>
        <v>0</v>
      </c>
      <c r="AW43" t="str">
        <f t="shared" si="14"/>
        <v>26100</v>
      </c>
      <c r="AX43" t="str">
        <f t="shared" si="15"/>
        <v>0.001-212206.634937531i</v>
      </c>
      <c r="AY43" t="str">
        <f t="shared" si="42"/>
        <v>25711.0595713836-3162.28875040461i</v>
      </c>
      <c r="AZ43">
        <f t="shared" si="16"/>
        <v>14.288204730162803</v>
      </c>
      <c r="BA43">
        <f t="shared" si="17"/>
        <v>-7.011784909397365</v>
      </c>
      <c r="BB43">
        <f t="shared" si="18"/>
        <v>-2.661166754821191</v>
      </c>
      <c r="BC43">
        <f t="shared" si="19"/>
        <v>3.5276189596064751</v>
      </c>
      <c r="BD43" s="123">
        <f t="shared" si="43"/>
        <v>-2.6611661383360405</v>
      </c>
      <c r="BE43" s="123">
        <f t="shared" si="44"/>
        <v>3.513379929193964</v>
      </c>
      <c r="BF43">
        <f t="shared" si="45"/>
        <v>59.208672965180284</v>
      </c>
      <c r="BG43">
        <f t="shared" si="46"/>
        <v>-95.029268702354599</v>
      </c>
      <c r="BH43" s="123">
        <f t="shared" si="47"/>
        <v>56.547506826844241</v>
      </c>
      <c r="BI43" s="123">
        <f t="shared" si="48"/>
        <v>-91.51588877316064</v>
      </c>
      <c r="BL43" s="123">
        <f t="shared" si="49"/>
        <v>0</v>
      </c>
      <c r="BM43" s="123">
        <f t="shared" si="50"/>
        <v>0</v>
      </c>
      <c r="BN43" s="123">
        <f t="shared" si="51"/>
        <v>0</v>
      </c>
      <c r="BO43" s="123">
        <f t="shared" si="52"/>
        <v>0</v>
      </c>
      <c r="BP43" s="123">
        <f t="shared" si="53"/>
        <v>0</v>
      </c>
      <c r="BQ43" s="123">
        <f t="shared" si="54"/>
        <v>0</v>
      </c>
      <c r="BR43" s="123">
        <f t="shared" si="55"/>
        <v>0</v>
      </c>
      <c r="BS43" s="123"/>
      <c r="BT43" s="123"/>
      <c r="BU43" s="123">
        <f t="shared" si="56"/>
        <v>0</v>
      </c>
      <c r="BV43" s="123">
        <f t="shared" si="57"/>
        <v>0</v>
      </c>
      <c r="BX43" s="123">
        <f t="shared" si="58"/>
        <v>0</v>
      </c>
      <c r="BY43" s="123"/>
    </row>
    <row r="44" spans="5:77" x14ac:dyDescent="0.25">
      <c r="E44">
        <v>33</v>
      </c>
      <c r="F44">
        <v>80</v>
      </c>
      <c r="G44" s="58">
        <f t="shared" ref="G44:G75" si="59">20*LOG(IMABS(IMDIV(1,IMSUM(0,IMSUM(COMPLEX(0,2*PI*F44/Wsh),COMPLEX(1-(F44/fsw_sh)^2,0))))))</f>
        <v>7.0142305510609263E-7</v>
      </c>
      <c r="H44" s="58">
        <f t="shared" ref="H44:H75" si="60">180/PI*IMARGUMENT(IMDIV(1,IMSUM(0,IMSUM(COMPLEX(0,2*PI*F44/Wsh),COMPLEX(1-(F44/fsw_sh)^2,0)))))</f>
        <v>-1.518829927674264E-2</v>
      </c>
      <c r="I44">
        <f t="shared" ref="I44:I75" si="61">20*LOG(IMABS(IMPRODUCT(A_COMP2VOUT,IMDIV(COMPLEX(1, 2*PI*F44/Wesr_zero),COMPLEX(1, 2*PI*F44/Wload_pole)))))</f>
        <v>32.468919202208347</v>
      </c>
      <c r="J44">
        <f t="shared" ref="J44:J75" si="62">180/PI*(IMARGUMENT(IMPRODUCT(A_COMP2VOUT,IMDIV(COMPLEX(1, 2*PI*F44/Wesr_zero),COMPLEX(1, 2*PI*F44/Wload_pole)))))</f>
        <v>-10.290642612610956</v>
      </c>
      <c r="K44" t="str">
        <f t="shared" ref="K44:K75" si="63">IMDIV(IMPRODUCT(COMPLEX(R.fbb,0),IMDIV(COMPLEX(1,0),COMPLEX(0,2*PI*F44*C.fbb))),IMSUM(COMPLEX(R.fbb,0),IMDIV(COMPLEX(1,0),COMPLEX(0,2*PI*F44*C.fbb))) )</f>
        <v>5286.34359740459-0.280938032857501i</v>
      </c>
      <c r="L44" t="str">
        <f t="shared" ref="L44:L75" si="64">IMSUM(COMPLEX(R.ff,0),IMDIV(COMPLEX(1,0),COMPLEX(0,2*PI*F44*C.ff)))</f>
        <v>1000000-1989437202.53935i</v>
      </c>
      <c r="M44" t="str">
        <f t="shared" ref="M44:M75" si="65">IMDIV(IMPRODUCT(COMPLEX(R.fbt,0),L44),IMSUM(COMPLEX(R.fbt,0),L44))</f>
        <v>149999.993462379-11.3097274209092i</v>
      </c>
      <c r="N44">
        <f t="shared" si="21"/>
        <v>-29.359557175542381</v>
      </c>
      <c r="O44">
        <f t="shared" ref="O44:O75" si="66">180/PI*IMARGUMENT((IMDIV(K44,IMSUM(K44,M44))))</f>
        <v>1.2316583551914928E-3</v>
      </c>
      <c r="P44" t="str">
        <f t="shared" ref="P44:P75" si="67">IMDIV(COMPLEX(1,0),COMPLEX(0,2*PI*F44*C.hf))</f>
        <v>-42328451.1178585i</v>
      </c>
      <c r="Q44" t="str">
        <f t="shared" ref="Q44:Q75" si="68">IMSUM(R.comp,0,IMDIV(COMPLEX(1,0),COMPLEX(0,2*PI*F44*C.comp)))</f>
        <v>5900-165786.433544946i</v>
      </c>
      <c r="R44" t="str">
        <f t="shared" si="22"/>
        <v>5854.05333235682-165140.449425342i</v>
      </c>
      <c r="S44" t="str">
        <f t="shared" ref="S44:S75" si="69">IMDIV(IMPRODUCT(COMPLEX(R.eaout,0),IMDIV(1,COMPLEX(0,2*PI*F44*C.eaout))),IMSUM(COMPLEX(R.eaout,0),IMDIV(1,COMPLEX(0,2*PI*F44*C.eaout))))</f>
        <v>98999464.8094362-9952509.6527874i</v>
      </c>
      <c r="T44" t="str">
        <f t="shared" si="23"/>
        <v>6124.34228271994-165093.298715901i</v>
      </c>
      <c r="U44" t="str">
        <f t="shared" si="24"/>
        <v>0.999999840000026-0.00039999993600001i</v>
      </c>
      <c r="V44">
        <f t="shared" ref="V44:V75" si="70">20*LOG(IMABS(IMPRODUCT(IMPRODUCT(COMPLEX(GM,0),T44),U44)))</f>
        <v>44.360560565423285</v>
      </c>
      <c r="W44">
        <f t="shared" ref="W44:W75" si="71">180/PI*IMARGUMENT((IMPRODUCT(IMPRODUCT(COMPLEX(GM,0),T44),U44)))</f>
        <v>-87.898452202618756</v>
      </c>
      <c r="X44">
        <f t="shared" si="25"/>
        <v>-6.9487111168482278E-7</v>
      </c>
      <c r="Y44">
        <f t="shared" ref="Y44:Y75" si="72">180/PI*IMARGUMENT((U44))</f>
        <v>-2.2918315350943182E-2</v>
      </c>
      <c r="AA44" s="123">
        <f t="shared" si="26"/>
        <v>32.468919903631402</v>
      </c>
      <c r="AB44" s="123">
        <f t="shared" si="27"/>
        <v>-10.305830911887698</v>
      </c>
      <c r="AC44">
        <f t="shared" si="28"/>
        <v>15.001003389880903</v>
      </c>
      <c r="AD44">
        <f t="shared" si="29"/>
        <v>-87.897220544263561</v>
      </c>
      <c r="AE44" s="123">
        <f t="shared" si="30"/>
        <v>47.469923293512309</v>
      </c>
      <c r="AF44" s="123">
        <f t="shared" si="31"/>
        <v>-98.203051456151258</v>
      </c>
      <c r="AI44" s="123">
        <f t="shared" si="32"/>
        <v>0</v>
      </c>
      <c r="AJ44" s="123">
        <f t="shared" si="33"/>
        <v>0</v>
      </c>
      <c r="AK44" s="123">
        <f t="shared" si="34"/>
        <v>0</v>
      </c>
      <c r="AL44" s="123">
        <f t="shared" si="35"/>
        <v>0</v>
      </c>
      <c r="AM44" s="123">
        <f t="shared" si="36"/>
        <v>0</v>
      </c>
      <c r="AN44" s="123">
        <f t="shared" si="37"/>
        <v>0</v>
      </c>
      <c r="AO44" s="123">
        <f t="shared" si="38"/>
        <v>0</v>
      </c>
      <c r="AP44" s="123"/>
      <c r="AQ44" s="123">
        <f t="shared" si="39"/>
        <v>0</v>
      </c>
      <c r="AR44" s="123">
        <f t="shared" si="40"/>
        <v>0</v>
      </c>
      <c r="AS44" s="123">
        <f t="shared" si="41"/>
        <v>0</v>
      </c>
      <c r="AW44" t="str">
        <f t="shared" ref="AW44:AW75" si="73">COMPLEX(R.imon,0)</f>
        <v>26100</v>
      </c>
      <c r="AX44" t="str">
        <f t="shared" ref="AX44:AX75" si="74">IMSUM(R.imonhf,0,IMDIV(COMPLEX(1,0),COMPLEX(0,2*PI*F44*C.imon)))</f>
        <v>0.001-198943.720253935i</v>
      </c>
      <c r="AY44" t="str">
        <f t="shared" si="42"/>
        <v>25658.3789400044-3366.19667631478i</v>
      </c>
      <c r="AZ44">
        <f t="shared" ref="AZ44:AZ75" si="75">20*LOG(IMABS(IMDIV(IMPRODUCT(IMPRODUCT(COMPLEX(-1,0),COMPLEX(GM.imon,0)),AY44),COMPLEX(A.s_typ,0))))</f>
        <v>14.279297131759739</v>
      </c>
      <c r="BA44">
        <f t="shared" ref="BA44:BA75" si="76">180/PI*(IMARGUMENT(IMDIV(IMPRODUCT(IMPRODUCT(COMPLEX(1,0),COMPLEX(GM.imon,0)),AY44),COMPLEX(A.s_typ,0))))</f>
        <v>-7.4741146294665226</v>
      </c>
      <c r="BB44">
        <f t="shared" ref="BB44:BB75" si="77">20*LOG(IMABS(IMPRODUCT(A_COMP2CS,IMPRODUCT(IMDIV(COMPLEX(1, 2*PI*F44/Wesr_zero),COMPLEX(1, 2*PI*F44/Wload_pole)),IMDIV(COMPLEX(1, 2*PI*F44/WloadZ),COMPLEX(1, 2*PI*F44/Wesr_zero))))))</f>
        <v>-2.6469165056395827</v>
      </c>
      <c r="BC44">
        <f t="shared" ref="BC44:BC75" si="78">180/PI*(IMARGUMENT(IMPRODUCT(A_COMP2CS,IMPRODUCT(IMDIV(COMPLEX(1, 2*PI*F44/Wesr_zero),COMPLEX(1, 2*PI*F44/Wload_pole)),IMDIV(COMPLEX(1, 2*PI*F44/WloadZ),COMPLEX(1, 2*PI*F44/Wesr_zero))))))</f>
        <v>3.7423193531455459</v>
      </c>
      <c r="BD44" s="123">
        <f t="shared" si="43"/>
        <v>-2.6469158042165275</v>
      </c>
      <c r="BE44" s="123">
        <f t="shared" si="44"/>
        <v>3.7271310538688032</v>
      </c>
      <c r="BF44">
        <f t="shared" si="45"/>
        <v>58.639857697183025</v>
      </c>
      <c r="BG44">
        <f t="shared" si="46"/>
        <v>-95.372566832085283</v>
      </c>
      <c r="BH44" s="123">
        <f t="shared" si="47"/>
        <v>55.992941892966499</v>
      </c>
      <c r="BI44" s="123">
        <f t="shared" si="48"/>
        <v>-91.645435778216481</v>
      </c>
      <c r="BL44" s="123">
        <f t="shared" si="49"/>
        <v>0</v>
      </c>
      <c r="BM44" s="123">
        <f t="shared" si="50"/>
        <v>0</v>
      </c>
      <c r="BN44" s="123">
        <f t="shared" si="51"/>
        <v>0</v>
      </c>
      <c r="BO44" s="123">
        <f t="shared" si="52"/>
        <v>0</v>
      </c>
      <c r="BP44" s="123">
        <f t="shared" si="53"/>
        <v>0</v>
      </c>
      <c r="BQ44" s="123">
        <f t="shared" si="54"/>
        <v>0</v>
      </c>
      <c r="BR44" s="123">
        <f t="shared" si="55"/>
        <v>0</v>
      </c>
      <c r="BS44" s="123"/>
      <c r="BT44" s="123"/>
      <c r="BU44" s="123">
        <f t="shared" si="56"/>
        <v>0</v>
      </c>
      <c r="BV44" s="123">
        <f t="shared" si="57"/>
        <v>0</v>
      </c>
      <c r="BX44" s="123">
        <f t="shared" si="58"/>
        <v>0</v>
      </c>
      <c r="BY44" s="123"/>
    </row>
    <row r="45" spans="5:77" x14ac:dyDescent="0.25">
      <c r="E45">
        <v>34</v>
      </c>
      <c r="F45">
        <v>85</v>
      </c>
      <c r="G45" s="58">
        <f t="shared" si="59"/>
        <v>7.9184092485046427E-7</v>
      </c>
      <c r="H45" s="58">
        <f t="shared" si="60"/>
        <v>-1.6137568173889984E-2</v>
      </c>
      <c r="I45">
        <f t="shared" si="61"/>
        <v>32.450985612753833</v>
      </c>
      <c r="J45">
        <f t="shared" si="62"/>
        <v>-10.918653832251685</v>
      </c>
      <c r="K45" t="str">
        <f t="shared" si="63"/>
        <v>5286.34359548-0.298496659802421i</v>
      </c>
      <c r="L45" t="str">
        <f t="shared" si="64"/>
        <v>1000000-1872411484.74292i</v>
      </c>
      <c r="M45" t="str">
        <f t="shared" si="65"/>
        <v>149999.992619639-12.0165848671208i</v>
      </c>
      <c r="N45">
        <f t="shared" si="21"/>
        <v>-29.359557132996397</v>
      </c>
      <c r="O45">
        <f t="shared" si="66"/>
        <v>1.3086368353953063E-3</v>
      </c>
      <c r="P45" t="str">
        <f t="shared" si="67"/>
        <v>-39838542.2285727i</v>
      </c>
      <c r="Q45" t="str">
        <f t="shared" si="68"/>
        <v>5900-156034.290395243i</v>
      </c>
      <c r="R45" t="str">
        <f t="shared" si="22"/>
        <v>5854.05331780979-155426.403952114i</v>
      </c>
      <c r="S45" t="str">
        <f t="shared" si="69"/>
        <v>98871944.4823321-10560920.5335447i</v>
      </c>
      <c r="T45" t="str">
        <f t="shared" si="23"/>
        <v>6093.21821852872-155382.079310711i</v>
      </c>
      <c r="U45" t="str">
        <f t="shared" si="24"/>
        <v>0.999999819375033-0.000424999923234389i</v>
      </c>
      <c r="V45">
        <f t="shared" si="70"/>
        <v>43.834691116426839</v>
      </c>
      <c r="W45">
        <f t="shared" si="71"/>
        <v>-87.77869880475113</v>
      </c>
      <c r="X45">
        <f t="shared" si="25"/>
        <v>-7.8444433372225859E-7</v>
      </c>
      <c r="Y45">
        <f t="shared" si="72"/>
        <v>-2.4350709892966046E-2</v>
      </c>
      <c r="AA45" s="123">
        <f t="shared" si="26"/>
        <v>32.450986404594758</v>
      </c>
      <c r="AB45" s="123">
        <f t="shared" si="27"/>
        <v>-10.934791400425576</v>
      </c>
      <c r="AC45">
        <f t="shared" si="28"/>
        <v>14.475133983430442</v>
      </c>
      <c r="AD45">
        <f t="shared" si="29"/>
        <v>-87.77739016791574</v>
      </c>
      <c r="AE45" s="123">
        <f t="shared" si="30"/>
        <v>46.926120388025197</v>
      </c>
      <c r="AF45" s="123">
        <f t="shared" si="31"/>
        <v>-98.712181568341322</v>
      </c>
      <c r="AI45" s="123">
        <f t="shared" si="32"/>
        <v>0</v>
      </c>
      <c r="AJ45" s="123">
        <f t="shared" si="33"/>
        <v>0</v>
      </c>
      <c r="AK45" s="123">
        <f t="shared" si="34"/>
        <v>0</v>
      </c>
      <c r="AL45" s="123">
        <f t="shared" si="35"/>
        <v>0</v>
      </c>
      <c r="AM45" s="123">
        <f t="shared" si="36"/>
        <v>0</v>
      </c>
      <c r="AN45" s="123">
        <f t="shared" si="37"/>
        <v>0</v>
      </c>
      <c r="AO45" s="123">
        <f t="shared" si="38"/>
        <v>0</v>
      </c>
      <c r="AP45" s="123"/>
      <c r="AQ45" s="123">
        <f t="shared" si="39"/>
        <v>0</v>
      </c>
      <c r="AR45" s="123">
        <f t="shared" si="40"/>
        <v>0</v>
      </c>
      <c r="AS45" s="123">
        <f t="shared" si="41"/>
        <v>0</v>
      </c>
      <c r="AW45" t="str">
        <f t="shared" si="73"/>
        <v>26100</v>
      </c>
      <c r="AX45" t="str">
        <f t="shared" si="74"/>
        <v>0.001-187241.148474292i</v>
      </c>
      <c r="AY45" t="str">
        <f t="shared" si="42"/>
        <v>25602.5362625893-3568.79992139048i</v>
      </c>
      <c r="AZ45">
        <f t="shared" si="75"/>
        <v>14.269834882753752</v>
      </c>
      <c r="BA45">
        <f t="shared" si="76"/>
        <v>-7.9354675773103542</v>
      </c>
      <c r="BB45">
        <f t="shared" si="77"/>
        <v>-2.6319187094241636</v>
      </c>
      <c r="BC45">
        <f t="shared" si="78"/>
        <v>3.9533233145439128</v>
      </c>
      <c r="BD45" s="123">
        <f t="shared" si="43"/>
        <v>-2.6319179175832388</v>
      </c>
      <c r="BE45" s="123">
        <f t="shared" si="44"/>
        <v>3.9371857463700231</v>
      </c>
      <c r="BF45">
        <f t="shared" si="45"/>
        <v>58.104525999180595</v>
      </c>
      <c r="BG45">
        <f t="shared" si="46"/>
        <v>-95.714166382061478</v>
      </c>
      <c r="BH45" s="123">
        <f t="shared" si="47"/>
        <v>55.472608081597357</v>
      </c>
      <c r="BI45" s="123">
        <f t="shared" si="48"/>
        <v>-91.776980635691459</v>
      </c>
      <c r="BL45" s="123">
        <f t="shared" si="49"/>
        <v>0</v>
      </c>
      <c r="BM45" s="123">
        <f t="shared" si="50"/>
        <v>0</v>
      </c>
      <c r="BN45" s="123">
        <f t="shared" si="51"/>
        <v>0</v>
      </c>
      <c r="BO45" s="123">
        <f t="shared" si="52"/>
        <v>0</v>
      </c>
      <c r="BP45" s="123">
        <f t="shared" si="53"/>
        <v>0</v>
      </c>
      <c r="BQ45" s="123">
        <f t="shared" si="54"/>
        <v>0</v>
      </c>
      <c r="BR45" s="123">
        <f t="shared" si="55"/>
        <v>0</v>
      </c>
      <c r="BS45" s="123"/>
      <c r="BT45" s="123"/>
      <c r="BU45" s="123">
        <f t="shared" si="56"/>
        <v>0</v>
      </c>
      <c r="BV45" s="123">
        <f t="shared" si="57"/>
        <v>0</v>
      </c>
      <c r="BX45" s="123">
        <f t="shared" si="58"/>
        <v>0</v>
      </c>
      <c r="BY45" s="123"/>
    </row>
    <row r="46" spans="5:77" x14ac:dyDescent="0.25">
      <c r="E46">
        <v>35</v>
      </c>
      <c r="F46">
        <v>90</v>
      </c>
      <c r="G46" s="58">
        <f t="shared" si="59"/>
        <v>8.8773858778127597E-7</v>
      </c>
      <c r="H46" s="58">
        <f t="shared" si="60"/>
        <v>-1.7086837106010312E-2</v>
      </c>
      <c r="I46">
        <f t="shared" si="61"/>
        <v>32.432045716956544</v>
      </c>
      <c r="J46">
        <f t="shared" si="62"/>
        <v>-11.543996445914843</v>
      </c>
      <c r="K46" t="str">
        <f t="shared" si="63"/>
        <v>5286.34359343877-0.316055286727583i</v>
      </c>
      <c r="L46" t="str">
        <f t="shared" si="64"/>
        <v>1000000-1768388624.47942i</v>
      </c>
      <c r="M46" t="str">
        <f t="shared" si="65"/>
        <v>149999.991725824-12.7234422192245i</v>
      </c>
      <c r="N46">
        <f t="shared" si="21"/>
        <v>-29.359557087871927</v>
      </c>
      <c r="O46">
        <f t="shared" si="66"/>
        <v>1.3856152852363835E-3</v>
      </c>
      <c r="P46" t="str">
        <f t="shared" si="67"/>
        <v>-37625289.8825409i</v>
      </c>
      <c r="Q46" t="str">
        <f t="shared" si="68"/>
        <v>5900-147365.718706618i</v>
      </c>
      <c r="R46" t="str">
        <f t="shared" si="22"/>
        <v>5854.0533023811-146791.702509178i</v>
      </c>
      <c r="S46" t="str">
        <f t="shared" si="69"/>
        <v>98737054.1447743-11166895.4185724i</v>
      </c>
      <c r="T46" t="str">
        <f t="shared" si="23"/>
        <v>6067.13593155748-146749.882765619i</v>
      </c>
      <c r="U46" t="str">
        <f t="shared" si="24"/>
        <v>0.999999797500041-0.000449999908875018i</v>
      </c>
      <c r="V46">
        <f t="shared" si="70"/>
        <v>43.338971329766025</v>
      </c>
      <c r="W46">
        <f t="shared" si="71"/>
        <v>-87.658348505055898</v>
      </c>
      <c r="X46">
        <f t="shared" si="25"/>
        <v>-8.794462377400096E-7</v>
      </c>
      <c r="Y46">
        <f t="shared" si="72"/>
        <v>-2.5783104404550491E-2</v>
      </c>
      <c r="AA46" s="123">
        <f t="shared" si="26"/>
        <v>32.432046604695131</v>
      </c>
      <c r="AB46" s="123">
        <f t="shared" si="27"/>
        <v>-11.561083283020853</v>
      </c>
      <c r="AC46">
        <f t="shared" si="28"/>
        <v>13.979414241894098</v>
      </c>
      <c r="AD46">
        <f t="shared" si="29"/>
        <v>-87.656962889770668</v>
      </c>
      <c r="AE46" s="123">
        <f t="shared" si="30"/>
        <v>46.411460846589229</v>
      </c>
      <c r="AF46" s="123">
        <f t="shared" si="31"/>
        <v>-99.218046172791517</v>
      </c>
      <c r="AI46" s="123">
        <f t="shared" si="32"/>
        <v>0</v>
      </c>
      <c r="AJ46" s="123">
        <f t="shared" si="33"/>
        <v>0</v>
      </c>
      <c r="AK46" s="123">
        <f t="shared" si="34"/>
        <v>0</v>
      </c>
      <c r="AL46" s="123">
        <f t="shared" si="35"/>
        <v>0</v>
      </c>
      <c r="AM46" s="123">
        <f t="shared" si="36"/>
        <v>0</v>
      </c>
      <c r="AN46" s="123">
        <f t="shared" si="37"/>
        <v>0</v>
      </c>
      <c r="AO46" s="123">
        <f t="shared" si="38"/>
        <v>0</v>
      </c>
      <c r="AP46" s="123"/>
      <c r="AQ46" s="123">
        <f t="shared" si="39"/>
        <v>0</v>
      </c>
      <c r="AR46" s="123">
        <f t="shared" si="40"/>
        <v>0</v>
      </c>
      <c r="AS46" s="123">
        <f t="shared" si="41"/>
        <v>0</v>
      </c>
      <c r="AW46" t="str">
        <f t="shared" si="73"/>
        <v>26100</v>
      </c>
      <c r="AX46" t="str">
        <f t="shared" si="74"/>
        <v>0.001-176838.862447942i</v>
      </c>
      <c r="AY46" t="str">
        <f t="shared" si="42"/>
        <v>25543.5741836228-3770.02699750113i</v>
      </c>
      <c r="AZ46">
        <f t="shared" si="75"/>
        <v>14.259821641215586</v>
      </c>
      <c r="BA46">
        <f t="shared" si="76"/>
        <v>-8.3957872167213576</v>
      </c>
      <c r="BB46">
        <f t="shared" si="77"/>
        <v>-2.616202115553921</v>
      </c>
      <c r="BC46">
        <f t="shared" si="78"/>
        <v>4.1604772700135042</v>
      </c>
      <c r="BD46" s="123">
        <f t="shared" si="43"/>
        <v>-2.616201227815333</v>
      </c>
      <c r="BE46" s="123">
        <f t="shared" si="44"/>
        <v>4.143390432907494</v>
      </c>
      <c r="BF46">
        <f t="shared" si="45"/>
        <v>57.598792970981613</v>
      </c>
      <c r="BG46">
        <f t="shared" si="46"/>
        <v>-96.054135721777257</v>
      </c>
      <c r="BH46" s="123">
        <f t="shared" si="47"/>
        <v>54.982591743166282</v>
      </c>
      <c r="BI46" s="123">
        <f t="shared" si="48"/>
        <v>-91.910745288869762</v>
      </c>
      <c r="BL46" s="123">
        <f t="shared" si="49"/>
        <v>0</v>
      </c>
      <c r="BM46" s="123">
        <f t="shared" si="50"/>
        <v>0</v>
      </c>
      <c r="BN46" s="123">
        <f t="shared" si="51"/>
        <v>0</v>
      </c>
      <c r="BO46" s="123">
        <f t="shared" si="52"/>
        <v>0</v>
      </c>
      <c r="BP46" s="123">
        <f t="shared" si="53"/>
        <v>0</v>
      </c>
      <c r="BQ46" s="123">
        <f t="shared" si="54"/>
        <v>0</v>
      </c>
      <c r="BR46" s="123">
        <f t="shared" si="55"/>
        <v>0</v>
      </c>
      <c r="BS46" s="123"/>
      <c r="BT46" s="123"/>
      <c r="BU46" s="123">
        <f t="shared" si="56"/>
        <v>0</v>
      </c>
      <c r="BV46" s="123">
        <f t="shared" si="57"/>
        <v>0</v>
      </c>
      <c r="BX46" s="123">
        <f t="shared" si="58"/>
        <v>0</v>
      </c>
      <c r="BY46" s="123"/>
    </row>
    <row r="47" spans="5:77" x14ac:dyDescent="0.25">
      <c r="E47">
        <v>36</v>
      </c>
      <c r="F47">
        <v>95</v>
      </c>
      <c r="G47" s="58">
        <f t="shared" si="59"/>
        <v>9.8911612472052479E-7</v>
      </c>
      <c r="H47" s="58">
        <f t="shared" si="60"/>
        <v>-1.8036106075160787E-2</v>
      </c>
      <c r="I47">
        <f t="shared" si="61"/>
        <v>32.412112951331579</v>
      </c>
      <c r="J47">
        <f t="shared" si="62"/>
        <v>-12.166538010636778</v>
      </c>
      <c r="K47" t="str">
        <f t="shared" si="63"/>
        <v>5286.34359128088-0.333613913631824i</v>
      </c>
      <c r="L47" t="str">
        <f t="shared" si="64"/>
        <v>1000000-1675315538.9805i</v>
      </c>
      <c r="M47" t="str">
        <f t="shared" si="65"/>
        <v>149999.990780934-13.4302994716842i</v>
      </c>
      <c r="N47">
        <f t="shared" si="21"/>
        <v>-29.359557040168895</v>
      </c>
      <c r="O47">
        <f t="shared" si="66"/>
        <v>1.4625937029285156E-3</v>
      </c>
      <c r="P47" t="str">
        <f t="shared" si="67"/>
        <v>-35645011.4676703i</v>
      </c>
      <c r="Q47" t="str">
        <f t="shared" si="68"/>
        <v>5900-139609.628248375i</v>
      </c>
      <c r="R47" t="str">
        <f t="shared" si="22"/>
        <v>5854.05328607079-139065.92235491i</v>
      </c>
      <c r="S47" t="str">
        <f t="shared" si="69"/>
        <v>98594855.4204535-11770302.743142i</v>
      </c>
      <c r="T47" t="str">
        <f t="shared" si="23"/>
        <v>6045.06247896279-139026.338486224i</v>
      </c>
      <c r="U47" t="str">
        <f t="shared" si="24"/>
        <v>0.999999774375051-0.000474999892828149i</v>
      </c>
      <c r="V47">
        <f t="shared" si="70"/>
        <v>42.870143885658301</v>
      </c>
      <c r="W47">
        <f t="shared" si="71"/>
        <v>-87.537500175453303</v>
      </c>
      <c r="X47">
        <f t="shared" si="25"/>
        <v>-9.7987681330860141E-7</v>
      </c>
      <c r="Y47">
        <f t="shared" si="72"/>
        <v>-2.7215498883906099E-2</v>
      </c>
      <c r="AA47" s="123">
        <f t="shared" si="26"/>
        <v>32.412113940447703</v>
      </c>
      <c r="AB47" s="123">
        <f t="shared" si="27"/>
        <v>-12.184574116711939</v>
      </c>
      <c r="AC47">
        <f t="shared" si="28"/>
        <v>13.510586845489406</v>
      </c>
      <c r="AD47">
        <f t="shared" si="29"/>
        <v>-87.536037581750378</v>
      </c>
      <c r="AE47" s="123">
        <f t="shared" si="30"/>
        <v>45.92270078593711</v>
      </c>
      <c r="AF47" s="123">
        <f t="shared" si="31"/>
        <v>-99.720611698462321</v>
      </c>
      <c r="AI47" s="123">
        <f t="shared" si="32"/>
        <v>0</v>
      </c>
      <c r="AJ47" s="123">
        <f t="shared" si="33"/>
        <v>0</v>
      </c>
      <c r="AK47" s="123">
        <f t="shared" si="34"/>
        <v>0</v>
      </c>
      <c r="AL47" s="123">
        <f t="shared" si="35"/>
        <v>0</v>
      </c>
      <c r="AM47" s="123">
        <f t="shared" si="36"/>
        <v>0</v>
      </c>
      <c r="AN47" s="123">
        <f t="shared" si="37"/>
        <v>0</v>
      </c>
      <c r="AO47" s="123">
        <f t="shared" si="38"/>
        <v>0</v>
      </c>
      <c r="AP47" s="123"/>
      <c r="AQ47" s="123">
        <f t="shared" si="39"/>
        <v>0</v>
      </c>
      <c r="AR47" s="123">
        <f t="shared" si="40"/>
        <v>0</v>
      </c>
      <c r="AS47" s="123">
        <f t="shared" si="41"/>
        <v>0</v>
      </c>
      <c r="AW47" t="str">
        <f t="shared" si="73"/>
        <v>26100</v>
      </c>
      <c r="AX47" t="str">
        <f t="shared" si="74"/>
        <v>0.001-167531.55389805i</v>
      </c>
      <c r="AY47" t="str">
        <f t="shared" si="42"/>
        <v>25481.5374239771-3969.80813866301i</v>
      </c>
      <c r="AZ47">
        <f t="shared" si="75"/>
        <v>14.249261257956558</v>
      </c>
      <c r="BA47">
        <f t="shared" si="76"/>
        <v>-8.855017797901489</v>
      </c>
      <c r="BB47">
        <f t="shared" si="77"/>
        <v>-2.5997962682009002</v>
      </c>
      <c r="BC47">
        <f t="shared" si="78"/>
        <v>4.363639463494895</v>
      </c>
      <c r="BD47" s="123">
        <f t="shared" si="43"/>
        <v>-2.5997952790847756</v>
      </c>
      <c r="BE47" s="123">
        <f t="shared" si="44"/>
        <v>4.3456033574197344</v>
      </c>
      <c r="BF47">
        <f t="shared" si="45"/>
        <v>57.119405143614856</v>
      </c>
      <c r="BG47">
        <f t="shared" si="46"/>
        <v>-96.392517973354785</v>
      </c>
      <c r="BH47" s="123">
        <f t="shared" si="47"/>
        <v>54.519609864530082</v>
      </c>
      <c r="BI47" s="123">
        <f t="shared" si="48"/>
        <v>-92.046914615935052</v>
      </c>
      <c r="BL47" s="123">
        <f t="shared" si="49"/>
        <v>0</v>
      </c>
      <c r="BM47" s="123">
        <f t="shared" si="50"/>
        <v>0</v>
      </c>
      <c r="BN47" s="123">
        <f t="shared" si="51"/>
        <v>0</v>
      </c>
      <c r="BO47" s="123">
        <f t="shared" si="52"/>
        <v>0</v>
      </c>
      <c r="BP47" s="123">
        <f t="shared" si="53"/>
        <v>0</v>
      </c>
      <c r="BQ47" s="123">
        <f t="shared" si="54"/>
        <v>0</v>
      </c>
      <c r="BR47" s="123">
        <f t="shared" si="55"/>
        <v>0</v>
      </c>
      <c r="BS47" s="123"/>
      <c r="BT47" s="123"/>
      <c r="BU47" s="123">
        <f t="shared" si="56"/>
        <v>0</v>
      </c>
      <c r="BV47" s="123">
        <f t="shared" si="57"/>
        <v>0</v>
      </c>
      <c r="BX47" s="123">
        <f t="shared" si="58"/>
        <v>0</v>
      </c>
      <c r="BY47" s="123"/>
    </row>
    <row r="48" spans="5:77" x14ac:dyDescent="0.25">
      <c r="E48">
        <v>37</v>
      </c>
      <c r="F48">
        <v>100</v>
      </c>
      <c r="G48" s="58">
        <f t="shared" si="59"/>
        <v>1.0959735470482636E-6</v>
      </c>
      <c r="H48" s="58">
        <f t="shared" si="60"/>
        <v>-1.8985375083398617E-2</v>
      </c>
      <c r="I48">
        <f t="shared" si="61"/>
        <v>32.391201308730246</v>
      </c>
      <c r="J48">
        <f t="shared" si="62"/>
        <v>-12.786149924248162</v>
      </c>
      <c r="K48" t="str">
        <f t="shared" si="63"/>
        <v>5286.34358900636-0.35117254051398i</v>
      </c>
      <c r="L48" t="str">
        <f t="shared" si="64"/>
        <v>1000000-1591549762.03148i</v>
      </c>
      <c r="M48" t="str">
        <f t="shared" si="65"/>
        <v>149999.989784969-14.1371566189643i</v>
      </c>
      <c r="N48">
        <f t="shared" si="21"/>
        <v>-29.359556989887324</v>
      </c>
      <c r="O48">
        <f t="shared" si="66"/>
        <v>1.5395720866858312E-3</v>
      </c>
      <c r="P48" t="str">
        <f t="shared" si="67"/>
        <v>-33862760.8942868i</v>
      </c>
      <c r="Q48" t="str">
        <f t="shared" si="68"/>
        <v>5900-132629.146835957i</v>
      </c>
      <c r="R48" t="str">
        <f t="shared" si="22"/>
        <v>5854.05326887882-132112.72529601i</v>
      </c>
      <c r="S48" t="str">
        <f t="shared" si="69"/>
        <v>98445412.9966396-12371012.8762776i</v>
      </c>
      <c r="T48" t="str">
        <f t="shared" si="23"/>
        <v>6026.21651182583-132075.149664693i</v>
      </c>
      <c r="U48" t="str">
        <f t="shared" si="24"/>
        <v>0.999999750000062-0.000499999875000031i</v>
      </c>
      <c r="V48">
        <f t="shared" si="70"/>
        <v>42.425453059831909</v>
      </c>
      <c r="W48">
        <f t="shared" si="71"/>
        <v>-87.416233162112505</v>
      </c>
      <c r="X48">
        <f t="shared" si="25"/>
        <v>-1.0857360731525995E-6</v>
      </c>
      <c r="Y48">
        <f t="shared" si="72"/>
        <v>-2.8647893329242342E-2</v>
      </c>
      <c r="AA48" s="123">
        <f t="shared" si="26"/>
        <v>32.39120240470379</v>
      </c>
      <c r="AB48" s="123">
        <f t="shared" si="27"/>
        <v>-12.80513529933156</v>
      </c>
      <c r="AC48">
        <f t="shared" si="28"/>
        <v>13.065896069944586</v>
      </c>
      <c r="AD48">
        <f t="shared" si="29"/>
        <v>-87.41469359002582</v>
      </c>
      <c r="AE48" s="123">
        <f t="shared" si="30"/>
        <v>45.457098474648376</v>
      </c>
      <c r="AF48" s="123">
        <f t="shared" si="31"/>
        <v>-100.21982888935739</v>
      </c>
      <c r="AI48" s="123">
        <f t="shared" si="32"/>
        <v>0</v>
      </c>
      <c r="AJ48" s="123">
        <f t="shared" si="33"/>
        <v>0</v>
      </c>
      <c r="AK48" s="123">
        <f t="shared" si="34"/>
        <v>0</v>
      </c>
      <c r="AL48" s="123">
        <f t="shared" si="35"/>
        <v>0</v>
      </c>
      <c r="AM48" s="123">
        <f t="shared" si="36"/>
        <v>0</v>
      </c>
      <c r="AN48" s="123">
        <f t="shared" si="37"/>
        <v>0</v>
      </c>
      <c r="AO48" s="123">
        <f t="shared" si="38"/>
        <v>0</v>
      </c>
      <c r="AP48" s="123"/>
      <c r="AQ48" s="123">
        <f t="shared" si="39"/>
        <v>0</v>
      </c>
      <c r="AR48" s="123">
        <f t="shared" si="40"/>
        <v>0</v>
      </c>
      <c r="AS48" s="123">
        <f t="shared" si="41"/>
        <v>0</v>
      </c>
      <c r="AW48" t="str">
        <f t="shared" si="73"/>
        <v>26100</v>
      </c>
      <c r="AX48" t="str">
        <f t="shared" si="74"/>
        <v>0.001-159154.976203148i</v>
      </c>
      <c r="AY48" t="str">
        <f t="shared" si="42"/>
        <v>25416.4726985621-4168.07537266197i</v>
      </c>
      <c r="AZ48">
        <f t="shared" si="75"/>
        <v>14.23815777173038</v>
      </c>
      <c r="BA48">
        <f t="shared" si="76"/>
        <v>-9.3131043941005469</v>
      </c>
      <c r="BB48">
        <f t="shared" si="77"/>
        <v>-2.5827313773885985</v>
      </c>
      <c r="BC48">
        <f t="shared" si="78"/>
        <v>4.562680074944943</v>
      </c>
      <c r="BD48" s="123">
        <f t="shared" si="43"/>
        <v>-2.5827302814150515</v>
      </c>
      <c r="BE48" s="123">
        <f t="shared" si="44"/>
        <v>4.5436946998615442</v>
      </c>
      <c r="BF48">
        <f t="shared" si="45"/>
        <v>56.663610831562288</v>
      </c>
      <c r="BG48">
        <f t="shared" si="46"/>
        <v>-96.729337556213054</v>
      </c>
      <c r="BH48" s="123">
        <f t="shared" si="47"/>
        <v>54.080880550147235</v>
      </c>
      <c r="BI48" s="123">
        <f t="shared" si="48"/>
        <v>-92.185642856351507</v>
      </c>
      <c r="BL48" s="123">
        <f t="shared" si="49"/>
        <v>0</v>
      </c>
      <c r="BM48" s="123">
        <f t="shared" si="50"/>
        <v>0</v>
      </c>
      <c r="BN48" s="123">
        <f t="shared" si="51"/>
        <v>0</v>
      </c>
      <c r="BO48" s="123">
        <f t="shared" si="52"/>
        <v>0</v>
      </c>
      <c r="BP48" s="123">
        <f t="shared" si="53"/>
        <v>0</v>
      </c>
      <c r="BQ48" s="123">
        <f t="shared" si="54"/>
        <v>0</v>
      </c>
      <c r="BR48" s="123">
        <f t="shared" si="55"/>
        <v>0</v>
      </c>
      <c r="BS48" s="123"/>
      <c r="BT48" s="123"/>
      <c r="BU48" s="123">
        <f t="shared" si="56"/>
        <v>0</v>
      </c>
      <c r="BV48" s="123">
        <f t="shared" si="57"/>
        <v>0</v>
      </c>
      <c r="BX48" s="123">
        <f t="shared" si="58"/>
        <v>0</v>
      </c>
      <c r="BY48" s="123"/>
    </row>
    <row r="49" spans="5:77" x14ac:dyDescent="0.25">
      <c r="E49">
        <v>38</v>
      </c>
      <c r="F49">
        <v>150</v>
      </c>
      <c r="G49" s="58">
        <f t="shared" si="59"/>
        <v>2.4659404585229247E-6</v>
      </c>
      <c r="H49" s="58">
        <f t="shared" si="60"/>
        <v>-2.8478067768173569E-2</v>
      </c>
      <c r="I49">
        <f t="shared" si="61"/>
        <v>32.131660033813475</v>
      </c>
      <c r="J49">
        <f t="shared" si="62"/>
        <v>-18.795794333951132</v>
      </c>
      <c r="K49" t="str">
        <f t="shared" si="63"/>
        <v>5286.34355984582-0.526758807865262i</v>
      </c>
      <c r="L49" t="str">
        <f t="shared" si="64"/>
        <v>1000000-1061033174.68765i</v>
      </c>
      <c r="M49" t="str">
        <f t="shared" si="65"/>
        <v>149999.977016196-21.2057210890213i</v>
      </c>
      <c r="N49">
        <f t="shared" si="21"/>
        <v>-29.359556345252422</v>
      </c>
      <c r="O49">
        <f t="shared" si="66"/>
        <v>2.3093536649098439E-3</v>
      </c>
      <c r="P49" t="str">
        <f t="shared" si="67"/>
        <v>-22575173.9295245i</v>
      </c>
      <c r="Q49" t="str">
        <f t="shared" si="68"/>
        <v>5900-88419.4312239711i</v>
      </c>
      <c r="R49" t="str">
        <f t="shared" si="22"/>
        <v>5854.05304846919-88075.9968540947i</v>
      </c>
      <c r="S49" t="str">
        <f t="shared" si="69"/>
        <v>96568854.4214767-18202796.4299806i</v>
      </c>
      <c r="T49" t="str">
        <f t="shared" si="23"/>
        <v>5929.30180988898-88051.0672565924i</v>
      </c>
      <c r="U49" t="str">
        <f t="shared" si="24"/>
        <v>0.999999437500317-0.000749999578125237i</v>
      </c>
      <c r="V49">
        <f t="shared" si="70"/>
        <v>38.914338994954335</v>
      </c>
      <c r="W49">
        <f t="shared" si="71"/>
        <v>-86.190545153326298</v>
      </c>
      <c r="X49">
        <f t="shared" si="25"/>
        <v>-2.4429057691341332E-6</v>
      </c>
      <c r="Y49">
        <f t="shared" si="72"/>
        <v>-4.2971835517631958E-2</v>
      </c>
      <c r="AA49" s="123">
        <f t="shared" si="26"/>
        <v>32.131662499753936</v>
      </c>
      <c r="AB49" s="123">
        <f t="shared" si="27"/>
        <v>-18.824272401719305</v>
      </c>
      <c r="AC49">
        <f t="shared" si="28"/>
        <v>9.554782649701913</v>
      </c>
      <c r="AD49">
        <f t="shared" si="29"/>
        <v>-86.188235799661385</v>
      </c>
      <c r="AE49" s="123">
        <f t="shared" si="30"/>
        <v>41.686445149455849</v>
      </c>
      <c r="AF49" s="123">
        <f t="shared" si="31"/>
        <v>-105.01250820138068</v>
      </c>
      <c r="AI49" s="123">
        <f t="shared" si="32"/>
        <v>0</v>
      </c>
      <c r="AJ49" s="123">
        <f t="shared" si="33"/>
        <v>0</v>
      </c>
      <c r="AK49" s="123">
        <f t="shared" si="34"/>
        <v>0</v>
      </c>
      <c r="AL49" s="123">
        <f t="shared" si="35"/>
        <v>0</v>
      </c>
      <c r="AM49" s="123">
        <f t="shared" si="36"/>
        <v>0</v>
      </c>
      <c r="AN49" s="123">
        <f t="shared" si="37"/>
        <v>0</v>
      </c>
      <c r="AO49" s="123">
        <f t="shared" si="38"/>
        <v>0</v>
      </c>
      <c r="AP49" s="123"/>
      <c r="AQ49" s="123">
        <f t="shared" si="39"/>
        <v>0</v>
      </c>
      <c r="AR49" s="123">
        <f t="shared" si="40"/>
        <v>0</v>
      </c>
      <c r="AS49" s="123">
        <f t="shared" si="41"/>
        <v>0</v>
      </c>
      <c r="AW49" t="str">
        <f t="shared" si="73"/>
        <v>26100</v>
      </c>
      <c r="AX49" t="str">
        <f t="shared" si="74"/>
        <v>0.001-106103.317468765i</v>
      </c>
      <c r="AY49" t="str">
        <f t="shared" si="42"/>
        <v>24610.8135541252-6053.93165451755i</v>
      </c>
      <c r="AZ49">
        <f t="shared" si="75"/>
        <v>14.098264679744384</v>
      </c>
      <c r="BA49">
        <f t="shared" si="76"/>
        <v>-13.819621312146431</v>
      </c>
      <c r="BB49">
        <f t="shared" si="77"/>
        <v>-2.3827124629340206</v>
      </c>
      <c r="BC49">
        <f t="shared" si="78"/>
        <v>6.3062919957585972</v>
      </c>
      <c r="BD49" s="123">
        <f t="shared" si="43"/>
        <v>-2.3827099969935621</v>
      </c>
      <c r="BE49" s="123">
        <f t="shared" si="44"/>
        <v>6.2778139279904233</v>
      </c>
      <c r="BF49">
        <f t="shared" si="45"/>
        <v>53.012603674698717</v>
      </c>
      <c r="BG49">
        <f t="shared" si="46"/>
        <v>-100.01016646547274</v>
      </c>
      <c r="BH49" s="123">
        <f t="shared" si="47"/>
        <v>50.629893677705155</v>
      </c>
      <c r="BI49" s="123">
        <f t="shared" si="48"/>
        <v>-93.732352537482313</v>
      </c>
      <c r="BL49" s="123">
        <f t="shared" si="49"/>
        <v>0</v>
      </c>
      <c r="BM49" s="123">
        <f t="shared" si="50"/>
        <v>0</v>
      </c>
      <c r="BN49" s="123">
        <f t="shared" si="51"/>
        <v>0</v>
      </c>
      <c r="BO49" s="123">
        <f t="shared" si="52"/>
        <v>0</v>
      </c>
      <c r="BP49" s="123">
        <f t="shared" si="53"/>
        <v>0</v>
      </c>
      <c r="BQ49" s="123">
        <f t="shared" si="54"/>
        <v>0</v>
      </c>
      <c r="BR49" s="123">
        <f t="shared" si="55"/>
        <v>0</v>
      </c>
      <c r="BS49" s="123"/>
      <c r="BT49" s="123"/>
      <c r="BU49" s="123">
        <f t="shared" si="56"/>
        <v>0</v>
      </c>
      <c r="BV49" s="123">
        <f t="shared" si="57"/>
        <v>0</v>
      </c>
      <c r="BX49" s="123">
        <f t="shared" si="58"/>
        <v>0</v>
      </c>
      <c r="BY49" s="123"/>
    </row>
    <row r="50" spans="5:77" x14ac:dyDescent="0.25">
      <c r="E50">
        <v>39</v>
      </c>
      <c r="F50">
        <v>200</v>
      </c>
      <c r="G50" s="58">
        <f t="shared" si="59"/>
        <v>4.3838941106377799E-6</v>
      </c>
      <c r="H50" s="58">
        <f t="shared" si="60"/>
        <v>-3.7970766624642334E-2</v>
      </c>
      <c r="I50">
        <f t="shared" si="61"/>
        <v>31.792538741258262</v>
      </c>
      <c r="J50">
        <f t="shared" si="62"/>
        <v>-24.402567817638161</v>
      </c>
      <c r="K50" t="str">
        <f t="shared" si="63"/>
        <v>5286.34351902103-0.702345071729691i</v>
      </c>
      <c r="L50" t="str">
        <f t="shared" si="64"/>
        <v>1000000-795774881.01574i</v>
      </c>
      <c r="M50" t="str">
        <f t="shared" si="65"/>
        <v>149999.95913994-28.2742689518068i</v>
      </c>
      <c r="N50">
        <f t="shared" si="21"/>
        <v>-29.359555442764741</v>
      </c>
      <c r="O50">
        <f t="shared" si="66"/>
        <v>3.0791298850022164E-3</v>
      </c>
      <c r="P50" t="str">
        <f t="shared" si="67"/>
        <v>-16931380.4471434i</v>
      </c>
      <c r="Q50" t="str">
        <f t="shared" si="68"/>
        <v>5900-66314.5734179783i</v>
      </c>
      <c r="R50" t="str">
        <f t="shared" si="22"/>
        <v>5854.05273989568-66057.8866300832i</v>
      </c>
      <c r="S50" t="str">
        <f t="shared" si="69"/>
        <v>94058738.236205-23639534.3658365i</v>
      </c>
      <c r="T50" t="str">
        <f t="shared" si="23"/>
        <v>5895.38136849475-66039.2490930493i</v>
      </c>
      <c r="U50" t="str">
        <f t="shared" si="24"/>
        <v>0.999999000001-0.000999999000001i</v>
      </c>
      <c r="V50">
        <f t="shared" si="70"/>
        <v>36.430511185365866</v>
      </c>
      <c r="W50">
        <f t="shared" si="71"/>
        <v>-84.955991844823046</v>
      </c>
      <c r="X50">
        <f t="shared" si="25"/>
        <v>-4.3429426478763223E-6</v>
      </c>
      <c r="Y50">
        <f t="shared" si="72"/>
        <v>-5.7295772334547579E-2</v>
      </c>
      <c r="AA50" s="123">
        <f t="shared" si="26"/>
        <v>31.792543125152374</v>
      </c>
      <c r="AB50" s="123">
        <f t="shared" si="27"/>
        <v>-24.440538584262804</v>
      </c>
      <c r="AC50">
        <f t="shared" si="28"/>
        <v>7.0709557426011251</v>
      </c>
      <c r="AD50">
        <f t="shared" si="29"/>
        <v>-84.952912714938037</v>
      </c>
      <c r="AE50" s="123">
        <f t="shared" si="30"/>
        <v>38.863498867753499</v>
      </c>
      <c r="AF50" s="123">
        <f t="shared" si="31"/>
        <v>-109.39345129920085</v>
      </c>
      <c r="AI50" s="123">
        <f t="shared" si="32"/>
        <v>0</v>
      </c>
      <c r="AJ50" s="123">
        <f t="shared" si="33"/>
        <v>0</v>
      </c>
      <c r="AK50" s="123">
        <f t="shared" si="34"/>
        <v>0</v>
      </c>
      <c r="AL50" s="123">
        <f t="shared" si="35"/>
        <v>0</v>
      </c>
      <c r="AM50" s="123">
        <f t="shared" si="36"/>
        <v>0</v>
      </c>
      <c r="AN50" s="123">
        <f t="shared" si="37"/>
        <v>0</v>
      </c>
      <c r="AO50" s="123">
        <f t="shared" si="38"/>
        <v>0</v>
      </c>
      <c r="AP50" s="123"/>
      <c r="AQ50" s="123">
        <f t="shared" si="39"/>
        <v>0</v>
      </c>
      <c r="AR50" s="123">
        <f t="shared" si="40"/>
        <v>0</v>
      </c>
      <c r="AS50" s="123">
        <f t="shared" si="41"/>
        <v>0</v>
      </c>
      <c r="AW50" t="str">
        <f t="shared" si="73"/>
        <v>26100</v>
      </c>
      <c r="AX50" t="str">
        <f t="shared" si="74"/>
        <v>0.001-79577.488101574i</v>
      </c>
      <c r="AY50" t="str">
        <f t="shared" si="42"/>
        <v>23565.0523987917-7728.91781012816i</v>
      </c>
      <c r="AZ50">
        <f t="shared" si="75"/>
        <v>13.909689066617606</v>
      </c>
      <c r="BA50">
        <f t="shared" si="76"/>
        <v>-18.158573616716321</v>
      </c>
      <c r="BB50">
        <f t="shared" si="77"/>
        <v>-2.1505927487565533</v>
      </c>
      <c r="BC50">
        <f t="shared" si="78"/>
        <v>7.5785170295417181</v>
      </c>
      <c r="BD50" s="123">
        <f t="shared" si="43"/>
        <v>-2.1505883648624424</v>
      </c>
      <c r="BE50" s="123">
        <f t="shared" si="44"/>
        <v>7.5405462629170756</v>
      </c>
      <c r="BF50">
        <f t="shared" si="45"/>
        <v>50.340200251983475</v>
      </c>
      <c r="BG50">
        <f t="shared" si="46"/>
        <v>-103.11456546153937</v>
      </c>
      <c r="BH50" s="123">
        <f t="shared" si="47"/>
        <v>48.189611887121032</v>
      </c>
      <c r="BI50" s="123">
        <f t="shared" si="48"/>
        <v>-95.574019198622295</v>
      </c>
      <c r="BL50" s="123">
        <f t="shared" si="49"/>
        <v>0</v>
      </c>
      <c r="BM50" s="123">
        <f t="shared" si="50"/>
        <v>0</v>
      </c>
      <c r="BN50" s="123">
        <f t="shared" si="51"/>
        <v>0</v>
      </c>
      <c r="BO50" s="123">
        <f t="shared" si="52"/>
        <v>0</v>
      </c>
      <c r="BP50" s="123">
        <f t="shared" si="53"/>
        <v>0</v>
      </c>
      <c r="BQ50" s="123">
        <f t="shared" si="54"/>
        <v>0</v>
      </c>
      <c r="BR50" s="123">
        <f t="shared" si="55"/>
        <v>0</v>
      </c>
      <c r="BS50" s="123"/>
      <c r="BT50" s="123"/>
      <c r="BU50" s="123">
        <f t="shared" si="56"/>
        <v>0</v>
      </c>
      <c r="BV50" s="123">
        <f t="shared" si="57"/>
        <v>0</v>
      </c>
      <c r="BX50" s="123">
        <f t="shared" si="58"/>
        <v>0</v>
      </c>
      <c r="BY50" s="123"/>
    </row>
    <row r="51" spans="5:77" x14ac:dyDescent="0.25">
      <c r="E51">
        <v>40</v>
      </c>
      <c r="F51">
        <v>250</v>
      </c>
      <c r="G51" s="58">
        <f t="shared" si="59"/>
        <v>6.8498344624708977E-6</v>
      </c>
      <c r="H51" s="58">
        <f t="shared" si="60"/>
        <v>-4.746347371004133E-2</v>
      </c>
      <c r="I51">
        <f t="shared" si="61"/>
        <v>31.392151818106861</v>
      </c>
      <c r="J51">
        <f t="shared" si="62"/>
        <v>-29.548876387164768</v>
      </c>
      <c r="K51" t="str">
        <f t="shared" si="63"/>
        <v>5286.34346653206-0.877931330944989i</v>
      </c>
      <c r="L51" t="str">
        <f t="shared" si="64"/>
        <v>1000000-636619904.812592i</v>
      </c>
      <c r="M51" t="str">
        <f t="shared" si="65"/>
        <v>149999.936156231-35.3427946716332i</v>
      </c>
      <c r="N51">
        <f t="shared" si="21"/>
        <v>-29.359554282425663</v>
      </c>
      <c r="O51">
        <f t="shared" si="66"/>
        <v>3.848898960939122E-3</v>
      </c>
      <c r="P51" t="str">
        <f t="shared" si="67"/>
        <v>-13545104.3577147i</v>
      </c>
      <c r="Q51" t="str">
        <f t="shared" si="68"/>
        <v>5900-53051.6587343827i</v>
      </c>
      <c r="R51" t="str">
        <f t="shared" si="22"/>
        <v>5854.05234315837-52847.2236931695i</v>
      </c>
      <c r="S51" t="str">
        <f t="shared" si="69"/>
        <v>91016987.1665936-28593823.8746673i</v>
      </c>
      <c r="T51" t="str">
        <f t="shared" si="23"/>
        <v>5879.68076636603-52832.3602828467i</v>
      </c>
      <c r="U51" t="str">
        <f t="shared" si="24"/>
        <v>0.999998437502441-0.00124999804687805i</v>
      </c>
      <c r="V51">
        <f t="shared" si="70"/>
        <v>34.511451897879709</v>
      </c>
      <c r="W51">
        <f t="shared" si="71"/>
        <v>-83.721355906131322</v>
      </c>
      <c r="X51">
        <f t="shared" si="25"/>
        <v>-6.7858459807662682E-6</v>
      </c>
      <c r="Y51">
        <f t="shared" si="72"/>
        <v>-7.1619701989503917E-2</v>
      </c>
      <c r="AA51" s="123">
        <f t="shared" si="26"/>
        <v>31.392158667941324</v>
      </c>
      <c r="AB51" s="123">
        <f t="shared" si="27"/>
        <v>-29.59633986087481</v>
      </c>
      <c r="AC51">
        <f t="shared" si="28"/>
        <v>5.1518976154540468</v>
      </c>
      <c r="AD51">
        <f t="shared" si="29"/>
        <v>-83.717507007170383</v>
      </c>
      <c r="AE51" s="123">
        <f t="shared" si="30"/>
        <v>36.544056283395371</v>
      </c>
      <c r="AF51" s="123">
        <f t="shared" si="31"/>
        <v>-113.31384686804519</v>
      </c>
      <c r="AI51" s="123">
        <f t="shared" si="32"/>
        <v>0</v>
      </c>
      <c r="AJ51" s="123">
        <f t="shared" si="33"/>
        <v>0</v>
      </c>
      <c r="AK51" s="123">
        <f t="shared" si="34"/>
        <v>0</v>
      </c>
      <c r="AL51" s="123">
        <f t="shared" si="35"/>
        <v>0</v>
      </c>
      <c r="AM51" s="123">
        <f t="shared" si="36"/>
        <v>0</v>
      </c>
      <c r="AN51" s="123">
        <f t="shared" si="37"/>
        <v>0</v>
      </c>
      <c r="AO51" s="123">
        <f t="shared" si="38"/>
        <v>0</v>
      </c>
      <c r="AP51" s="123"/>
      <c r="AQ51" s="123">
        <f t="shared" si="39"/>
        <v>0</v>
      </c>
      <c r="AR51" s="123">
        <f t="shared" si="40"/>
        <v>0</v>
      </c>
      <c r="AS51" s="123">
        <f t="shared" si="41"/>
        <v>0</v>
      </c>
      <c r="AW51" t="str">
        <f t="shared" si="73"/>
        <v>26100</v>
      </c>
      <c r="AX51" t="str">
        <f t="shared" si="74"/>
        <v>0.001-63661.9904812592i</v>
      </c>
      <c r="AY51" t="str">
        <f t="shared" si="42"/>
        <v>22344.3261976991-9160.6766548707i</v>
      </c>
      <c r="AZ51">
        <f t="shared" si="75"/>
        <v>13.67867758735426</v>
      </c>
      <c r="BA51">
        <f t="shared" si="76"/>
        <v>-22.29254258226516</v>
      </c>
      <c r="BB51">
        <f t="shared" si="77"/>
        <v>-1.9121554453591918</v>
      </c>
      <c r="BC51">
        <f t="shared" si="78"/>
        <v>8.4106000310454991</v>
      </c>
      <c r="BD51" s="123">
        <f t="shared" si="43"/>
        <v>-1.9121485955247293</v>
      </c>
      <c r="BE51" s="123">
        <f t="shared" si="44"/>
        <v>8.3631365573354586</v>
      </c>
      <c r="BF51">
        <f t="shared" si="45"/>
        <v>48.190129485233967</v>
      </c>
      <c r="BG51">
        <f t="shared" si="46"/>
        <v>-106.01389848839648</v>
      </c>
      <c r="BH51" s="123">
        <f t="shared" si="47"/>
        <v>46.277980889709241</v>
      </c>
      <c r="BI51" s="123">
        <f t="shared" si="48"/>
        <v>-97.650761931061027</v>
      </c>
      <c r="BL51" s="123">
        <f t="shared" si="49"/>
        <v>0</v>
      </c>
      <c r="BM51" s="123">
        <f t="shared" si="50"/>
        <v>0</v>
      </c>
      <c r="BN51" s="123">
        <f t="shared" si="51"/>
        <v>0</v>
      </c>
      <c r="BO51" s="123">
        <f t="shared" si="52"/>
        <v>0</v>
      </c>
      <c r="BP51" s="123">
        <f t="shared" si="53"/>
        <v>0</v>
      </c>
      <c r="BQ51" s="123">
        <f t="shared" si="54"/>
        <v>0</v>
      </c>
      <c r="BR51" s="123">
        <f t="shared" si="55"/>
        <v>0</v>
      </c>
      <c r="BS51" s="123"/>
      <c r="BT51" s="123"/>
      <c r="BU51" s="123">
        <f t="shared" si="56"/>
        <v>0</v>
      </c>
      <c r="BV51" s="123">
        <f t="shared" si="57"/>
        <v>0</v>
      </c>
      <c r="BX51" s="123">
        <f t="shared" si="58"/>
        <v>0</v>
      </c>
      <c r="BY51" s="123"/>
    </row>
    <row r="52" spans="5:77" x14ac:dyDescent="0.25">
      <c r="E52">
        <v>41</v>
      </c>
      <c r="F52">
        <v>300</v>
      </c>
      <c r="G52" s="58">
        <f t="shared" si="59"/>
        <v>9.8637615738211389E-6</v>
      </c>
      <c r="H52" s="58">
        <f t="shared" si="60"/>
        <v>-5.6956191081610839E-2</v>
      </c>
      <c r="I52">
        <f t="shared" si="61"/>
        <v>30.948160122261676</v>
      </c>
      <c r="J52">
        <f t="shared" si="62"/>
        <v>-34.215548989644034</v>
      </c>
      <c r="K52" t="str">
        <f t="shared" si="63"/>
        <v>5286.34340237886-1.05351758434887i</v>
      </c>
      <c r="L52" t="str">
        <f t="shared" si="64"/>
        <v>1000000-530516587.343826i</v>
      </c>
      <c r="M52" t="str">
        <f t="shared" si="65"/>
        <v>149999.908065105-42.4112927128684i</v>
      </c>
      <c r="N52">
        <f t="shared" si="21"/>
        <v>-29.359552864236868</v>
      </c>
      <c r="O52">
        <f t="shared" si="66"/>
        <v>4.6186591067122734E-3</v>
      </c>
      <c r="P52" t="str">
        <f t="shared" si="67"/>
        <v>-11287586.9647623i</v>
      </c>
      <c r="Q52" t="str">
        <f t="shared" si="68"/>
        <v>5900-44209.7156119855i</v>
      </c>
      <c r="R52" t="str">
        <f t="shared" si="22"/>
        <v>5854.05185825731-44040.2843997352i</v>
      </c>
      <c r="S52" t="str">
        <f t="shared" si="69"/>
        <v>87556301.8795051-33007941.3041086i</v>
      </c>
      <c r="T52" t="str">
        <f t="shared" si="23"/>
        <v>5871.15174959715-44027.9410134893i</v>
      </c>
      <c r="U52" t="str">
        <f t="shared" si="24"/>
        <v>0.999997750005062-0.00149999662500759i</v>
      </c>
      <c r="V52">
        <f t="shared" si="70"/>
        <v>32.951107023057034</v>
      </c>
      <c r="W52">
        <f t="shared" si="71"/>
        <v>-82.490346142247262</v>
      </c>
      <c r="X52">
        <f t="shared" si="25"/>
        <v>-9.7716148536074405E-6</v>
      </c>
      <c r="Y52">
        <f t="shared" si="72"/>
        <v>-8.5943622692021368E-2</v>
      </c>
      <c r="AA52" s="123">
        <f t="shared" si="26"/>
        <v>30.948169986023249</v>
      </c>
      <c r="AB52" s="123">
        <f t="shared" si="27"/>
        <v>-34.272505180725645</v>
      </c>
      <c r="AC52">
        <f t="shared" si="28"/>
        <v>3.5915541588201663</v>
      </c>
      <c r="AD52">
        <f t="shared" si="29"/>
        <v>-82.48572748314055</v>
      </c>
      <c r="AE52" s="123">
        <f t="shared" si="30"/>
        <v>34.539724144843419</v>
      </c>
      <c r="AF52" s="123">
        <f t="shared" si="31"/>
        <v>-116.7582326638662</v>
      </c>
      <c r="AI52" s="123">
        <f t="shared" si="32"/>
        <v>0</v>
      </c>
      <c r="AJ52" s="123">
        <f t="shared" si="33"/>
        <v>0</v>
      </c>
      <c r="AK52" s="123">
        <f t="shared" si="34"/>
        <v>0</v>
      </c>
      <c r="AL52" s="123">
        <f t="shared" si="35"/>
        <v>0</v>
      </c>
      <c r="AM52" s="123">
        <f t="shared" si="36"/>
        <v>0</v>
      </c>
      <c r="AN52" s="123">
        <f t="shared" si="37"/>
        <v>0</v>
      </c>
      <c r="AO52" s="123">
        <f t="shared" si="38"/>
        <v>0</v>
      </c>
      <c r="AP52" s="123"/>
      <c r="AQ52" s="123">
        <f t="shared" si="39"/>
        <v>0</v>
      </c>
      <c r="AR52" s="123">
        <f t="shared" si="40"/>
        <v>0</v>
      </c>
      <c r="AS52" s="123">
        <f t="shared" si="41"/>
        <v>0</v>
      </c>
      <c r="AW52" t="str">
        <f t="shared" si="73"/>
        <v>26100</v>
      </c>
      <c r="AX52" t="str">
        <f t="shared" si="74"/>
        <v>0.001-53051.6587343827i</v>
      </c>
      <c r="AY52" t="str">
        <f t="shared" si="42"/>
        <v>21013.8541824186-10338.2552432714i</v>
      </c>
      <c r="AZ52">
        <f t="shared" si="75"/>
        <v>13.412062089508012</v>
      </c>
      <c r="BA52">
        <f t="shared" si="76"/>
        <v>-26.195959959637893</v>
      </c>
      <c r="BB52">
        <f t="shared" si="77"/>
        <v>-1.6847512829837776</v>
      </c>
      <c r="BC52">
        <f t="shared" si="78"/>
        <v>8.8800943918062032</v>
      </c>
      <c r="BD52" s="123">
        <f t="shared" si="43"/>
        <v>-1.6847414192222039</v>
      </c>
      <c r="BE52" s="123">
        <f t="shared" si="44"/>
        <v>8.8231382007245927</v>
      </c>
      <c r="BF52">
        <f t="shared" si="45"/>
        <v>46.363169112565046</v>
      </c>
      <c r="BG52">
        <f t="shared" si="46"/>
        <v>-108.68630610188515</v>
      </c>
      <c r="BH52" s="123">
        <f t="shared" si="47"/>
        <v>44.67842769334284</v>
      </c>
      <c r="BI52" s="123">
        <f t="shared" si="48"/>
        <v>-99.863167901160551</v>
      </c>
      <c r="BL52" s="123">
        <f t="shared" si="49"/>
        <v>0</v>
      </c>
      <c r="BM52" s="123">
        <f t="shared" si="50"/>
        <v>0</v>
      </c>
      <c r="BN52" s="123">
        <f t="shared" si="51"/>
        <v>0</v>
      </c>
      <c r="BO52" s="123">
        <f t="shared" si="52"/>
        <v>0</v>
      </c>
      <c r="BP52" s="123">
        <f t="shared" si="53"/>
        <v>0</v>
      </c>
      <c r="BQ52" s="123">
        <f t="shared" si="54"/>
        <v>0</v>
      </c>
      <c r="BR52" s="123">
        <f t="shared" si="55"/>
        <v>0</v>
      </c>
      <c r="BS52" s="123"/>
      <c r="BT52" s="123"/>
      <c r="BU52" s="123">
        <f t="shared" si="56"/>
        <v>0</v>
      </c>
      <c r="BV52" s="123">
        <f t="shared" si="57"/>
        <v>0</v>
      </c>
      <c r="BX52" s="123">
        <f t="shared" si="58"/>
        <v>0</v>
      </c>
      <c r="BY52" s="123"/>
    </row>
    <row r="53" spans="5:77" x14ac:dyDescent="0.25">
      <c r="E53">
        <v>42</v>
      </c>
      <c r="F53">
        <v>350</v>
      </c>
      <c r="G53" s="58">
        <f t="shared" si="59"/>
        <v>1.3425675340982506E-5</v>
      </c>
      <c r="H53" s="58">
        <f t="shared" si="60"/>
        <v>-6.6448920796597075E-2</v>
      </c>
      <c r="I53">
        <f t="shared" si="61"/>
        <v>30.475997209565435</v>
      </c>
      <c r="J53">
        <f t="shared" si="62"/>
        <v>-38.412257084176858</v>
      </c>
      <c r="K53" t="str">
        <f t="shared" si="63"/>
        <v>5286.34332656141-1.22910383077904i</v>
      </c>
      <c r="L53" t="str">
        <f t="shared" si="64"/>
        <v>1000000-454728503.437566i</v>
      </c>
      <c r="M53" t="str">
        <f t="shared" si="65"/>
        <v>149999.874866606-49.4797575399529i</v>
      </c>
      <c r="N53">
        <f t="shared" si="21"/>
        <v>-29.359551188200413</v>
      </c>
      <c r="O53">
        <f t="shared" si="66"/>
        <v>5.3884085363344793E-3</v>
      </c>
      <c r="P53" t="str">
        <f t="shared" si="67"/>
        <v>-9675074.5412248i</v>
      </c>
      <c r="Q53" t="str">
        <f t="shared" si="68"/>
        <v>5900-37894.0419531305i</v>
      </c>
      <c r="R53" t="str">
        <f t="shared" si="22"/>
        <v>5854.05128519251-37749.7586167888i</v>
      </c>
      <c r="S53" t="str">
        <f t="shared" si="69"/>
        <v>83791100.4704235-36853243.127271i</v>
      </c>
      <c r="T53" t="str">
        <f t="shared" si="23"/>
        <v>5866.00871596156-37739.2200531338i</v>
      </c>
      <c r="U53" t="str">
        <f t="shared" si="24"/>
        <v>0.999996937509379-0.00174999464064141i</v>
      </c>
      <c r="V53">
        <f t="shared" si="70"/>
        <v>31.639523829698931</v>
      </c>
      <c r="W53">
        <f t="shared" si="71"/>
        <v>-81.265194774240882</v>
      </c>
      <c r="X53">
        <f t="shared" si="25"/>
        <v>-1.3300248140581823E-5</v>
      </c>
      <c r="Y53">
        <f t="shared" si="72"/>
        <v>-0.10026753265162704</v>
      </c>
      <c r="AA53" s="123">
        <f t="shared" si="26"/>
        <v>30.476010635240776</v>
      </c>
      <c r="AB53" s="123">
        <f t="shared" si="27"/>
        <v>-38.478706004973454</v>
      </c>
      <c r="AC53">
        <f t="shared" si="28"/>
        <v>2.2799726414985173</v>
      </c>
      <c r="AD53">
        <f t="shared" si="29"/>
        <v>-81.259806365704549</v>
      </c>
      <c r="AE53" s="123">
        <f t="shared" si="30"/>
        <v>32.755983276739293</v>
      </c>
      <c r="AF53" s="123">
        <f t="shared" si="31"/>
        <v>-119.738512370678</v>
      </c>
      <c r="AI53" s="123">
        <f t="shared" si="32"/>
        <v>0</v>
      </c>
      <c r="AJ53" s="123">
        <f t="shared" si="33"/>
        <v>0</v>
      </c>
      <c r="AK53" s="123">
        <f t="shared" si="34"/>
        <v>0</v>
      </c>
      <c r="AL53" s="123">
        <f t="shared" si="35"/>
        <v>0</v>
      </c>
      <c r="AM53" s="123">
        <f t="shared" si="36"/>
        <v>0</v>
      </c>
      <c r="AN53" s="123">
        <f t="shared" si="37"/>
        <v>0</v>
      </c>
      <c r="AO53" s="123">
        <f t="shared" si="38"/>
        <v>0</v>
      </c>
      <c r="AP53" s="123"/>
      <c r="AQ53" s="123">
        <f t="shared" si="39"/>
        <v>0</v>
      </c>
      <c r="AR53" s="123">
        <f t="shared" si="40"/>
        <v>0</v>
      </c>
      <c r="AS53" s="123">
        <f t="shared" si="41"/>
        <v>0</v>
      </c>
      <c r="AW53" t="str">
        <f t="shared" si="73"/>
        <v>26100</v>
      </c>
      <c r="AX53" t="str">
        <f t="shared" si="74"/>
        <v>0.001-45472.8503437566i</v>
      </c>
      <c r="AY53" t="str">
        <f t="shared" si="42"/>
        <v>19632.3225701379-11268.341631091i</v>
      </c>
      <c r="AZ53">
        <f t="shared" si="75"/>
        <v>13.116721743294315</v>
      </c>
      <c r="BA53">
        <f t="shared" si="76"/>
        <v>-29.854487719141385</v>
      </c>
      <c r="BB53">
        <f t="shared" si="77"/>
        <v>-1.4777278180927198</v>
      </c>
      <c r="BC53">
        <f t="shared" si="78"/>
        <v>9.0755676138437185</v>
      </c>
      <c r="BD53" s="123">
        <f t="shared" si="43"/>
        <v>-1.4777143924173788</v>
      </c>
      <c r="BE53" s="123">
        <f t="shared" si="44"/>
        <v>9.009118693047121</v>
      </c>
      <c r="BF53">
        <f t="shared" si="45"/>
        <v>44.756245572993244</v>
      </c>
      <c r="BG53">
        <f t="shared" si="46"/>
        <v>-111.11968249338227</v>
      </c>
      <c r="BH53" s="123">
        <f t="shared" si="47"/>
        <v>43.278531180575868</v>
      </c>
      <c r="BI53" s="123">
        <f t="shared" si="48"/>
        <v>-102.11056380033514</v>
      </c>
      <c r="BL53" s="123">
        <f t="shared" si="49"/>
        <v>0</v>
      </c>
      <c r="BM53" s="123">
        <f t="shared" si="50"/>
        <v>0</v>
      </c>
      <c r="BN53" s="123">
        <f t="shared" si="51"/>
        <v>0</v>
      </c>
      <c r="BO53" s="123">
        <f t="shared" si="52"/>
        <v>0</v>
      </c>
      <c r="BP53" s="123">
        <f t="shared" si="53"/>
        <v>0</v>
      </c>
      <c r="BQ53" s="123">
        <f t="shared" si="54"/>
        <v>0</v>
      </c>
      <c r="BR53" s="123">
        <f t="shared" si="55"/>
        <v>0</v>
      </c>
      <c r="BS53" s="123"/>
      <c r="BT53" s="123"/>
      <c r="BU53" s="123">
        <f t="shared" si="56"/>
        <v>0</v>
      </c>
      <c r="BV53" s="123">
        <f t="shared" si="57"/>
        <v>0</v>
      </c>
      <c r="BX53" s="123">
        <f t="shared" si="58"/>
        <v>0</v>
      </c>
      <c r="BY53" s="123"/>
    </row>
    <row r="54" spans="5:77" x14ac:dyDescent="0.25">
      <c r="E54">
        <v>43</v>
      </c>
      <c r="F54">
        <v>400</v>
      </c>
      <c r="G54" s="58">
        <f t="shared" si="59"/>
        <v>1.7535575672251565E-5</v>
      </c>
      <c r="H54" s="58">
        <f t="shared" si="60"/>
        <v>-7.5941664912254375E-2</v>
      </c>
      <c r="I54">
        <f t="shared" si="61"/>
        <v>29.988214113338557</v>
      </c>
      <c r="J54">
        <f t="shared" si="62"/>
        <v>-42.167186252512565</v>
      </c>
      <c r="K54" t="str">
        <f t="shared" si="63"/>
        <v>5286.34323907977-1.40469006907323i</v>
      </c>
      <c r="L54" t="str">
        <f t="shared" si="64"/>
        <v>1000000-397887440.50787i</v>
      </c>
      <c r="M54" t="str">
        <f t="shared" si="65"/>
        <v>149999.836560784-56.5481836174144i</v>
      </c>
      <c r="N54">
        <f t="shared" si="21"/>
        <v>-29.359549254318566</v>
      </c>
      <c r="O54">
        <f t="shared" si="66"/>
        <v>6.1581454638434526E-3</v>
      </c>
      <c r="P54" t="str">
        <f t="shared" si="67"/>
        <v>-8465690.2235717i</v>
      </c>
      <c r="Q54" t="str">
        <f t="shared" si="68"/>
        <v>5900-33157.2867089892i</v>
      </c>
      <c r="R54" t="str">
        <f t="shared" si="22"/>
        <v>5854.05062396403-33031.9912778225i</v>
      </c>
      <c r="S54" t="str">
        <f t="shared" si="69"/>
        <v>79830008.8590708-40126930.7506537i</v>
      </c>
      <c r="T54" t="str">
        <f t="shared" si="23"/>
        <v>5862.6703748723-33022.8110579699i</v>
      </c>
      <c r="U54" t="str">
        <f t="shared" si="24"/>
        <v>0.999996000016-0.001999992000032i</v>
      </c>
      <c r="V54">
        <f t="shared" si="70"/>
        <v>30.511032820904877</v>
      </c>
      <c r="W54">
        <f t="shared" si="71"/>
        <v>-80.047552456163103</v>
      </c>
      <c r="X54">
        <f t="shared" si="25"/>
        <v>-1.7371744533178545E-5</v>
      </c>
      <c r="Y54">
        <f t="shared" si="72"/>
        <v>-0.11459143007785606</v>
      </c>
      <c r="AA54" s="123">
        <f t="shared" si="26"/>
        <v>29.98823164891423</v>
      </c>
      <c r="AB54" s="123">
        <f t="shared" si="27"/>
        <v>-42.243127917424822</v>
      </c>
      <c r="AC54">
        <f t="shared" si="28"/>
        <v>1.151483566586311</v>
      </c>
      <c r="AD54">
        <f t="shared" si="29"/>
        <v>-80.04139431069926</v>
      </c>
      <c r="AE54" s="123">
        <f t="shared" si="30"/>
        <v>31.139715215500541</v>
      </c>
      <c r="AF54" s="123">
        <f t="shared" si="31"/>
        <v>-122.28452222812408</v>
      </c>
      <c r="AI54" s="123">
        <f t="shared" si="32"/>
        <v>0</v>
      </c>
      <c r="AJ54" s="123">
        <f t="shared" si="33"/>
        <v>0</v>
      </c>
      <c r="AK54" s="123">
        <f t="shared" si="34"/>
        <v>0</v>
      </c>
      <c r="AL54" s="123">
        <f t="shared" si="35"/>
        <v>0</v>
      </c>
      <c r="AM54" s="123">
        <f t="shared" si="36"/>
        <v>441.01677775608169</v>
      </c>
      <c r="AN54" s="123">
        <f t="shared" si="37"/>
        <v>29.924363075503937</v>
      </c>
      <c r="AO54" s="123">
        <f t="shared" si="38"/>
        <v>0</v>
      </c>
      <c r="AP54" s="123"/>
      <c r="AQ54" s="123">
        <f t="shared" si="39"/>
        <v>0</v>
      </c>
      <c r="AR54" s="123">
        <f t="shared" si="40"/>
        <v>0</v>
      </c>
      <c r="AS54" s="123">
        <f t="shared" si="41"/>
        <v>0</v>
      </c>
      <c r="AW54" t="str">
        <f t="shared" si="73"/>
        <v>26100</v>
      </c>
      <c r="AX54" t="str">
        <f t="shared" si="74"/>
        <v>0.001-39788.744050787i</v>
      </c>
      <c r="AY54" t="str">
        <f t="shared" si="42"/>
        <v>18248.056324718-11970.0752960504i</v>
      </c>
      <c r="AZ54">
        <f t="shared" si="75"/>
        <v>12.799171042767579</v>
      </c>
      <c r="BA54">
        <f t="shared" si="76"/>
        <v>-33.263455540367964</v>
      </c>
      <c r="BB54">
        <f t="shared" si="77"/>
        <v>-1.2946336114798618</v>
      </c>
      <c r="BC54">
        <f t="shared" si="78"/>
        <v>9.0767942911161192</v>
      </c>
      <c r="BD54" s="123">
        <f t="shared" si="43"/>
        <v>-1.2946160759041896</v>
      </c>
      <c r="BE54" s="123">
        <f t="shared" si="44"/>
        <v>9.0008526262038657</v>
      </c>
      <c r="BF54">
        <f t="shared" si="45"/>
        <v>43.310203863672456</v>
      </c>
      <c r="BG54">
        <f t="shared" si="46"/>
        <v>-113.31100799653106</v>
      </c>
      <c r="BH54" s="123">
        <f t="shared" si="47"/>
        <v>42.015587787768268</v>
      </c>
      <c r="BI54" s="123">
        <f t="shared" si="48"/>
        <v>-104.31015537032719</v>
      </c>
      <c r="BL54" s="123">
        <f t="shared" si="49"/>
        <v>0</v>
      </c>
      <c r="BM54" s="123">
        <f t="shared" si="50"/>
        <v>0</v>
      </c>
      <c r="BN54" s="123">
        <f t="shared" si="51"/>
        <v>0</v>
      </c>
      <c r="BO54" s="123">
        <f t="shared" si="52"/>
        <v>0</v>
      </c>
      <c r="BP54" s="123">
        <f t="shared" si="53"/>
        <v>0</v>
      </c>
      <c r="BQ54" s="123">
        <f t="shared" si="54"/>
        <v>0</v>
      </c>
      <c r="BR54" s="123">
        <f t="shared" si="55"/>
        <v>0</v>
      </c>
      <c r="BS54" s="123"/>
      <c r="BT54" s="123"/>
      <c r="BU54" s="123">
        <f t="shared" si="56"/>
        <v>0</v>
      </c>
      <c r="BV54" s="123">
        <f t="shared" si="57"/>
        <v>0</v>
      </c>
      <c r="BX54" s="123">
        <f t="shared" si="58"/>
        <v>0</v>
      </c>
      <c r="BY54" s="123"/>
    </row>
    <row r="55" spans="5:77" x14ac:dyDescent="0.25">
      <c r="E55">
        <v>44</v>
      </c>
      <c r="F55">
        <v>450</v>
      </c>
      <c r="G55" s="58">
        <f t="shared" si="59"/>
        <v>2.2193462667291705E-5</v>
      </c>
      <c r="H55" s="58">
        <f t="shared" si="60"/>
        <v>-8.5434425485839557E-2</v>
      </c>
      <c r="I55">
        <f t="shared" si="61"/>
        <v>29.494471113581287</v>
      </c>
      <c r="J55">
        <f t="shared" si="62"/>
        <v>-45.518357387783908</v>
      </c>
      <c r="K55" t="str">
        <f t="shared" si="63"/>
        <v>5286.34313993392-1.58027629806916i</v>
      </c>
      <c r="L55" t="str">
        <f t="shared" si="64"/>
        <v>1000000-353677724.895884i</v>
      </c>
      <c r="M55" t="str">
        <f t="shared" si="65"/>
        <v>149999.793147702-63.6165654098814i</v>
      </c>
      <c r="N55">
        <f t="shared" si="21"/>
        <v>-29.359547062594199</v>
      </c>
      <c r="O55">
        <f t="shared" si="66"/>
        <v>6.9278681033054712E-3</v>
      </c>
      <c r="P55" t="str">
        <f t="shared" si="67"/>
        <v>-7525057.97650818i</v>
      </c>
      <c r="Q55" t="str">
        <f t="shared" si="68"/>
        <v>5900-29473.1437413237i</v>
      </c>
      <c r="R55" t="str">
        <f t="shared" si="22"/>
        <v>5854.04987457195-29362.7295680998i</v>
      </c>
      <c r="S55" t="str">
        <f t="shared" si="69"/>
        <v>75770488.3379985-42847192.7997749i</v>
      </c>
      <c r="T55" t="str">
        <f t="shared" si="23"/>
        <v>5860.38129756482-29354.6102612444i</v>
      </c>
      <c r="U55" t="str">
        <f t="shared" si="24"/>
        <v>0.999994937525629-0.00224998860943266i</v>
      </c>
      <c r="V55">
        <f t="shared" si="70"/>
        <v>29.52323847732935</v>
      </c>
      <c r="W55">
        <f t="shared" si="71"/>
        <v>-78.838783239380803</v>
      </c>
      <c r="X55">
        <f t="shared" si="25"/>
        <v>-2.1986102492940332E-5</v>
      </c>
      <c r="Y55">
        <f t="shared" si="72"/>
        <v>-0.12891531318025223</v>
      </c>
      <c r="AA55" s="123">
        <f t="shared" si="26"/>
        <v>29.494493307043953</v>
      </c>
      <c r="AB55" s="123">
        <f t="shared" si="27"/>
        <v>-45.603791813269744</v>
      </c>
      <c r="AC55">
        <f t="shared" si="28"/>
        <v>0.16369141473515114</v>
      </c>
      <c r="AD55">
        <f t="shared" si="29"/>
        <v>-78.831855371277499</v>
      </c>
      <c r="AE55" s="123">
        <f t="shared" si="30"/>
        <v>29.658184721779104</v>
      </c>
      <c r="AF55" s="123">
        <f t="shared" si="31"/>
        <v>-124.43564718454724</v>
      </c>
      <c r="AI55" s="123">
        <f t="shared" si="32"/>
        <v>0</v>
      </c>
      <c r="AJ55" s="123">
        <f t="shared" si="33"/>
        <v>0</v>
      </c>
      <c r="AK55" s="123">
        <f t="shared" si="34"/>
        <v>0</v>
      </c>
      <c r="AL55" s="123">
        <f t="shared" si="35"/>
        <v>0</v>
      </c>
      <c r="AM55" s="123">
        <f t="shared" si="36"/>
        <v>0</v>
      </c>
      <c r="AN55" s="123">
        <f t="shared" si="37"/>
        <v>0</v>
      </c>
      <c r="AO55" s="123">
        <f t="shared" si="38"/>
        <v>0</v>
      </c>
      <c r="AP55" s="123"/>
      <c r="AQ55" s="123">
        <f t="shared" si="39"/>
        <v>0</v>
      </c>
      <c r="AR55" s="123">
        <f t="shared" si="40"/>
        <v>0</v>
      </c>
      <c r="AS55" s="123">
        <f t="shared" si="41"/>
        <v>0</v>
      </c>
      <c r="AW55" t="str">
        <f t="shared" si="73"/>
        <v>26100</v>
      </c>
      <c r="AX55" t="str">
        <f t="shared" si="74"/>
        <v>0.001-35367.7724895884i</v>
      </c>
      <c r="AY55" t="str">
        <f t="shared" si="42"/>
        <v>16897.7437084663-12469.8580245206i</v>
      </c>
      <c r="AZ55">
        <f t="shared" si="75"/>
        <v>12.465292083968862</v>
      </c>
      <c r="BA55">
        <f t="shared" si="76"/>
        <v>-36.425847392550473</v>
      </c>
      <c r="BB55">
        <f t="shared" si="77"/>
        <v>-1.1354954409557869</v>
      </c>
      <c r="BC55">
        <f t="shared" si="78"/>
        <v>8.9474961070708918</v>
      </c>
      <c r="BD55" s="123">
        <f t="shared" si="43"/>
        <v>-1.1354732474931197</v>
      </c>
      <c r="BE55" s="123">
        <f t="shared" si="44"/>
        <v>8.8620616815850521</v>
      </c>
      <c r="BF55">
        <f t="shared" si="45"/>
        <v>41.988530561298212</v>
      </c>
      <c r="BG55">
        <f t="shared" si="46"/>
        <v>-115.26463063193128</v>
      </c>
      <c r="BH55" s="123">
        <f t="shared" si="47"/>
        <v>40.853057313805095</v>
      </c>
      <c r="BI55" s="123">
        <f t="shared" si="48"/>
        <v>-106.40256895034624</v>
      </c>
      <c r="BL55" s="123">
        <f t="shared" si="49"/>
        <v>0</v>
      </c>
      <c r="BM55" s="123">
        <f t="shared" si="50"/>
        <v>0</v>
      </c>
      <c r="BN55" s="123">
        <f t="shared" si="51"/>
        <v>0</v>
      </c>
      <c r="BO55" s="123">
        <f t="shared" si="52"/>
        <v>0</v>
      </c>
      <c r="BP55" s="123">
        <f t="shared" si="53"/>
        <v>0</v>
      </c>
      <c r="BQ55" s="123">
        <f t="shared" si="54"/>
        <v>0</v>
      </c>
      <c r="BR55" s="123">
        <f t="shared" si="55"/>
        <v>0</v>
      </c>
      <c r="BS55" s="123"/>
      <c r="BT55" s="123"/>
      <c r="BU55" s="123">
        <f t="shared" si="56"/>
        <v>0</v>
      </c>
      <c r="BV55" s="123">
        <f t="shared" si="57"/>
        <v>0</v>
      </c>
      <c r="BX55" s="123">
        <f t="shared" si="58"/>
        <v>0</v>
      </c>
      <c r="BY55" s="123"/>
    </row>
    <row r="56" spans="5:77" x14ac:dyDescent="0.25">
      <c r="E56">
        <v>45</v>
      </c>
      <c r="F56">
        <v>500</v>
      </c>
      <c r="G56" s="58">
        <f t="shared" si="59"/>
        <v>2.7399336084825307E-5</v>
      </c>
      <c r="H56" s="58">
        <f t="shared" si="60"/>
        <v>-9.4927204574626292E-2</v>
      </c>
      <c r="I56">
        <f t="shared" si="61"/>
        <v>29.001878168149066</v>
      </c>
      <c r="J56">
        <f t="shared" si="62"/>
        <v>-48.507387064087503</v>
      </c>
      <c r="K56" t="str">
        <f t="shared" si="63"/>
        <v>5286.34302912385-1.75586251660454i</v>
      </c>
      <c r="L56" t="str">
        <f t="shared" si="64"/>
        <v>1000000-318309952.406296i</v>
      </c>
      <c r="M56" t="str">
        <f t="shared" si="65"/>
        <v>149999.744627426-70.6848973820979i</v>
      </c>
      <c r="N56">
        <f t="shared" si="21"/>
        <v>-29.359544613030394</v>
      </c>
      <c r="O56">
        <f t="shared" si="66"/>
        <v>7.6975746688201247E-3</v>
      </c>
      <c r="P56" t="str">
        <f t="shared" si="67"/>
        <v>-6772552.17885736i</v>
      </c>
      <c r="Q56" t="str">
        <f t="shared" si="68"/>
        <v>5900-26525.8293671913i</v>
      </c>
      <c r="R56" t="str">
        <f t="shared" si="22"/>
        <v>5854.0490370163-26427.4217987696i</v>
      </c>
      <c r="S56" t="str">
        <f t="shared" si="69"/>
        <v>71695688.4761569-45047720.2702373i</v>
      </c>
      <c r="T56" t="str">
        <f t="shared" si="23"/>
        <v>5858.74360651551-26420.1553084422i</v>
      </c>
      <c r="U56" t="str">
        <f t="shared" si="24"/>
        <v>0.999993750039062-0.00249998437509766i</v>
      </c>
      <c r="V56">
        <f t="shared" si="70"/>
        <v>28.64715665074851</v>
      </c>
      <c r="W56">
        <f t="shared" si="71"/>
        <v>-77.640079968679302</v>
      </c>
      <c r="X56">
        <f t="shared" si="25"/>
        <v>-2.7143320298713954E-5</v>
      </c>
      <c r="Y56">
        <f t="shared" si="72"/>
        <v>-0.14323918016837212</v>
      </c>
      <c r="AA56" s="123">
        <f t="shared" si="26"/>
        <v>29.001905567485149</v>
      </c>
      <c r="AB56" s="123">
        <f t="shared" si="27"/>
        <v>-48.602314268662127</v>
      </c>
      <c r="AC56">
        <f t="shared" si="28"/>
        <v>-0.71238796228188406</v>
      </c>
      <c r="AD56">
        <f t="shared" si="29"/>
        <v>-77.632382394010477</v>
      </c>
      <c r="AE56" s="123">
        <f t="shared" si="30"/>
        <v>28.289517605203265</v>
      </c>
      <c r="AF56" s="123">
        <f t="shared" si="31"/>
        <v>-126.2346966626726</v>
      </c>
      <c r="AI56" s="123">
        <f t="shared" si="32"/>
        <v>0</v>
      </c>
      <c r="AJ56" s="123">
        <f t="shared" si="33"/>
        <v>0</v>
      </c>
      <c r="AK56" s="123">
        <f t="shared" si="34"/>
        <v>0</v>
      </c>
      <c r="AL56" s="123">
        <f t="shared" si="35"/>
        <v>0</v>
      </c>
      <c r="AM56" s="123">
        <f t="shared" si="36"/>
        <v>0</v>
      </c>
      <c r="AN56" s="123">
        <f t="shared" si="37"/>
        <v>0</v>
      </c>
      <c r="AO56" s="123">
        <f t="shared" si="38"/>
        <v>0</v>
      </c>
      <c r="AP56" s="123"/>
      <c r="AQ56" s="123">
        <f t="shared" si="39"/>
        <v>0</v>
      </c>
      <c r="AR56" s="123">
        <f t="shared" si="40"/>
        <v>0</v>
      </c>
      <c r="AS56" s="123">
        <f t="shared" si="41"/>
        <v>0</v>
      </c>
      <c r="AW56" t="str">
        <f t="shared" si="73"/>
        <v>26100</v>
      </c>
      <c r="AX56" t="str">
        <f t="shared" si="74"/>
        <v>0.001-31830.9952406296i</v>
      </c>
      <c r="AY56" t="str">
        <f t="shared" si="42"/>
        <v>15606.9950542512-12797.0412908426i</v>
      </c>
      <c r="AZ56">
        <f t="shared" si="75"/>
        <v>12.120197802285478</v>
      </c>
      <c r="BA56">
        <f t="shared" si="76"/>
        <v>-39.350235914211098</v>
      </c>
      <c r="BB56">
        <f t="shared" si="77"/>
        <v>-0.99851949680362939</v>
      </c>
      <c r="BC56">
        <f t="shared" si="78"/>
        <v>8.7350833661319012</v>
      </c>
      <c r="BD56" s="123">
        <f t="shared" si="43"/>
        <v>-0.99849209746754453</v>
      </c>
      <c r="BE56" s="123">
        <f t="shared" si="44"/>
        <v>8.6401561615572753</v>
      </c>
      <c r="BF56">
        <f t="shared" si="45"/>
        <v>40.767354453033988</v>
      </c>
      <c r="BG56">
        <f t="shared" si="46"/>
        <v>-116.9903158828904</v>
      </c>
      <c r="BH56" s="123">
        <f t="shared" si="47"/>
        <v>39.768862355566441</v>
      </c>
      <c r="BI56" s="123">
        <f t="shared" si="48"/>
        <v>-108.35015972133313</v>
      </c>
      <c r="BL56" s="123">
        <f t="shared" si="49"/>
        <v>0</v>
      </c>
      <c r="BM56" s="123">
        <f t="shared" si="50"/>
        <v>0</v>
      </c>
      <c r="BN56" s="123">
        <f t="shared" si="51"/>
        <v>0</v>
      </c>
      <c r="BO56" s="123">
        <f t="shared" si="52"/>
        <v>0</v>
      </c>
      <c r="BP56" s="123">
        <f t="shared" si="53"/>
        <v>0</v>
      </c>
      <c r="BQ56" s="123">
        <f t="shared" si="54"/>
        <v>0</v>
      </c>
      <c r="BR56" s="123">
        <f t="shared" si="55"/>
        <v>0</v>
      </c>
      <c r="BS56" s="123"/>
      <c r="BT56" s="123"/>
      <c r="BU56" s="123">
        <f t="shared" si="56"/>
        <v>0</v>
      </c>
      <c r="BV56" s="123">
        <f t="shared" si="57"/>
        <v>0</v>
      </c>
      <c r="BX56" s="123">
        <f t="shared" si="58"/>
        <v>0</v>
      </c>
      <c r="BY56" s="123"/>
    </row>
    <row r="57" spans="5:77" x14ac:dyDescent="0.25">
      <c r="E57">
        <v>46</v>
      </c>
      <c r="F57">
        <v>550</v>
      </c>
      <c r="G57" s="58">
        <f t="shared" si="59"/>
        <v>3.315319605430548E-5</v>
      </c>
      <c r="H57" s="58">
        <f t="shared" si="60"/>
        <v>-0.10442000423588904</v>
      </c>
      <c r="I57">
        <f t="shared" si="61"/>
        <v>28.515462743974766</v>
      </c>
      <c r="J57">
        <f t="shared" si="62"/>
        <v>-51.175519443429728</v>
      </c>
      <c r="K57" t="str">
        <f t="shared" si="63"/>
        <v>5286.34290664956-1.93144872351708i</v>
      </c>
      <c r="L57" t="str">
        <f t="shared" si="64"/>
        <v>1000000-289372684.005724i</v>
      </c>
      <c r="M57" t="str">
        <f t="shared" si="65"/>
        <v>149999.691000032-77.7531739989381i</v>
      </c>
      <c r="N57">
        <f t="shared" si="21"/>
        <v>-29.359541905630692</v>
      </c>
      <c r="O57">
        <f t="shared" si="66"/>
        <v>8.467263374524428E-3</v>
      </c>
      <c r="P57" t="str">
        <f t="shared" si="67"/>
        <v>-6156865.61714305i</v>
      </c>
      <c r="Q57" t="str">
        <f t="shared" si="68"/>
        <v>5900-24114.3903338103i</v>
      </c>
      <c r="R57" t="str">
        <f t="shared" si="22"/>
        <v>5854.04811129719-24025.8987132819i</v>
      </c>
      <c r="S57" t="str">
        <f t="shared" si="69"/>
        <v>67673254.248958-46772385.9157483i</v>
      </c>
      <c r="T57" t="str">
        <f t="shared" si="23"/>
        <v>5857.53156797306-24019.3337507951i</v>
      </c>
      <c r="U57" t="str">
        <f t="shared" si="24"/>
        <v>0.999992437557191-0.00274997920328228i</v>
      </c>
      <c r="V57">
        <f t="shared" si="70"/>
        <v>27.862078218636693</v>
      </c>
      <c r="W57">
        <f t="shared" si="71"/>
        <v>-76.452514813238551</v>
      </c>
      <c r="X57">
        <f t="shared" si="25"/>
        <v>-3.2843396005182155E-5</v>
      </c>
      <c r="Y57">
        <f t="shared" si="72"/>
        <v>-0.15756302925178148</v>
      </c>
      <c r="AA57" s="123">
        <f t="shared" si="26"/>
        <v>28.515495897170819</v>
      </c>
      <c r="AB57" s="123">
        <f t="shared" si="27"/>
        <v>-51.279939447665619</v>
      </c>
      <c r="AC57">
        <f t="shared" si="28"/>
        <v>-1.4974636869939992</v>
      </c>
      <c r="AD57">
        <f t="shared" si="29"/>
        <v>-76.444047549864024</v>
      </c>
      <c r="AE57" s="123">
        <f t="shared" si="30"/>
        <v>27.01803221017682</v>
      </c>
      <c r="AF57" s="123">
        <f t="shared" si="31"/>
        <v>-127.72398699752964</v>
      </c>
      <c r="AI57" s="123">
        <f t="shared" si="32"/>
        <v>0</v>
      </c>
      <c r="AJ57" s="123">
        <f t="shared" si="33"/>
        <v>0</v>
      </c>
      <c r="AK57" s="123">
        <f t="shared" si="34"/>
        <v>0</v>
      </c>
      <c r="AL57" s="123">
        <f t="shared" si="35"/>
        <v>0</v>
      </c>
      <c r="AM57" s="123">
        <f t="shared" si="36"/>
        <v>0</v>
      </c>
      <c r="AN57" s="123">
        <f t="shared" si="37"/>
        <v>0</v>
      </c>
      <c r="AO57" s="123">
        <f t="shared" si="38"/>
        <v>0</v>
      </c>
      <c r="AP57" s="123"/>
      <c r="AQ57" s="123">
        <f t="shared" si="39"/>
        <v>0</v>
      </c>
      <c r="AR57" s="123">
        <f t="shared" si="40"/>
        <v>0</v>
      </c>
      <c r="AS57" s="123">
        <f t="shared" si="41"/>
        <v>0</v>
      </c>
      <c r="AW57" t="str">
        <f t="shared" si="73"/>
        <v>26100</v>
      </c>
      <c r="AX57" t="str">
        <f t="shared" si="74"/>
        <v>0.001-28937.2684005724i</v>
      </c>
      <c r="AY57" t="str">
        <f t="shared" si="42"/>
        <v>14391.9347500775-12980.8204447358i</v>
      </c>
      <c r="AZ57">
        <f t="shared" si="75"/>
        <v>11.768196664742554</v>
      </c>
      <c r="BA57">
        <f t="shared" si="76"/>
        <v>-42.048921625781276</v>
      </c>
      <c r="BB57">
        <f t="shared" si="77"/>
        <v>-0.88116612955537754</v>
      </c>
      <c r="BC57">
        <f t="shared" si="78"/>
        <v>8.4732500184818367</v>
      </c>
      <c r="BD57" s="123">
        <f t="shared" si="43"/>
        <v>-0.88113297635932319</v>
      </c>
      <c r="BE57" s="123">
        <f t="shared" si="44"/>
        <v>8.3688300142459475</v>
      </c>
      <c r="BF57">
        <f t="shared" si="45"/>
        <v>39.630274883379244</v>
      </c>
      <c r="BG57">
        <f t="shared" si="46"/>
        <v>-118.50143643901983</v>
      </c>
      <c r="BH57" s="123">
        <f t="shared" si="47"/>
        <v>38.749141907019919</v>
      </c>
      <c r="BI57" s="123">
        <f t="shared" si="48"/>
        <v>-110.13260642477388</v>
      </c>
      <c r="BL57" s="123">
        <f t="shared" si="49"/>
        <v>0</v>
      </c>
      <c r="BM57" s="123">
        <f t="shared" si="50"/>
        <v>0</v>
      </c>
      <c r="BN57" s="123">
        <f t="shared" si="51"/>
        <v>0</v>
      </c>
      <c r="BO57" s="123">
        <f t="shared" si="52"/>
        <v>0</v>
      </c>
      <c r="BP57" s="123">
        <f t="shared" si="53"/>
        <v>0</v>
      </c>
      <c r="BQ57" s="123">
        <f t="shared" si="54"/>
        <v>0</v>
      </c>
      <c r="BR57" s="123">
        <f t="shared" si="55"/>
        <v>0</v>
      </c>
      <c r="BS57" s="123"/>
      <c r="BT57" s="123"/>
      <c r="BU57" s="123">
        <f t="shared" si="56"/>
        <v>0</v>
      </c>
      <c r="BV57" s="123">
        <f t="shared" si="57"/>
        <v>0</v>
      </c>
      <c r="BX57" s="123">
        <f t="shared" si="58"/>
        <v>0</v>
      </c>
      <c r="BY57" s="123"/>
    </row>
    <row r="58" spans="5:77" x14ac:dyDescent="0.25">
      <c r="E58">
        <v>47</v>
      </c>
      <c r="F58">
        <v>600</v>
      </c>
      <c r="G58" s="58">
        <f t="shared" si="59"/>
        <v>3.9455042358458173E-5</v>
      </c>
      <c r="H58" s="58">
        <f t="shared" si="60"/>
        <v>-0.113912826526921</v>
      </c>
      <c r="I58">
        <f t="shared" si="61"/>
        <v>28.038636098392669</v>
      </c>
      <c r="J58">
        <f t="shared" si="62"/>
        <v>-53.561395505299437</v>
      </c>
      <c r="K58" t="str">
        <f t="shared" si="63"/>
        <v>5286.34277251107-2.1070349176445i</v>
      </c>
      <c r="L58" t="str">
        <f t="shared" si="64"/>
        <v>1000000-265258293.671913i</v>
      </c>
      <c r="M58" t="str">
        <f t="shared" si="65"/>
        <v>149999.632265605-84.821389725422i</v>
      </c>
      <c r="N58">
        <f t="shared" si="21"/>
        <v>-29.35953894039887</v>
      </c>
      <c r="O58">
        <f t="shared" si="66"/>
        <v>9.2369324345969069E-3</v>
      </c>
      <c r="P58" t="str">
        <f t="shared" si="67"/>
        <v>-5643793.48238113i</v>
      </c>
      <c r="Q58" t="str">
        <f t="shared" si="68"/>
        <v>5900-22104.8578059928i</v>
      </c>
      <c r="R58" t="str">
        <f t="shared" si="22"/>
        <v>5854.0470974147-22024.714140596i</v>
      </c>
      <c r="S58" t="str">
        <f t="shared" si="69"/>
        <v>63755628.1675281-48070601.1374593i</v>
      </c>
      <c r="T58" t="str">
        <f t="shared" si="23"/>
        <v>5856.60937680052-22018.7372693194i</v>
      </c>
      <c r="U58" t="str">
        <f t="shared" si="24"/>
        <v>0.999991000080999-0.002999973000243i</v>
      </c>
      <c r="V58">
        <f t="shared" si="70"/>
        <v>27.152677546652349</v>
      </c>
      <c r="W58">
        <f t="shared" si="71"/>
        <v>-75.277063178976164</v>
      </c>
      <c r="X58">
        <f t="shared" si="25"/>
        <v>-3.9086327486256407E-5</v>
      </c>
      <c r="Y58">
        <f t="shared" si="72"/>
        <v>-0.17188685864006162</v>
      </c>
      <c r="AA58" s="123">
        <f t="shared" si="26"/>
        <v>28.038675553435027</v>
      </c>
      <c r="AB58" s="123">
        <f t="shared" si="27"/>
        <v>-53.675308331826358</v>
      </c>
      <c r="AC58">
        <f t="shared" si="28"/>
        <v>-2.2068613937465216</v>
      </c>
      <c r="AD58">
        <f t="shared" si="29"/>
        <v>-75.26782624654156</v>
      </c>
      <c r="AE58" s="123">
        <f t="shared" si="30"/>
        <v>25.831814159688506</v>
      </c>
      <c r="AF58" s="123">
        <f t="shared" si="31"/>
        <v>-128.9431345783679</v>
      </c>
      <c r="AI58" s="123">
        <f t="shared" si="32"/>
        <v>0</v>
      </c>
      <c r="AJ58" s="123">
        <f t="shared" si="33"/>
        <v>0</v>
      </c>
      <c r="AK58" s="123">
        <f t="shared" si="34"/>
        <v>0</v>
      </c>
      <c r="AL58" s="123">
        <f t="shared" si="35"/>
        <v>0</v>
      </c>
      <c r="AM58" s="123">
        <f t="shared" si="36"/>
        <v>0</v>
      </c>
      <c r="AN58" s="123">
        <f t="shared" si="37"/>
        <v>0</v>
      </c>
      <c r="AO58" s="123">
        <f t="shared" si="38"/>
        <v>0</v>
      </c>
      <c r="AP58" s="123"/>
      <c r="AQ58" s="123">
        <f t="shared" si="39"/>
        <v>0</v>
      </c>
      <c r="AR58" s="123">
        <f t="shared" si="40"/>
        <v>0</v>
      </c>
      <c r="AS58" s="123">
        <f t="shared" si="41"/>
        <v>0</v>
      </c>
      <c r="AW58" t="str">
        <f t="shared" si="73"/>
        <v>26100</v>
      </c>
      <c r="AX58" t="str">
        <f t="shared" si="74"/>
        <v>0.001-26525.8293671913i</v>
      </c>
      <c r="AY58" t="str">
        <f t="shared" si="42"/>
        <v>13261.178019444-13048.2907311756i</v>
      </c>
      <c r="AZ58">
        <f t="shared" si="75"/>
        <v>11.4128258766754</v>
      </c>
      <c r="BA58">
        <f t="shared" si="76"/>
        <v>-44.536401389428583</v>
      </c>
      <c r="BB58">
        <f t="shared" si="77"/>
        <v>-0.7807524326667119</v>
      </c>
      <c r="BC58">
        <f t="shared" si="78"/>
        <v>8.1851787268843523</v>
      </c>
      <c r="BD58" s="123">
        <f t="shared" si="43"/>
        <v>-0.78071297762435343</v>
      </c>
      <c r="BE58" s="123">
        <f t="shared" si="44"/>
        <v>8.0712659003574316</v>
      </c>
      <c r="BF58">
        <f t="shared" si="45"/>
        <v>38.565503423327748</v>
      </c>
      <c r="BG58">
        <f t="shared" si="46"/>
        <v>-119.81346456840475</v>
      </c>
      <c r="BH58" s="123">
        <f t="shared" si="47"/>
        <v>37.784790445703393</v>
      </c>
      <c r="BI58" s="123">
        <f t="shared" si="48"/>
        <v>-111.74219866804732</v>
      </c>
      <c r="BL58" s="123">
        <f t="shared" si="49"/>
        <v>0</v>
      </c>
      <c r="BM58" s="123">
        <f t="shared" si="50"/>
        <v>0</v>
      </c>
      <c r="BN58" s="123">
        <f t="shared" si="51"/>
        <v>0</v>
      </c>
      <c r="BO58" s="123">
        <f t="shared" si="52"/>
        <v>0</v>
      </c>
      <c r="BP58" s="123">
        <f t="shared" si="53"/>
        <v>0</v>
      </c>
      <c r="BQ58" s="123">
        <f t="shared" si="54"/>
        <v>0</v>
      </c>
      <c r="BR58" s="123">
        <f t="shared" si="55"/>
        <v>0</v>
      </c>
      <c r="BS58" s="123"/>
      <c r="BT58" s="123"/>
      <c r="BU58" s="123">
        <f t="shared" si="56"/>
        <v>0</v>
      </c>
      <c r="BV58" s="123">
        <f t="shared" si="57"/>
        <v>0</v>
      </c>
      <c r="BX58" s="123">
        <f t="shared" si="58"/>
        <v>37.605591739265726</v>
      </c>
      <c r="BY58" s="123"/>
    </row>
    <row r="59" spans="5:77" x14ac:dyDescent="0.25">
      <c r="E59">
        <v>48</v>
      </c>
      <c r="F59">
        <v>650</v>
      </c>
      <c r="G59" s="58">
        <f t="shared" si="59"/>
        <v>4.6304874977160932E-5</v>
      </c>
      <c r="H59" s="58">
        <f t="shared" si="60"/>
        <v>-0.12340567350502228</v>
      </c>
      <c r="I59">
        <f t="shared" si="61"/>
        <v>27.573598755080635</v>
      </c>
      <c r="J59">
        <f t="shared" si="62"/>
        <v>-55.699999939465648</v>
      </c>
      <c r="K59" t="str">
        <f t="shared" si="63"/>
        <v>5286.34262670836-2.28262109782454i</v>
      </c>
      <c r="L59" t="str">
        <f t="shared" si="64"/>
        <v>1000000-244853809.543305i</v>
      </c>
      <c r="M59" t="str">
        <f t="shared" si="65"/>
        <v>149999.568424236-91.889539026725i</v>
      </c>
      <c r="N59">
        <f t="shared" si="21"/>
        <v>-29.359535717339238</v>
      </c>
      <c r="O59">
        <f t="shared" si="66"/>
        <v>1.0006580063260074E-2</v>
      </c>
      <c r="P59" t="str">
        <f t="shared" si="67"/>
        <v>-5209655.52219797i</v>
      </c>
      <c r="Q59" t="str">
        <f t="shared" si="68"/>
        <v>5900-20404.4841286087i</v>
      </c>
      <c r="R59" t="str">
        <f t="shared" si="22"/>
        <v>5854.04599536889-20331.4822699837i</v>
      </c>
      <c r="S59" t="str">
        <f t="shared" si="69"/>
        <v>59981346.5243983-48993598.7814723i</v>
      </c>
      <c r="T59" t="str">
        <f t="shared" si="23"/>
        <v>5855.8913552829-20326.0062483701i</v>
      </c>
      <c r="U59" t="str">
        <f t="shared" si="24"/>
        <v>0.999989437611565-0.00324996567223759i</v>
      </c>
      <c r="V59">
        <f t="shared" si="70"/>
        <v>26.507282716258427</v>
      </c>
      <c r="W59">
        <f t="shared" si="71"/>
        <v>-74.114615713584072</v>
      </c>
      <c r="X59">
        <f t="shared" si="25"/>
        <v>-4.587211239167966E-5</v>
      </c>
      <c r="Y59">
        <f t="shared" si="72"/>
        <v>-0.18621066654280816</v>
      </c>
      <c r="AA59" s="123">
        <f t="shared" si="26"/>
        <v>27.573645059955613</v>
      </c>
      <c r="AB59" s="123">
        <f t="shared" si="27"/>
        <v>-55.823405612970667</v>
      </c>
      <c r="AC59">
        <f t="shared" si="28"/>
        <v>-2.8522530010808111</v>
      </c>
      <c r="AD59">
        <f t="shared" si="29"/>
        <v>-74.10460913352081</v>
      </c>
      <c r="AE59" s="123">
        <f t="shared" si="30"/>
        <v>24.721392058874802</v>
      </c>
      <c r="AF59" s="123">
        <f t="shared" si="31"/>
        <v>-129.92801474649147</v>
      </c>
      <c r="AI59" s="123">
        <f t="shared" si="32"/>
        <v>0</v>
      </c>
      <c r="AJ59" s="123">
        <f t="shared" si="33"/>
        <v>0</v>
      </c>
      <c r="AK59" s="123">
        <f t="shared" si="34"/>
        <v>0</v>
      </c>
      <c r="AL59" s="123">
        <f t="shared" si="35"/>
        <v>0</v>
      </c>
      <c r="AM59" s="123">
        <f t="shared" si="36"/>
        <v>0</v>
      </c>
      <c r="AN59" s="123">
        <f t="shared" si="37"/>
        <v>0</v>
      </c>
      <c r="AO59" s="123">
        <f t="shared" si="38"/>
        <v>0</v>
      </c>
      <c r="AP59" s="123"/>
      <c r="AQ59" s="123">
        <f t="shared" si="39"/>
        <v>0</v>
      </c>
      <c r="AR59" s="123">
        <f t="shared" si="40"/>
        <v>0</v>
      </c>
      <c r="AS59" s="123">
        <f t="shared" si="41"/>
        <v>0</v>
      </c>
      <c r="AW59" t="str">
        <f t="shared" si="73"/>
        <v>26100</v>
      </c>
      <c r="AX59" t="str">
        <f t="shared" si="74"/>
        <v>0.001-24485.3809543305i</v>
      </c>
      <c r="AY59" t="str">
        <f t="shared" si="42"/>
        <v>12217.7701275353-13023.4357815881i</v>
      </c>
      <c r="AZ59">
        <f t="shared" si="75"/>
        <v>11.056924295554021</v>
      </c>
      <c r="BA59">
        <f t="shared" si="76"/>
        <v>-46.828193983592371</v>
      </c>
      <c r="BB59">
        <f t="shared" si="77"/>
        <v>-0.6947524600339422</v>
      </c>
      <c r="BC59">
        <f t="shared" si="78"/>
        <v>7.8864095138552122</v>
      </c>
      <c r="BD59" s="123">
        <f t="shared" si="43"/>
        <v>-0.69470615515896506</v>
      </c>
      <c r="BE59" s="123">
        <f t="shared" si="44"/>
        <v>7.7630038403501898</v>
      </c>
      <c r="BF59">
        <f t="shared" si="45"/>
        <v>37.564207011812449</v>
      </c>
      <c r="BG59">
        <f t="shared" si="46"/>
        <v>-120.94280969717644</v>
      </c>
      <c r="BH59" s="123">
        <f t="shared" si="47"/>
        <v>36.869500856653481</v>
      </c>
      <c r="BI59" s="123">
        <f t="shared" si="48"/>
        <v>-113.17980585682625</v>
      </c>
      <c r="BL59" s="123">
        <f t="shared" si="49"/>
        <v>0</v>
      </c>
      <c r="BM59" s="123">
        <f t="shared" si="50"/>
        <v>0</v>
      </c>
      <c r="BN59" s="123">
        <f t="shared" si="51"/>
        <v>0</v>
      </c>
      <c r="BO59" s="123">
        <f t="shared" si="52"/>
        <v>0</v>
      </c>
      <c r="BP59" s="123">
        <f t="shared" si="53"/>
        <v>0</v>
      </c>
      <c r="BQ59" s="123">
        <f t="shared" si="54"/>
        <v>0</v>
      </c>
      <c r="BR59" s="123">
        <f t="shared" si="55"/>
        <v>0</v>
      </c>
      <c r="BS59" s="123"/>
      <c r="BT59" s="123"/>
      <c r="BU59" s="123">
        <f t="shared" si="56"/>
        <v>0</v>
      </c>
      <c r="BV59" s="123">
        <f t="shared" si="57"/>
        <v>0</v>
      </c>
      <c r="BX59" s="123">
        <f t="shared" si="58"/>
        <v>0</v>
      </c>
      <c r="BY59" s="123"/>
    </row>
    <row r="60" spans="5:77" x14ac:dyDescent="0.25">
      <c r="E60">
        <v>49</v>
      </c>
      <c r="F60">
        <v>700</v>
      </c>
      <c r="G60" s="58">
        <f t="shared" si="59"/>
        <v>5.3702693896506154E-5</v>
      </c>
      <c r="H60" s="58">
        <f t="shared" si="60"/>
        <v>-0.1328985472275073</v>
      </c>
      <c r="I60">
        <f t="shared" si="61"/>
        <v>27.121667697305213</v>
      </c>
      <c r="J60">
        <f t="shared" si="62"/>
        <v>-57.622336491029564</v>
      </c>
      <c r="K60" t="str">
        <f t="shared" si="63"/>
        <v>5286.34246924144-2.4582072628949i</v>
      </c>
      <c r="L60" t="str">
        <f t="shared" si="64"/>
        <v>1000000-227364251.718783i</v>
      </c>
      <c r="M60" t="str">
        <f t="shared" si="65"/>
        <v>149999.499476026-98.9576163681975i</v>
      </c>
      <c r="N60">
        <f t="shared" si="21"/>
        <v>-29.359532236456445</v>
      </c>
      <c r="O60">
        <f t="shared" si="66"/>
        <v>1.0776204474786827E-2</v>
      </c>
      <c r="P60" t="str">
        <f t="shared" si="67"/>
        <v>-4837537.2706124i</v>
      </c>
      <c r="Q60" t="str">
        <f t="shared" si="68"/>
        <v>5900-18947.0209765652i</v>
      </c>
      <c r="R60" t="str">
        <f t="shared" si="22"/>
        <v>5854.04480515991-18880.2132366333i</v>
      </c>
      <c r="S60" t="str">
        <f t="shared" si="69"/>
        <v>56376883.3366101-49591686.3890639i</v>
      </c>
      <c r="T60" t="str">
        <f t="shared" si="23"/>
        <v>5855.32128425449-18875.1695283499i</v>
      </c>
      <c r="U60" t="str">
        <f t="shared" si="24"/>
        <v>0.999987750150061-0.00349995712552521i</v>
      </c>
      <c r="V60">
        <f t="shared" si="70"/>
        <v>25.916788970682333</v>
      </c>
      <c r="W60">
        <f t="shared" si="71"/>
        <v>-72.965984701488466</v>
      </c>
      <c r="X60">
        <f t="shared" si="25"/>
        <v>-5.3200748176918117E-5</v>
      </c>
      <c r="Y60">
        <f t="shared" si="72"/>
        <v>-0.20053445116963217</v>
      </c>
      <c r="AA60" s="123">
        <f t="shared" si="26"/>
        <v>27.12172139999911</v>
      </c>
      <c r="AB60" s="123">
        <f t="shared" si="27"/>
        <v>-57.755235038257069</v>
      </c>
      <c r="AC60">
        <f t="shared" si="28"/>
        <v>-3.4427432657741122</v>
      </c>
      <c r="AD60">
        <f t="shared" si="29"/>
        <v>-72.955208497013686</v>
      </c>
      <c r="AE60" s="123">
        <f t="shared" si="30"/>
        <v>23.678978134224998</v>
      </c>
      <c r="AF60" s="123">
        <f t="shared" si="31"/>
        <v>-130.71044353527077</v>
      </c>
      <c r="AI60" s="123">
        <f t="shared" si="32"/>
        <v>0</v>
      </c>
      <c r="AJ60" s="123">
        <f t="shared" si="33"/>
        <v>0</v>
      </c>
      <c r="AK60" s="123">
        <f t="shared" si="34"/>
        <v>0</v>
      </c>
      <c r="AL60" s="123">
        <f t="shared" si="35"/>
        <v>0</v>
      </c>
      <c r="AM60" s="123">
        <f t="shared" si="36"/>
        <v>0</v>
      </c>
      <c r="AN60" s="123">
        <f t="shared" si="37"/>
        <v>0</v>
      </c>
      <c r="AO60" s="123">
        <f t="shared" si="38"/>
        <v>0</v>
      </c>
      <c r="AP60" s="123"/>
      <c r="AQ60" s="123">
        <f t="shared" si="39"/>
        <v>0</v>
      </c>
      <c r="AR60" s="123">
        <f t="shared" si="40"/>
        <v>0</v>
      </c>
      <c r="AS60" s="123">
        <f t="shared" si="41"/>
        <v>0</v>
      </c>
      <c r="AW60" t="str">
        <f t="shared" si="73"/>
        <v>26100</v>
      </c>
      <c r="AX60" t="str">
        <f t="shared" si="74"/>
        <v>0.001-22736.4251718783i</v>
      </c>
      <c r="AY60" t="str">
        <f t="shared" si="42"/>
        <v>11260.8677780237-12926.7741936322i</v>
      </c>
      <c r="AZ60">
        <f t="shared" si="75"/>
        <v>10.702723358766885</v>
      </c>
      <c r="BA60">
        <f t="shared" si="76"/>
        <v>-48.939993591103381</v>
      </c>
      <c r="BB60">
        <f t="shared" si="77"/>
        <v>-0.62092242241012052</v>
      </c>
      <c r="BC60">
        <f t="shared" si="78"/>
        <v>7.5871008920225416</v>
      </c>
      <c r="BD60" s="123">
        <f t="shared" si="43"/>
        <v>-0.62086871971622404</v>
      </c>
      <c r="BE60" s="123">
        <f t="shared" si="44"/>
        <v>7.4542023447950339</v>
      </c>
      <c r="BF60">
        <f t="shared" si="45"/>
        <v>36.619512329449222</v>
      </c>
      <c r="BG60">
        <f t="shared" si="46"/>
        <v>-121.90597829259184</v>
      </c>
      <c r="BH60" s="123">
        <f t="shared" si="47"/>
        <v>35.998643609733001</v>
      </c>
      <c r="BI60" s="123">
        <f t="shared" si="48"/>
        <v>-114.4517759477968</v>
      </c>
      <c r="BL60" s="123">
        <f t="shared" si="49"/>
        <v>0</v>
      </c>
      <c r="BM60" s="123">
        <f t="shared" si="50"/>
        <v>0</v>
      </c>
      <c r="BN60" s="123">
        <f t="shared" si="51"/>
        <v>0</v>
      </c>
      <c r="BO60" s="123">
        <f t="shared" si="52"/>
        <v>0</v>
      </c>
      <c r="BP60" s="123">
        <f t="shared" si="53"/>
        <v>0</v>
      </c>
      <c r="BQ60" s="123">
        <f t="shared" si="54"/>
        <v>0</v>
      </c>
      <c r="BR60" s="123">
        <f t="shared" si="55"/>
        <v>0</v>
      </c>
      <c r="BS60" s="123"/>
      <c r="BT60" s="123"/>
      <c r="BU60" s="123">
        <f t="shared" si="56"/>
        <v>0</v>
      </c>
      <c r="BV60" s="123">
        <f t="shared" si="57"/>
        <v>0</v>
      </c>
      <c r="BX60" s="123">
        <f t="shared" si="58"/>
        <v>0</v>
      </c>
      <c r="BY60" s="123"/>
    </row>
    <row r="61" spans="5:77" x14ac:dyDescent="0.25">
      <c r="E61">
        <v>50</v>
      </c>
      <c r="F61">
        <v>750</v>
      </c>
      <c r="G61" s="58">
        <f t="shared" si="59"/>
        <v>6.1648498944866112E-5</v>
      </c>
      <c r="H61" s="58">
        <f t="shared" si="60"/>
        <v>-0.14239144975170689</v>
      </c>
      <c r="I61">
        <f t="shared" si="61"/>
        <v>26.683528615857085</v>
      </c>
      <c r="J61">
        <f t="shared" si="62"/>
        <v>-59.355516261018153</v>
      </c>
      <c r="K61" t="str">
        <f t="shared" si="63"/>
        <v>5286.34230011032-2.63379341169329i</v>
      </c>
      <c r="L61" t="str">
        <f t="shared" si="64"/>
        <v>1000000-212206634.937531i</v>
      </c>
      <c r="M61" t="str">
        <f t="shared" si="65"/>
        <v>149999.425421082-106.025616215382i</v>
      </c>
      <c r="N61">
        <f t="shared" si="21"/>
        <v>-29.359528497755413</v>
      </c>
      <c r="O61">
        <f t="shared" si="66"/>
        <v>1.1545803883506071E-2</v>
      </c>
      <c r="P61" t="str">
        <f t="shared" si="67"/>
        <v>-4515034.78590491i</v>
      </c>
      <c r="Q61" t="str">
        <f t="shared" si="68"/>
        <v>5900-17683.8862447942i</v>
      </c>
      <c r="R61" t="str">
        <f t="shared" si="22"/>
        <v>5854.04352678782-17622.5144730097i</v>
      </c>
      <c r="S61" t="str">
        <f t="shared" si="69"/>
        <v>52958695.7101873-49912384.4320678i</v>
      </c>
      <c r="T61" t="str">
        <f t="shared" si="23"/>
        <v>5854.86103449736-17617.8482556941i</v>
      </c>
      <c r="U61" t="str">
        <f t="shared" si="24"/>
        <v>0.999985937697751-0.00374994726636657i</v>
      </c>
      <c r="V61">
        <f t="shared" si="70"/>
        <v>25.373948252332529</v>
      </c>
      <c r="W61">
        <f t="shared" si="71"/>
        <v>-71.831907773104987</v>
      </c>
      <c r="X61">
        <f t="shared" si="25"/>
        <v>-6.1072232106051366E-5</v>
      </c>
      <c r="Y61">
        <f t="shared" si="72"/>
        <v>-0.21485821073016392</v>
      </c>
      <c r="AA61" s="123">
        <f t="shared" si="26"/>
        <v>26.683590264356031</v>
      </c>
      <c r="AB61" s="123">
        <f t="shared" si="27"/>
        <v>-59.497907710769859</v>
      </c>
      <c r="AC61">
        <f t="shared" si="28"/>
        <v>-3.9855802454228844</v>
      </c>
      <c r="AD61">
        <f t="shared" si="29"/>
        <v>-71.82036196922148</v>
      </c>
      <c r="AE61" s="123">
        <f t="shared" si="30"/>
        <v>22.698010018933147</v>
      </c>
      <c r="AF61" s="123">
        <f t="shared" si="31"/>
        <v>-131.31826967999135</v>
      </c>
      <c r="AI61" s="123">
        <f t="shared" si="32"/>
        <v>0</v>
      </c>
      <c r="AJ61" s="123">
        <f t="shared" si="33"/>
        <v>0</v>
      </c>
      <c r="AK61" s="123">
        <f t="shared" si="34"/>
        <v>0</v>
      </c>
      <c r="AL61" s="123">
        <f t="shared" si="35"/>
        <v>0</v>
      </c>
      <c r="AM61" s="123">
        <f t="shared" si="36"/>
        <v>0</v>
      </c>
      <c r="AN61" s="123">
        <f t="shared" si="37"/>
        <v>0</v>
      </c>
      <c r="AO61" s="123">
        <f t="shared" si="38"/>
        <v>0</v>
      </c>
      <c r="AP61" s="123"/>
      <c r="AQ61" s="123">
        <f t="shared" si="39"/>
        <v>0</v>
      </c>
      <c r="AR61" s="123">
        <f t="shared" si="40"/>
        <v>0</v>
      </c>
      <c r="AS61" s="123">
        <f t="shared" si="41"/>
        <v>0</v>
      </c>
      <c r="AW61" t="str">
        <f t="shared" si="73"/>
        <v>26100</v>
      </c>
      <c r="AX61" t="str">
        <f t="shared" si="74"/>
        <v>0.001-21220.6634937531i</v>
      </c>
      <c r="AY61" t="str">
        <f t="shared" si="42"/>
        <v>10387.0848078899-12775.4204223076i</v>
      </c>
      <c r="AZ61">
        <f t="shared" si="75"/>
        <v>10.351941510335038</v>
      </c>
      <c r="BA61">
        <f t="shared" si="76"/>
        <v>-50.887096123961918</v>
      </c>
      <c r="BB61">
        <f t="shared" si="77"/>
        <v>-0.55733254802574872</v>
      </c>
      <c r="BC61">
        <f t="shared" si="78"/>
        <v>7.2937002189325826</v>
      </c>
      <c r="BD61" s="123">
        <f t="shared" si="43"/>
        <v>-0.55727089952680386</v>
      </c>
      <c r="BE61" s="123">
        <f t="shared" si="44"/>
        <v>7.1513087691808757</v>
      </c>
      <c r="BF61">
        <f t="shared" si="45"/>
        <v>35.725889762667563</v>
      </c>
      <c r="BG61">
        <f t="shared" si="46"/>
        <v>-122.7190038970669</v>
      </c>
      <c r="BH61" s="123">
        <f t="shared" si="47"/>
        <v>35.168618863140757</v>
      </c>
      <c r="BI61" s="123">
        <f t="shared" si="48"/>
        <v>-115.56769512788603</v>
      </c>
      <c r="BL61" s="123">
        <f t="shared" si="49"/>
        <v>0</v>
      </c>
      <c r="BM61" s="123">
        <f t="shared" si="50"/>
        <v>0</v>
      </c>
      <c r="BN61" s="123">
        <f t="shared" si="51"/>
        <v>0</v>
      </c>
      <c r="BO61" s="123">
        <f t="shared" si="52"/>
        <v>0</v>
      </c>
      <c r="BP61" s="123">
        <f t="shared" si="53"/>
        <v>0</v>
      </c>
      <c r="BQ61" s="123">
        <f t="shared" si="54"/>
        <v>0</v>
      </c>
      <c r="BR61" s="123">
        <f t="shared" si="55"/>
        <v>0</v>
      </c>
      <c r="BS61" s="123"/>
      <c r="BT61" s="123"/>
      <c r="BU61" s="123">
        <f t="shared" si="56"/>
        <v>0</v>
      </c>
      <c r="BV61" s="123">
        <f t="shared" si="57"/>
        <v>0</v>
      </c>
      <c r="BX61" s="123">
        <f t="shared" si="58"/>
        <v>0</v>
      </c>
      <c r="BY61" s="123"/>
    </row>
    <row r="62" spans="5:77" x14ac:dyDescent="0.25">
      <c r="E62">
        <v>51</v>
      </c>
      <c r="F62">
        <v>800</v>
      </c>
      <c r="G62" s="58">
        <f t="shared" si="59"/>
        <v>7.0142290136191189E-5</v>
      </c>
      <c r="H62" s="58">
        <f t="shared" si="60"/>
        <v>-0.15188438313496264</v>
      </c>
      <c r="I62">
        <f t="shared" si="61"/>
        <v>26.259424722247001</v>
      </c>
      <c r="J62">
        <f t="shared" si="62"/>
        <v>-60.923055552632832</v>
      </c>
      <c r="K62" t="str">
        <f t="shared" si="63"/>
        <v>5286.342119315-2.80937954305743i</v>
      </c>
      <c r="L62" t="str">
        <f t="shared" si="64"/>
        <v>1000000-198943720.253935i</v>
      </c>
      <c r="M62" t="str">
        <f t="shared" si="65"/>
        <v>149999.346259521-113.093533034021i</v>
      </c>
      <c r="N62">
        <f t="shared" si="21"/>
        <v>-29.359524501241502</v>
      </c>
      <c r="O62">
        <f t="shared" si="66"/>
        <v>1.231537650380261E-2</v>
      </c>
      <c r="P62" t="str">
        <f t="shared" si="67"/>
        <v>-4232845.11178585i</v>
      </c>
      <c r="Q62" t="str">
        <f t="shared" si="68"/>
        <v>5900-16578.6433544946i</v>
      </c>
      <c r="R62" t="str">
        <f t="shared" si="22"/>
        <v>5854.04216025275-16522.0915534559i</v>
      </c>
      <c r="S62" t="str">
        <f t="shared" si="69"/>
        <v>49735232.7439469-49999298.9780869i</v>
      </c>
      <c r="T62" t="str">
        <f t="shared" si="23"/>
        <v>5854.4840059663-16517.7582883196i</v>
      </c>
      <c r="U62" t="str">
        <f t="shared" si="24"/>
        <v>0.999984000255996-0.00399993600102398i</v>
      </c>
      <c r="V62">
        <f t="shared" si="70"/>
        <v>24.872888786148366</v>
      </c>
      <c r="W62">
        <f t="shared" si="71"/>
        <v>-70.713050371371196</v>
      </c>
      <c r="X62">
        <f t="shared" si="25"/>
        <v>-6.9486561212231803E-5</v>
      </c>
      <c r="Y62">
        <f t="shared" si="72"/>
        <v>-0.22918194343404966</v>
      </c>
      <c r="AA62" s="123">
        <f t="shared" si="26"/>
        <v>26.259494864537139</v>
      </c>
      <c r="AB62" s="123">
        <f t="shared" si="27"/>
        <v>-61.074939935767794</v>
      </c>
      <c r="AC62">
        <f t="shared" si="28"/>
        <v>-4.4866357150931364</v>
      </c>
      <c r="AD62">
        <f t="shared" si="29"/>
        <v>-70.700734994867389</v>
      </c>
      <c r="AE62" s="123">
        <f t="shared" si="30"/>
        <v>21.772859149444002</v>
      </c>
      <c r="AF62" s="123">
        <f t="shared" si="31"/>
        <v>-131.77567493063518</v>
      </c>
      <c r="AI62" s="123">
        <f t="shared" si="32"/>
        <v>0</v>
      </c>
      <c r="AJ62" s="123">
        <f t="shared" si="33"/>
        <v>0</v>
      </c>
      <c r="AK62" s="123">
        <f t="shared" si="34"/>
        <v>0</v>
      </c>
      <c r="AL62" s="123">
        <f t="shared" si="35"/>
        <v>0</v>
      </c>
      <c r="AM62" s="123">
        <f t="shared" si="36"/>
        <v>0</v>
      </c>
      <c r="AN62" s="123">
        <f t="shared" si="37"/>
        <v>0</v>
      </c>
      <c r="AO62" s="123">
        <f t="shared" si="38"/>
        <v>0</v>
      </c>
      <c r="AP62" s="123"/>
      <c r="AQ62" s="123">
        <f t="shared" si="39"/>
        <v>0</v>
      </c>
      <c r="AR62" s="123">
        <f t="shared" si="40"/>
        <v>0</v>
      </c>
      <c r="AS62" s="123">
        <f t="shared" si="41"/>
        <v>0</v>
      </c>
      <c r="AW62" t="str">
        <f t="shared" si="73"/>
        <v>26100</v>
      </c>
      <c r="AX62" t="str">
        <f t="shared" si="74"/>
        <v>0.001-19894.3720253935i</v>
      </c>
      <c r="AY62" t="str">
        <f t="shared" si="42"/>
        <v>9591.50768671097-12583.3745239673i</v>
      </c>
      <c r="AZ62">
        <f t="shared" si="75"/>
        <v>10.005873492051913</v>
      </c>
      <c r="BA62">
        <f t="shared" si="76"/>
        <v>-52.684037579592896</v>
      </c>
      <c r="BB62">
        <f t="shared" si="77"/>
        <v>-0.50235352595652971</v>
      </c>
      <c r="BC62">
        <f t="shared" si="78"/>
        <v>7.0101332595712256</v>
      </c>
      <c r="BD62" s="123">
        <f t="shared" si="43"/>
        <v>-0.50228338366639347</v>
      </c>
      <c r="BE62" s="123">
        <f t="shared" si="44"/>
        <v>6.8582488764362628</v>
      </c>
      <c r="BF62">
        <f t="shared" si="45"/>
        <v>34.878762278200277</v>
      </c>
      <c r="BG62">
        <f t="shared" si="46"/>
        <v>-123.39708795096409</v>
      </c>
      <c r="BH62" s="123">
        <f t="shared" si="47"/>
        <v>34.376478894533882</v>
      </c>
      <c r="BI62" s="123">
        <f t="shared" si="48"/>
        <v>-116.53883907452783</v>
      </c>
      <c r="BL62" s="123">
        <f t="shared" si="49"/>
        <v>0</v>
      </c>
      <c r="BM62" s="123">
        <f t="shared" si="50"/>
        <v>0</v>
      </c>
      <c r="BN62" s="123">
        <f t="shared" si="51"/>
        <v>0</v>
      </c>
      <c r="BO62" s="123">
        <f t="shared" si="52"/>
        <v>0</v>
      </c>
      <c r="BP62" s="123">
        <f t="shared" si="53"/>
        <v>0</v>
      </c>
      <c r="BQ62" s="123">
        <f t="shared" si="54"/>
        <v>0</v>
      </c>
      <c r="BR62" s="123">
        <f t="shared" si="55"/>
        <v>0</v>
      </c>
      <c r="BS62" s="123"/>
      <c r="BT62" s="123"/>
      <c r="BU62" s="123">
        <f t="shared" si="56"/>
        <v>0</v>
      </c>
      <c r="BV62" s="123">
        <f t="shared" si="57"/>
        <v>0</v>
      </c>
      <c r="BX62" s="123">
        <f t="shared" si="58"/>
        <v>0</v>
      </c>
      <c r="BY62" s="123"/>
    </row>
    <row r="63" spans="5:77" x14ac:dyDescent="0.25">
      <c r="E63">
        <v>52</v>
      </c>
      <c r="F63">
        <v>850</v>
      </c>
      <c r="G63" s="58">
        <f t="shared" si="59"/>
        <v>7.9184067237993703E-5</v>
      </c>
      <c r="H63" s="58">
        <f t="shared" si="60"/>
        <v>-0.16137734943463847</v>
      </c>
      <c r="I63">
        <f t="shared" si="61"/>
        <v>25.849295286924349</v>
      </c>
      <c r="J63">
        <f t="shared" si="62"/>
        <v>-62.345260510696242</v>
      </c>
      <c r="K63" t="str">
        <f t="shared" si="63"/>
        <v>5286.34192685548-2.98496565582506i</v>
      </c>
      <c r="L63" t="str">
        <f t="shared" si="64"/>
        <v>1000000-187241148.474292i</v>
      </c>
      <c r="M63" t="str">
        <f t="shared" si="65"/>
        <v>149999.261991466-120.161361290064i</v>
      </c>
      <c r="N63">
        <f t="shared" si="21"/>
        <v>-29.359520246920361</v>
      </c>
      <c r="O63">
        <f t="shared" si="66"/>
        <v>1.3084920550120834E-2</v>
      </c>
      <c r="P63" t="str">
        <f t="shared" si="67"/>
        <v>-3983854.22285727i</v>
      </c>
      <c r="Q63" t="str">
        <f t="shared" si="68"/>
        <v>5900-15603.4290395243i</v>
      </c>
      <c r="R63" t="str">
        <f t="shared" si="22"/>
        <v>5854.04070555484-15551.1899171699i</v>
      </c>
      <c r="S63" t="str">
        <f t="shared" si="69"/>
        <v>46708765.095167-49891560.135971i</v>
      </c>
      <c r="T63" t="str">
        <f t="shared" si="23"/>
        <v>5854.17118408905-15547.1529281542i</v>
      </c>
      <c r="U63" t="str">
        <f t="shared" si="24"/>
        <v>0.999981937826248-0.00424992323576155i</v>
      </c>
      <c r="V63">
        <f t="shared" si="70"/>
        <v>24.408780816636487</v>
      </c>
      <c r="W63">
        <f t="shared" si="71"/>
        <v>-69.610007717057186</v>
      </c>
      <c r="X63">
        <f t="shared" si="25"/>
        <v>-7.8443732350719708E-5</v>
      </c>
      <c r="Y63">
        <f t="shared" si="72"/>
        <v>-0.24350564749095852</v>
      </c>
      <c r="AA63" s="123">
        <f t="shared" si="26"/>
        <v>25.849374470991588</v>
      </c>
      <c r="AB63" s="123">
        <f t="shared" si="27"/>
        <v>-62.50663786013088</v>
      </c>
      <c r="AC63">
        <f t="shared" si="28"/>
        <v>-4.9507394302838748</v>
      </c>
      <c r="AD63">
        <f t="shared" si="29"/>
        <v>-69.596922796507059</v>
      </c>
      <c r="AE63" s="123">
        <f t="shared" si="30"/>
        <v>20.898635040707713</v>
      </c>
      <c r="AF63" s="123">
        <f t="shared" si="31"/>
        <v>-132.10356065663794</v>
      </c>
      <c r="AI63" s="123">
        <f t="shared" si="32"/>
        <v>0</v>
      </c>
      <c r="AJ63" s="123">
        <f t="shared" si="33"/>
        <v>0</v>
      </c>
      <c r="AK63" s="123">
        <f t="shared" si="34"/>
        <v>0</v>
      </c>
      <c r="AL63" s="123">
        <f t="shared" si="35"/>
        <v>0</v>
      </c>
      <c r="AM63" s="123">
        <f t="shared" si="36"/>
        <v>0</v>
      </c>
      <c r="AN63" s="123">
        <f t="shared" si="37"/>
        <v>0</v>
      </c>
      <c r="AO63" s="123">
        <f t="shared" si="38"/>
        <v>0</v>
      </c>
      <c r="AP63" s="123"/>
      <c r="AQ63" s="123">
        <f t="shared" si="39"/>
        <v>0</v>
      </c>
      <c r="AR63" s="123">
        <f t="shared" si="40"/>
        <v>0</v>
      </c>
      <c r="AS63" s="123">
        <f t="shared" si="41"/>
        <v>0</v>
      </c>
      <c r="AW63" t="str">
        <f t="shared" si="73"/>
        <v>26100</v>
      </c>
      <c r="AX63" t="str">
        <f t="shared" si="74"/>
        <v>0.001-18724.1148474292i</v>
      </c>
      <c r="AY63" t="str">
        <f t="shared" si="42"/>
        <v>8868.42595249134-12361.9141419777i</v>
      </c>
      <c r="AZ63">
        <f t="shared" si="75"/>
        <v>9.6654701053997538</v>
      </c>
      <c r="BA63">
        <f t="shared" si="76"/>
        <v>-54.344388706761123</v>
      </c>
      <c r="BB63">
        <f t="shared" si="77"/>
        <v>-0.45462388988124164</v>
      </c>
      <c r="BC63">
        <f t="shared" si="78"/>
        <v>6.7386331595047366</v>
      </c>
      <c r="BD63" s="123">
        <f t="shared" si="43"/>
        <v>-0.45454470581400364</v>
      </c>
      <c r="BE63" s="123">
        <f t="shared" si="44"/>
        <v>6.5772558100700982</v>
      </c>
      <c r="BF63">
        <f t="shared" si="45"/>
        <v>34.074250922036242</v>
      </c>
      <c r="BG63">
        <f t="shared" si="46"/>
        <v>-123.95439642381831</v>
      </c>
      <c r="BH63" s="123">
        <f t="shared" si="47"/>
        <v>33.619706216222241</v>
      </c>
      <c r="BI63" s="123">
        <f t="shared" si="48"/>
        <v>-117.37714061374821</v>
      </c>
      <c r="BL63" s="123">
        <f t="shared" si="49"/>
        <v>0</v>
      </c>
      <c r="BM63" s="123">
        <f t="shared" si="50"/>
        <v>0</v>
      </c>
      <c r="BN63" s="123">
        <f t="shared" si="51"/>
        <v>0</v>
      </c>
      <c r="BO63" s="123">
        <f t="shared" si="52"/>
        <v>0</v>
      </c>
      <c r="BP63" s="123">
        <f t="shared" si="53"/>
        <v>0</v>
      </c>
      <c r="BQ63" s="123">
        <f t="shared" si="54"/>
        <v>0</v>
      </c>
      <c r="BR63" s="123">
        <f t="shared" si="55"/>
        <v>0</v>
      </c>
      <c r="BS63" s="123"/>
      <c r="BT63" s="123"/>
      <c r="BU63" s="123">
        <f t="shared" si="56"/>
        <v>0</v>
      </c>
      <c r="BV63" s="123">
        <f t="shared" si="57"/>
        <v>0</v>
      </c>
      <c r="BX63" s="123">
        <f t="shared" si="58"/>
        <v>0</v>
      </c>
      <c r="BY63" s="123"/>
    </row>
    <row r="64" spans="5:77" x14ac:dyDescent="0.25">
      <c r="E64">
        <v>53</v>
      </c>
      <c r="F64">
        <v>900</v>
      </c>
      <c r="G64" s="58">
        <f t="shared" si="59"/>
        <v>8.8773830288223007E-5</v>
      </c>
      <c r="H64" s="58">
        <f t="shared" si="60"/>
        <v>-0.17087035070810949</v>
      </c>
      <c r="I64">
        <f t="shared" si="61"/>
        <v>25.452875855932152</v>
      </c>
      <c r="J64">
        <f t="shared" si="62"/>
        <v>-63.639629011523013</v>
      </c>
      <c r="K64" t="str">
        <f t="shared" si="63"/>
        <v>5286.34172273177-3.1605517488339i</v>
      </c>
      <c r="L64" t="str">
        <f t="shared" si="64"/>
        <v>1000000-176838862.447942i</v>
      </c>
      <c r="M64" t="str">
        <f t="shared" si="65"/>
        <v>149999.17261705-127.229095449708i</v>
      </c>
      <c r="N64">
        <f t="shared" si="21"/>
        <v>-29.359515734798197</v>
      </c>
      <c r="O64">
        <f t="shared" si="66"/>
        <v>1.3854434236975504E-2</v>
      </c>
      <c r="P64" t="str">
        <f t="shared" si="67"/>
        <v>-3762528.98825409i</v>
      </c>
      <c r="Q64" t="str">
        <f t="shared" si="68"/>
        <v>5900-14736.5718706618i</v>
      </c>
      <c r="R64" t="str">
        <f t="shared" si="22"/>
        <v>5854.0391626942-14688.222683523i</v>
      </c>
      <c r="S64" t="str">
        <f t="shared" si="69"/>
        <v>43876965.1639811-49623668.187639i</v>
      </c>
      <c r="T64" t="str">
        <f t="shared" si="23"/>
        <v>5853.90868465278-14684.4514092722i</v>
      </c>
      <c r="U64" t="str">
        <f t="shared" si="24"/>
        <v>0.999979750410054-0.00449990887684524i</v>
      </c>
      <c r="V64">
        <f t="shared" si="70"/>
        <v>23.977598253913996</v>
      </c>
      <c r="W64">
        <f t="shared" si="71"/>
        <v>-68.523306660542232</v>
      </c>
      <c r="X64">
        <f t="shared" si="25"/>
        <v>-8.7943742159342088E-5</v>
      </c>
      <c r="Y64">
        <f t="shared" si="72"/>
        <v>-0.25782932111057977</v>
      </c>
      <c r="AA64" s="123">
        <f t="shared" si="26"/>
        <v>25.452964629762441</v>
      </c>
      <c r="AB64" s="123">
        <f t="shared" si="27"/>
        <v>-63.81049936223112</v>
      </c>
      <c r="AC64">
        <f t="shared" si="28"/>
        <v>-5.3819174808842014</v>
      </c>
      <c r="AD64">
        <f t="shared" si="29"/>
        <v>-68.509452226305257</v>
      </c>
      <c r="AE64" s="123">
        <f t="shared" si="30"/>
        <v>20.07104714887824</v>
      </c>
      <c r="AF64" s="123">
        <f t="shared" si="31"/>
        <v>-132.31995158853638</v>
      </c>
      <c r="AI64" s="123">
        <f t="shared" si="32"/>
        <v>0</v>
      </c>
      <c r="AJ64" s="123">
        <f t="shared" si="33"/>
        <v>0</v>
      </c>
      <c r="AK64" s="123">
        <f t="shared" si="34"/>
        <v>0</v>
      </c>
      <c r="AL64" s="123">
        <f t="shared" si="35"/>
        <v>0</v>
      </c>
      <c r="AM64" s="123">
        <f t="shared" si="36"/>
        <v>0</v>
      </c>
      <c r="AN64" s="123">
        <f t="shared" si="37"/>
        <v>0</v>
      </c>
      <c r="AO64" s="123">
        <f t="shared" si="38"/>
        <v>0</v>
      </c>
      <c r="AP64" s="123"/>
      <c r="AQ64" s="123">
        <f t="shared" si="39"/>
        <v>0</v>
      </c>
      <c r="AR64" s="123">
        <f t="shared" si="40"/>
        <v>0</v>
      </c>
      <c r="AS64" s="123">
        <f t="shared" si="41"/>
        <v>0</v>
      </c>
      <c r="AW64" t="str">
        <f t="shared" si="73"/>
        <v>26100</v>
      </c>
      <c r="AX64" t="str">
        <f t="shared" si="74"/>
        <v>0.001-17683.8862447942i</v>
      </c>
      <c r="AY64" t="str">
        <f t="shared" si="42"/>
        <v>8211.83509925138-12120.0100043276i</v>
      </c>
      <c r="AZ64">
        <f t="shared" si="75"/>
        <v>9.3314068219690611</v>
      </c>
      <c r="BA64">
        <f t="shared" si="76"/>
        <v>-55.880659797459074</v>
      </c>
      <c r="BB64">
        <f t="shared" si="77"/>
        <v>-0.41301199298555186</v>
      </c>
      <c r="BC64">
        <f t="shared" si="78"/>
        <v>6.4803105155065666</v>
      </c>
      <c r="BD64" s="123">
        <f t="shared" si="43"/>
        <v>-0.41292321915526364</v>
      </c>
      <c r="BE64" s="123">
        <f t="shared" si="44"/>
        <v>6.309440164798457</v>
      </c>
      <c r="BF64">
        <f t="shared" si="45"/>
        <v>33.309005075883057</v>
      </c>
      <c r="BG64">
        <f t="shared" si="46"/>
        <v>-124.40396645800131</v>
      </c>
      <c r="BH64" s="123">
        <f t="shared" si="47"/>
        <v>32.896081856727797</v>
      </c>
      <c r="BI64" s="123">
        <f t="shared" si="48"/>
        <v>-118.09452629320285</v>
      </c>
      <c r="BL64" s="123">
        <f t="shared" si="49"/>
        <v>0</v>
      </c>
      <c r="BM64" s="123">
        <f t="shared" si="50"/>
        <v>0</v>
      </c>
      <c r="BN64" s="123">
        <f t="shared" si="51"/>
        <v>0</v>
      </c>
      <c r="BO64" s="123">
        <f t="shared" si="52"/>
        <v>0</v>
      </c>
      <c r="BP64" s="123">
        <f t="shared" si="53"/>
        <v>0</v>
      </c>
      <c r="BQ64" s="123">
        <f t="shared" si="54"/>
        <v>0</v>
      </c>
      <c r="BR64" s="123">
        <f t="shared" si="55"/>
        <v>0</v>
      </c>
      <c r="BS64" s="123"/>
      <c r="BT64" s="123"/>
      <c r="BU64" s="123">
        <f t="shared" si="56"/>
        <v>0</v>
      </c>
      <c r="BV64" s="123">
        <f t="shared" si="57"/>
        <v>0</v>
      </c>
      <c r="BX64" s="123">
        <f t="shared" si="58"/>
        <v>0</v>
      </c>
      <c r="BY64" s="123"/>
    </row>
    <row r="65" spans="5:77" x14ac:dyDescent="0.25">
      <c r="E65">
        <v>54</v>
      </c>
      <c r="F65">
        <v>950</v>
      </c>
      <c r="G65" s="58">
        <f t="shared" si="59"/>
        <v>9.8911579082247203E-5</v>
      </c>
      <c r="H65" s="58">
        <f t="shared" si="60"/>
        <v>-0.18036338901277524</v>
      </c>
      <c r="I65">
        <f t="shared" si="61"/>
        <v>25.069769960316059</v>
      </c>
      <c r="J65">
        <f t="shared" si="62"/>
        <v>-64.821233349412509</v>
      </c>
      <c r="K65" t="str">
        <f t="shared" si="63"/>
        <v>5286.34150694385-3.33613782092165i</v>
      </c>
      <c r="L65" t="str">
        <f t="shared" si="64"/>
        <v>1000000-167531553.89805i</v>
      </c>
      <c r="M65" t="str">
        <f t="shared" si="65"/>
        <v>149999.078136411-134.296729979385i</v>
      </c>
      <c r="N65">
        <f t="shared" si="21"/>
        <v>-29.359510964881274</v>
      </c>
      <c r="O65">
        <f t="shared" si="66"/>
        <v>1.4623915778950371E-2</v>
      </c>
      <c r="P65" t="str">
        <f t="shared" si="67"/>
        <v>-3564501.14676703i</v>
      </c>
      <c r="Q65" t="str">
        <f t="shared" si="68"/>
        <v>5900-13960.9628248375i</v>
      </c>
      <c r="R65" t="str">
        <f t="shared" si="22"/>
        <v>5854.03753167099-13916.1475783298i</v>
      </c>
      <c r="S65" t="str">
        <f t="shared" si="69"/>
        <v>41234217.9519307-49225613.912736i</v>
      </c>
      <c r="T65" t="str">
        <f t="shared" si="23"/>
        <v>5853.68617811145-13912.6162843903i</v>
      </c>
      <c r="U65" t="str">
        <f t="shared" si="24"/>
        <v>0.999977438009055-0.00474989283054301i</v>
      </c>
      <c r="V65">
        <f t="shared" si="70"/>
        <v>23.575945040057572</v>
      </c>
      <c r="W65">
        <f t="shared" si="71"/>
        <v>-67.453407619608981</v>
      </c>
      <c r="X65">
        <f t="shared" si="25"/>
        <v>-9.7986587071025372E-5</v>
      </c>
      <c r="Y65">
        <f t="shared" si="72"/>
        <v>-0.27215296250262561</v>
      </c>
      <c r="AA65" s="123">
        <f t="shared" si="26"/>
        <v>25.069868871895142</v>
      </c>
      <c r="AB65" s="123">
        <f t="shared" si="27"/>
        <v>-65.001596738425278</v>
      </c>
      <c r="AC65">
        <f t="shared" si="28"/>
        <v>-5.7835659248237015</v>
      </c>
      <c r="AD65">
        <f t="shared" si="29"/>
        <v>-67.438783703830026</v>
      </c>
      <c r="AE65" s="123">
        <f t="shared" si="30"/>
        <v>19.286302947071441</v>
      </c>
      <c r="AF65" s="123">
        <f t="shared" si="31"/>
        <v>-132.4403804422553</v>
      </c>
      <c r="AI65" s="123">
        <f t="shared" si="32"/>
        <v>0</v>
      </c>
      <c r="AJ65" s="123">
        <f t="shared" si="33"/>
        <v>0</v>
      </c>
      <c r="AK65" s="123">
        <f t="shared" si="34"/>
        <v>0</v>
      </c>
      <c r="AL65" s="123">
        <f t="shared" si="35"/>
        <v>0</v>
      </c>
      <c r="AM65" s="123">
        <f t="shared" si="36"/>
        <v>0</v>
      </c>
      <c r="AN65" s="123">
        <f t="shared" si="37"/>
        <v>0</v>
      </c>
      <c r="AO65" s="123">
        <f t="shared" si="38"/>
        <v>0</v>
      </c>
      <c r="AP65" s="123"/>
      <c r="AQ65" s="123">
        <f t="shared" si="39"/>
        <v>0</v>
      </c>
      <c r="AR65" s="123">
        <f t="shared" si="40"/>
        <v>0</v>
      </c>
      <c r="AS65" s="123">
        <f t="shared" si="41"/>
        <v>0</v>
      </c>
      <c r="AW65" t="str">
        <f t="shared" si="73"/>
        <v>26100</v>
      </c>
      <c r="AX65" t="str">
        <f t="shared" si="74"/>
        <v>0.001-16753.155389805i</v>
      </c>
      <c r="AY65" t="str">
        <f t="shared" si="42"/>
        <v>7615.76735022058-11864.7206888253i</v>
      </c>
      <c r="AZ65">
        <f t="shared" si="75"/>
        <v>9.0041412684216553</v>
      </c>
      <c r="BA65">
        <f t="shared" si="76"/>
        <v>-57.304279729961813</v>
      </c>
      <c r="BB65">
        <f t="shared" si="77"/>
        <v>-0.37657912644182912</v>
      </c>
      <c r="BC65">
        <f t="shared" si="78"/>
        <v>6.235542089535417</v>
      </c>
      <c r="BD65" s="123">
        <f t="shared" si="43"/>
        <v>-0.37648021486274685</v>
      </c>
      <c r="BE65" s="123">
        <f t="shared" si="44"/>
        <v>6.0551787005226414</v>
      </c>
      <c r="BF65">
        <f t="shared" si="45"/>
        <v>32.580086308479224</v>
      </c>
      <c r="BG65">
        <f t="shared" si="46"/>
        <v>-124.7576873495708</v>
      </c>
      <c r="BH65" s="123">
        <f t="shared" si="47"/>
        <v>32.203606093616479</v>
      </c>
      <c r="BI65" s="123">
        <f t="shared" si="48"/>
        <v>-118.70250864904816</v>
      </c>
      <c r="BL65" s="123">
        <f t="shared" si="49"/>
        <v>0</v>
      </c>
      <c r="BM65" s="123">
        <f t="shared" si="50"/>
        <v>0</v>
      </c>
      <c r="BN65" s="123">
        <f t="shared" si="51"/>
        <v>0</v>
      </c>
      <c r="BO65" s="123">
        <f t="shared" si="52"/>
        <v>0</v>
      </c>
      <c r="BP65" s="123">
        <f t="shared" si="53"/>
        <v>0</v>
      </c>
      <c r="BQ65" s="123">
        <f t="shared" si="54"/>
        <v>0</v>
      </c>
      <c r="BR65" s="123">
        <f t="shared" si="55"/>
        <v>0</v>
      </c>
      <c r="BS65" s="123"/>
      <c r="BT65" s="123"/>
      <c r="BU65" s="123">
        <f t="shared" si="56"/>
        <v>0</v>
      </c>
      <c r="BV65" s="123">
        <f t="shared" si="57"/>
        <v>0</v>
      </c>
      <c r="BX65" s="123">
        <f t="shared" si="58"/>
        <v>0</v>
      </c>
      <c r="BY65" s="123"/>
    </row>
    <row r="66" spans="5:77" x14ac:dyDescent="0.25">
      <c r="E66">
        <v>55</v>
      </c>
      <c r="F66">
        <v>1000</v>
      </c>
      <c r="G66" s="58">
        <f t="shared" si="59"/>
        <v>1.0959731351229291E-4</v>
      </c>
      <c r="H66" s="58">
        <f t="shared" si="60"/>
        <v>-0.18985646640604958</v>
      </c>
      <c r="I66">
        <f t="shared" si="61"/>
        <v>24.699499948895788</v>
      </c>
      <c r="J66">
        <f t="shared" si="62"/>
        <v>-65.90306688759064</v>
      </c>
      <c r="K66" t="str">
        <f t="shared" si="63"/>
        <v>5286.34127949174-3.51172387092603i</v>
      </c>
      <c r="L66" t="str">
        <f t="shared" si="64"/>
        <v>1000000-159154976.203148i</v>
      </c>
      <c r="M66" t="str">
        <f t="shared" si="65"/>
        <v>149998.9785497-141.364259345788i</v>
      </c>
      <c r="N66">
        <f t="shared" si="21"/>
        <v>-29.359505937176635</v>
      </c>
      <c r="O66">
        <f t="shared" si="66"/>
        <v>1.5393363390701069E-2</v>
      </c>
      <c r="P66" t="str">
        <f t="shared" si="67"/>
        <v>-3386276.08942868i</v>
      </c>
      <c r="Q66" t="str">
        <f t="shared" si="68"/>
        <v>5900-13262.9146835957i</v>
      </c>
      <c r="R66" t="str">
        <f t="shared" si="22"/>
        <v>5854.03581248533-13221.3307822374i</v>
      </c>
      <c r="S66" t="str">
        <f t="shared" si="69"/>
        <v>38772673.5516293-48723168.4193641i</v>
      </c>
      <c r="T66" t="str">
        <f t="shared" si="23"/>
        <v>5853.49585089645-13218.0175953445i</v>
      </c>
      <c r="U66" t="str">
        <f t="shared" si="24"/>
        <v>0.999975000624984-0.00499987500312492i</v>
      </c>
      <c r="V66">
        <f t="shared" si="70"/>
        <v>23.200926265916259</v>
      </c>
      <c r="W66">
        <f t="shared" si="71"/>
        <v>-66.400706698416357</v>
      </c>
      <c r="X66">
        <f t="shared" si="25"/>
        <v>-1.0857226333114956E-4</v>
      </c>
      <c r="Y66">
        <f t="shared" si="72"/>
        <v>-0.28647656987683245</v>
      </c>
      <c r="AA66" s="123">
        <f t="shared" si="26"/>
        <v>24.699609546209299</v>
      </c>
      <c r="AB66" s="123">
        <f t="shared" si="27"/>
        <v>-66.092923353996696</v>
      </c>
      <c r="AC66">
        <f t="shared" si="28"/>
        <v>-6.1585796712603766</v>
      </c>
      <c r="AD66">
        <f t="shared" si="29"/>
        <v>-66.385313335025657</v>
      </c>
      <c r="AE66" s="123">
        <f t="shared" si="30"/>
        <v>18.541029874948922</v>
      </c>
      <c r="AF66" s="123">
        <f t="shared" si="31"/>
        <v>-132.47823668902237</v>
      </c>
      <c r="AI66" s="123">
        <f t="shared" si="32"/>
        <v>0</v>
      </c>
      <c r="AJ66" s="123">
        <f t="shared" si="33"/>
        <v>0</v>
      </c>
      <c r="AK66" s="123">
        <f t="shared" si="34"/>
        <v>0</v>
      </c>
      <c r="AL66" s="123">
        <f t="shared" si="35"/>
        <v>0</v>
      </c>
      <c r="AM66" s="123">
        <f t="shared" si="36"/>
        <v>0</v>
      </c>
      <c r="AN66" s="123">
        <f t="shared" si="37"/>
        <v>0</v>
      </c>
      <c r="AO66" s="123">
        <f t="shared" si="38"/>
        <v>0</v>
      </c>
      <c r="AP66" s="123"/>
      <c r="AQ66" s="123">
        <f t="shared" si="39"/>
        <v>0</v>
      </c>
      <c r="AR66" s="123">
        <f t="shared" si="40"/>
        <v>0</v>
      </c>
      <c r="AS66" s="123">
        <f t="shared" si="41"/>
        <v>0</v>
      </c>
      <c r="AW66" t="str">
        <f t="shared" si="73"/>
        <v>26100</v>
      </c>
      <c r="AX66" t="str">
        <f t="shared" si="74"/>
        <v>0.001-15915.4976203148i</v>
      </c>
      <c r="AY66" t="str">
        <f t="shared" si="42"/>
        <v>7074.49745387051-11601.5451684548i</v>
      </c>
      <c r="AZ66">
        <f t="shared" si="75"/>
        <v>8.6839604853569643</v>
      </c>
      <c r="BA66">
        <f t="shared" si="76"/>
        <v>-58.625622669903336</v>
      </c>
      <c r="BB66">
        <f t="shared" si="77"/>
        <v>-0.34454654112347766</v>
      </c>
      <c r="BC66">
        <f t="shared" si="78"/>
        <v>6.0042342789271963</v>
      </c>
      <c r="BD66" s="123">
        <f t="shared" si="43"/>
        <v>-0.34443694380996537</v>
      </c>
      <c r="BE66" s="123">
        <f t="shared" si="44"/>
        <v>5.8143778125211467</v>
      </c>
      <c r="BF66">
        <f t="shared" si="45"/>
        <v>31.884886751273221</v>
      </c>
      <c r="BG66">
        <f t="shared" si="46"/>
        <v>-125.02632936831969</v>
      </c>
      <c r="BH66" s="123">
        <f t="shared" si="47"/>
        <v>31.540449807463254</v>
      </c>
      <c r="BI66" s="123">
        <f t="shared" si="48"/>
        <v>-119.21195155579855</v>
      </c>
      <c r="BL66" s="123">
        <f t="shared" si="49"/>
        <v>0</v>
      </c>
      <c r="BM66" s="123">
        <f t="shared" si="50"/>
        <v>0</v>
      </c>
      <c r="BN66" s="123">
        <f t="shared" si="51"/>
        <v>0</v>
      </c>
      <c r="BO66" s="123">
        <f t="shared" si="52"/>
        <v>0</v>
      </c>
      <c r="BP66" s="123">
        <f t="shared" si="53"/>
        <v>0</v>
      </c>
      <c r="BQ66" s="123">
        <f t="shared" si="54"/>
        <v>0</v>
      </c>
      <c r="BR66" s="123">
        <f t="shared" si="55"/>
        <v>0</v>
      </c>
      <c r="BS66" s="123"/>
      <c r="BT66" s="123"/>
      <c r="BU66" s="123">
        <f t="shared" si="56"/>
        <v>0</v>
      </c>
      <c r="BV66" s="123">
        <f t="shared" si="57"/>
        <v>0</v>
      </c>
      <c r="BX66" s="123">
        <f t="shared" si="58"/>
        <v>0</v>
      </c>
      <c r="BY66" s="123"/>
    </row>
    <row r="67" spans="5:77" x14ac:dyDescent="0.25">
      <c r="E67">
        <v>56</v>
      </c>
      <c r="F67">
        <v>1500</v>
      </c>
      <c r="G67" s="58">
        <f t="shared" si="59"/>
        <v>2.4659383960279129E-4</v>
      </c>
      <c r="H67" s="58">
        <f t="shared" si="60"/>
        <v>-0.28478984286013137</v>
      </c>
      <c r="I67">
        <f t="shared" si="61"/>
        <v>21.586863501630845</v>
      </c>
      <c r="J67">
        <f t="shared" si="62"/>
        <v>-73.104474915163891</v>
      </c>
      <c r="K67" t="str">
        <f t="shared" si="63"/>
        <v>5286.33836344082-5.26758290068401i</v>
      </c>
      <c r="L67" t="str">
        <f t="shared" si="64"/>
        <v>1000000-106103317.468765i</v>
      </c>
      <c r="M67" t="str">
        <f t="shared" si="65"/>
        <v>149997.701886798-212.032551917526i</v>
      </c>
      <c r="N67">
        <f t="shared" si="21"/>
        <v>-29.359441483561611</v>
      </c>
      <c r="O67">
        <f t="shared" si="66"/>
        <v>2.3085580632125333E-2</v>
      </c>
      <c r="P67" t="str">
        <f t="shared" si="67"/>
        <v>-2257517.39295245i</v>
      </c>
      <c r="Q67" t="str">
        <f t="shared" si="68"/>
        <v>5900-8841.94312239711i</v>
      </c>
      <c r="R67" t="str">
        <f t="shared" si="22"/>
        <v>5854.01377173319-8822.68700699131i</v>
      </c>
      <c r="S67" t="str">
        <f t="shared" si="69"/>
        <v>21963269.8723097-41399779.7548135i</v>
      </c>
      <c r="T67" t="str">
        <f t="shared" si="23"/>
        <v>5852.50276749483-8820.83314659607i</v>
      </c>
      <c r="U67" t="str">
        <f t="shared" si="24"/>
        <v>0.999943753163884-0.00749957814872913i</v>
      </c>
      <c r="V67">
        <f t="shared" si="70"/>
        <v>20.494218725354187</v>
      </c>
      <c r="W67">
        <f t="shared" si="71"/>
        <v>-56.865989544913361</v>
      </c>
      <c r="X67">
        <f t="shared" si="25"/>
        <v>-2.4428377565909336E-4</v>
      </c>
      <c r="Y67">
        <f t="shared" si="72"/>
        <v>-0.42971037879974944</v>
      </c>
      <c r="AA67" s="123">
        <f t="shared" si="26"/>
        <v>21.587110095470447</v>
      </c>
      <c r="AB67" s="123">
        <f t="shared" si="27"/>
        <v>-73.389264758024026</v>
      </c>
      <c r="AC67">
        <f t="shared" si="28"/>
        <v>-8.8652227582074232</v>
      </c>
      <c r="AD67">
        <f t="shared" si="29"/>
        <v>-56.842903964281234</v>
      </c>
      <c r="AE67" s="123">
        <f t="shared" si="30"/>
        <v>12.721887337263023</v>
      </c>
      <c r="AF67" s="123">
        <f t="shared" si="31"/>
        <v>-130.23216872230526</v>
      </c>
      <c r="AI67" s="123">
        <f t="shared" si="32"/>
        <v>0</v>
      </c>
      <c r="AJ67" s="123">
        <f t="shared" si="33"/>
        <v>0</v>
      </c>
      <c r="AK67" s="123">
        <f t="shared" si="34"/>
        <v>0</v>
      </c>
      <c r="AL67" s="123">
        <f t="shared" si="35"/>
        <v>0</v>
      </c>
      <c r="AM67" s="123">
        <f t="shared" si="36"/>
        <v>0</v>
      </c>
      <c r="AN67" s="123">
        <f t="shared" si="37"/>
        <v>0</v>
      </c>
      <c r="AO67" s="123">
        <f t="shared" si="38"/>
        <v>0</v>
      </c>
      <c r="AP67" s="123"/>
      <c r="AQ67" s="123">
        <f t="shared" si="39"/>
        <v>0</v>
      </c>
      <c r="AR67" s="123">
        <f t="shared" si="40"/>
        <v>0</v>
      </c>
      <c r="AS67" s="123">
        <f t="shared" si="41"/>
        <v>0</v>
      </c>
      <c r="AW67" t="str">
        <f t="shared" si="73"/>
        <v>26100</v>
      </c>
      <c r="AX67" t="str">
        <f t="shared" si="74"/>
        <v>0.001-10610.3317468765i</v>
      </c>
      <c r="AY67" t="str">
        <f t="shared" si="42"/>
        <v>3701.63295132724-9105.52091452891i</v>
      </c>
      <c r="AZ67">
        <f t="shared" si="75"/>
        <v>5.8709375050780483</v>
      </c>
      <c r="BA67">
        <f t="shared" si="76"/>
        <v>-67.876983040937887</v>
      </c>
      <c r="BB67">
        <f t="shared" si="77"/>
        <v>-0.16484002200425341</v>
      </c>
      <c r="BC67">
        <f t="shared" si="78"/>
        <v>4.3041680368285267</v>
      </c>
      <c r="BD67" s="123">
        <f t="shared" si="43"/>
        <v>-0.16459342816465061</v>
      </c>
      <c r="BE67" s="123">
        <f t="shared" si="44"/>
        <v>4.0193781939683957</v>
      </c>
      <c r="BF67">
        <f t="shared" si="45"/>
        <v>26.365156230432234</v>
      </c>
      <c r="BG67">
        <f t="shared" si="46"/>
        <v>-124.74297258585125</v>
      </c>
      <c r="BH67" s="123">
        <f t="shared" si="47"/>
        <v>26.200562802267584</v>
      </c>
      <c r="BI67" s="123">
        <f t="shared" si="48"/>
        <v>-120.72359439188286</v>
      </c>
      <c r="BL67" s="123">
        <f t="shared" si="49"/>
        <v>0</v>
      </c>
      <c r="BM67" s="123">
        <f t="shared" si="50"/>
        <v>0</v>
      </c>
      <c r="BN67" s="123">
        <f t="shared" si="51"/>
        <v>0</v>
      </c>
      <c r="BO67" s="123">
        <f t="shared" si="52"/>
        <v>0</v>
      </c>
      <c r="BP67" s="123">
        <f t="shared" si="53"/>
        <v>0</v>
      </c>
      <c r="BQ67" s="123">
        <f t="shared" si="54"/>
        <v>0</v>
      </c>
      <c r="BR67" s="123">
        <f t="shared" si="55"/>
        <v>0</v>
      </c>
      <c r="BS67" s="123"/>
      <c r="BT67" s="123"/>
      <c r="BU67" s="123">
        <f t="shared" si="56"/>
        <v>0</v>
      </c>
      <c r="BV67" s="123">
        <f t="shared" si="57"/>
        <v>0</v>
      </c>
      <c r="BX67" s="123">
        <f t="shared" si="58"/>
        <v>0</v>
      </c>
      <c r="BY67" s="123"/>
    </row>
    <row r="68" spans="5:77" x14ac:dyDescent="0.25">
      <c r="E68">
        <v>57</v>
      </c>
      <c r="F68">
        <v>2000</v>
      </c>
      <c r="G68" s="58">
        <f t="shared" si="59"/>
        <v>4.3838875979151958E-4</v>
      </c>
      <c r="H68" s="58">
        <f t="shared" si="60"/>
        <v>-0.379729391520854</v>
      </c>
      <c r="I68">
        <f t="shared" si="61"/>
        <v>19.241167905523366</v>
      </c>
      <c r="J68">
        <f t="shared" si="62"/>
        <v>-76.848874358629516</v>
      </c>
      <c r="K68" t="str">
        <f t="shared" si="63"/>
        <v>5286.33428097493-7.02343844360313i</v>
      </c>
      <c r="L68" t="str">
        <f t="shared" si="64"/>
        <v>1000000-79577488.101574i</v>
      </c>
      <c r="M68" t="str">
        <f t="shared" si="65"/>
        <v>149995.914838626-282.684244012663i</v>
      </c>
      <c r="N68">
        <f t="shared" si="21"/>
        <v>-29.359351261395087</v>
      </c>
      <c r="O68">
        <f t="shared" si="66"/>
        <v>3.0772441686203498E-2</v>
      </c>
      <c r="P68" t="str">
        <f t="shared" si="67"/>
        <v>-1693138.04471434i</v>
      </c>
      <c r="Q68" t="str">
        <f t="shared" si="68"/>
        <v>5900-6631.45734179783i</v>
      </c>
      <c r="R68" t="str">
        <f t="shared" si="22"/>
        <v>5853.98291495896-6625.90498468914i</v>
      </c>
      <c r="S68" t="str">
        <f t="shared" si="69"/>
        <v>13667654.7594377-34350555.8808091i</v>
      </c>
      <c r="T68" t="str">
        <f t="shared" si="23"/>
        <v>5852.13005545262-6624.88718899875i</v>
      </c>
      <c r="U68" t="str">
        <f t="shared" si="24"/>
        <v>0.999900009999-0.00999900009999i</v>
      </c>
      <c r="V68">
        <f t="shared" si="70"/>
        <v>18.928108402919495</v>
      </c>
      <c r="W68">
        <f t="shared" si="71"/>
        <v>-49.117004307052078</v>
      </c>
      <c r="X68">
        <f t="shared" si="25"/>
        <v>-4.3427276862828968E-4</v>
      </c>
      <c r="Y68">
        <f t="shared" si="72"/>
        <v>-0.57293881688002213</v>
      </c>
      <c r="AA68" s="123">
        <f t="shared" si="26"/>
        <v>19.241606294283159</v>
      </c>
      <c r="AB68" s="123">
        <f t="shared" si="27"/>
        <v>-77.22860375015037</v>
      </c>
      <c r="AC68">
        <f t="shared" si="28"/>
        <v>-10.431242858475592</v>
      </c>
      <c r="AD68">
        <f t="shared" si="29"/>
        <v>-49.086231865365875</v>
      </c>
      <c r="AE68" s="123">
        <f t="shared" si="30"/>
        <v>8.8103634358075666</v>
      </c>
      <c r="AF68" s="123">
        <f t="shared" si="31"/>
        <v>-126.31483561551624</v>
      </c>
      <c r="AI68" s="123">
        <f t="shared" si="32"/>
        <v>0</v>
      </c>
      <c r="AJ68" s="123">
        <f t="shared" si="33"/>
        <v>0</v>
      </c>
      <c r="AK68" s="123">
        <f t="shared" si="34"/>
        <v>0</v>
      </c>
      <c r="AL68" s="123">
        <f t="shared" si="35"/>
        <v>0</v>
      </c>
      <c r="AM68" s="123">
        <f t="shared" si="36"/>
        <v>0</v>
      </c>
      <c r="AN68" s="123">
        <f t="shared" si="37"/>
        <v>0</v>
      </c>
      <c r="AO68" s="123">
        <f t="shared" si="38"/>
        <v>0</v>
      </c>
      <c r="AP68" s="123"/>
      <c r="AQ68" s="123">
        <f t="shared" si="39"/>
        <v>7.4023265610413711</v>
      </c>
      <c r="AR68" s="123">
        <f t="shared" si="40"/>
        <v>0</v>
      </c>
      <c r="AS68" s="123">
        <f t="shared" si="41"/>
        <v>0</v>
      </c>
      <c r="AW68" t="str">
        <f t="shared" si="73"/>
        <v>26100</v>
      </c>
      <c r="AX68" t="str">
        <f t="shared" si="74"/>
        <v>0.001-7957.7488101574i</v>
      </c>
      <c r="AY68" t="str">
        <f t="shared" si="42"/>
        <v>2219.9108980469-7280.90970714981i</v>
      </c>
      <c r="AZ68">
        <f t="shared" si="75"/>
        <v>3.6503586292087498</v>
      </c>
      <c r="BA68">
        <f t="shared" si="76"/>
        <v>-73.04382839750518</v>
      </c>
      <c r="BB68">
        <f t="shared" si="77"/>
        <v>-9.5279335857284694E-2</v>
      </c>
      <c r="BC68">
        <f t="shared" si="78"/>
        <v>3.3157405179850659</v>
      </c>
      <c r="BD68" s="123">
        <f t="shared" si="43"/>
        <v>-9.4840947097493175E-2</v>
      </c>
      <c r="BE68" s="123">
        <f t="shared" si="44"/>
        <v>2.9360111264642117</v>
      </c>
      <c r="BF68">
        <f t="shared" si="45"/>
        <v>22.578467032128245</v>
      </c>
      <c r="BG68">
        <f t="shared" si="46"/>
        <v>-122.16083270455727</v>
      </c>
      <c r="BH68" s="123">
        <f t="shared" si="47"/>
        <v>22.483626085030753</v>
      </c>
      <c r="BI68" s="123">
        <f t="shared" si="48"/>
        <v>-119.22482157809306</v>
      </c>
      <c r="BL68" s="123">
        <f t="shared" si="49"/>
        <v>0</v>
      </c>
      <c r="BM68" s="123">
        <f t="shared" si="50"/>
        <v>0</v>
      </c>
      <c r="BN68" s="123">
        <f t="shared" si="51"/>
        <v>0</v>
      </c>
      <c r="BO68" s="123">
        <f t="shared" si="52"/>
        <v>0</v>
      </c>
      <c r="BP68" s="123">
        <f t="shared" si="53"/>
        <v>0</v>
      </c>
      <c r="BQ68" s="123">
        <f t="shared" si="54"/>
        <v>0</v>
      </c>
      <c r="BR68" s="123">
        <f t="shared" si="55"/>
        <v>0</v>
      </c>
      <c r="BS68" s="123"/>
      <c r="BT68" s="123"/>
      <c r="BU68" s="123">
        <f t="shared" si="56"/>
        <v>0</v>
      </c>
      <c r="BV68" s="123">
        <f t="shared" si="57"/>
        <v>0</v>
      </c>
      <c r="BX68" s="123">
        <f t="shared" si="58"/>
        <v>0</v>
      </c>
      <c r="BY68" s="123"/>
    </row>
    <row r="69" spans="5:77" x14ac:dyDescent="0.25">
      <c r="E69">
        <v>58</v>
      </c>
      <c r="F69">
        <v>2500</v>
      </c>
      <c r="G69" s="58">
        <f t="shared" si="59"/>
        <v>6.849818570348478E-4</v>
      </c>
      <c r="H69" s="58">
        <f t="shared" si="60"/>
        <v>-0.47467717029940626</v>
      </c>
      <c r="I69">
        <f t="shared" si="61"/>
        <v>17.37595943955494</v>
      </c>
      <c r="J69">
        <f t="shared" si="62"/>
        <v>-79.080083105272024</v>
      </c>
      <c r="K69" t="str">
        <f t="shared" si="63"/>
        <v>5286.32903209949-8.77928933741576i</v>
      </c>
      <c r="L69" t="str">
        <f t="shared" si="64"/>
        <v>1000000-63661990.4812592i</v>
      </c>
      <c r="M69" t="str">
        <f t="shared" si="65"/>
        <v>149993.617684946-353.31380887799i</v>
      </c>
      <c r="N69">
        <f t="shared" si="21"/>
        <v>-29.359235283566306</v>
      </c>
      <c r="O69">
        <f t="shared" si="66"/>
        <v>3.8452163085509722E-2</v>
      </c>
      <c r="P69" t="str">
        <f t="shared" si="67"/>
        <v>-1354510.43577147i</v>
      </c>
      <c r="Q69" t="str">
        <f t="shared" si="68"/>
        <v>5900-5305.16587343826i</v>
      </c>
      <c r="R69" t="str">
        <f t="shared" si="22"/>
        <v>5853.94324244153-5309.86759930313i</v>
      </c>
      <c r="S69" t="str">
        <f t="shared" si="69"/>
        <v>9199970.31086149-28902553.1288399i</v>
      </c>
      <c r="T69" t="str">
        <f t="shared" si="23"/>
        <v>5851.92996917091-5309.4365787762i</v>
      </c>
      <c r="U69" t="str">
        <f t="shared" si="24"/>
        <v>0.999843774410248-0.0124980471801281i</v>
      </c>
      <c r="V69">
        <f t="shared" si="70"/>
        <v>17.953616620148054</v>
      </c>
      <c r="W69">
        <f t="shared" si="71"/>
        <v>-42.933522178527895</v>
      </c>
      <c r="X69">
        <f t="shared" si="25"/>
        <v>-6.7853211903576923E-4</v>
      </c>
      <c r="Y69">
        <f t="shared" si="72"/>
        <v>-0.71616009446328555</v>
      </c>
      <c r="AA69" s="123">
        <f t="shared" si="26"/>
        <v>17.376644421411974</v>
      </c>
      <c r="AB69" s="123">
        <f t="shared" si="27"/>
        <v>-79.554760275571425</v>
      </c>
      <c r="AC69">
        <f t="shared" si="28"/>
        <v>-11.405618663418252</v>
      </c>
      <c r="AD69">
        <f t="shared" si="29"/>
        <v>-42.895070015442386</v>
      </c>
      <c r="AE69" s="123">
        <f t="shared" si="30"/>
        <v>5.971025757993722</v>
      </c>
      <c r="AF69" s="123">
        <f t="shared" si="31"/>
        <v>-122.44983029101381</v>
      </c>
      <c r="AI69" s="123">
        <f t="shared" si="32"/>
        <v>0</v>
      </c>
      <c r="AJ69" s="123">
        <f t="shared" si="33"/>
        <v>0</v>
      </c>
      <c r="AK69" s="123">
        <f t="shared" si="34"/>
        <v>0</v>
      </c>
      <c r="AL69" s="123">
        <f t="shared" si="35"/>
        <v>0</v>
      </c>
      <c r="AM69" s="123">
        <f t="shared" si="36"/>
        <v>0</v>
      </c>
      <c r="AN69" s="123">
        <f t="shared" si="37"/>
        <v>0</v>
      </c>
      <c r="AO69" s="123">
        <f t="shared" si="38"/>
        <v>0</v>
      </c>
      <c r="AP69" s="123"/>
      <c r="AQ69" s="123">
        <f t="shared" si="39"/>
        <v>0</v>
      </c>
      <c r="AR69" s="123">
        <f t="shared" si="40"/>
        <v>0</v>
      </c>
      <c r="AS69" s="123">
        <f t="shared" si="41"/>
        <v>0</v>
      </c>
      <c r="AW69" t="str">
        <f t="shared" si="73"/>
        <v>26100</v>
      </c>
      <c r="AX69" t="str">
        <f t="shared" si="74"/>
        <v>0.001-6366.19904812592i</v>
      </c>
      <c r="AY69" t="str">
        <f t="shared" si="42"/>
        <v>1465.6197726084-6008.71118567363i</v>
      </c>
      <c r="AZ69">
        <f t="shared" si="75"/>
        <v>1.8472153439443517</v>
      </c>
      <c r="BA69">
        <f t="shared" si="76"/>
        <v>-76.292330734742151</v>
      </c>
      <c r="BB69">
        <f t="shared" si="77"/>
        <v>-6.1768069124280282E-2</v>
      </c>
      <c r="BC69">
        <f t="shared" si="78"/>
        <v>2.6863803321525688</v>
      </c>
      <c r="BD69" s="123">
        <f t="shared" si="43"/>
        <v>-6.1083087267245435E-2</v>
      </c>
      <c r="BE69" s="123">
        <f t="shared" si="44"/>
        <v>2.2117031618531624</v>
      </c>
      <c r="BF69">
        <f t="shared" si="45"/>
        <v>19.800831964092406</v>
      </c>
      <c r="BG69">
        <f t="shared" si="46"/>
        <v>-119.22585291327005</v>
      </c>
      <c r="BH69" s="123">
        <f t="shared" si="47"/>
        <v>19.739748876825161</v>
      </c>
      <c r="BI69" s="123">
        <f t="shared" si="48"/>
        <v>-117.01414975141688</v>
      </c>
      <c r="BL69" s="123">
        <f t="shared" si="49"/>
        <v>0</v>
      </c>
      <c r="BM69" s="123">
        <f t="shared" si="50"/>
        <v>0</v>
      </c>
      <c r="BN69" s="123">
        <f t="shared" si="51"/>
        <v>0</v>
      </c>
      <c r="BO69" s="123">
        <f t="shared" si="52"/>
        <v>0</v>
      </c>
      <c r="BP69" s="123">
        <f t="shared" si="53"/>
        <v>0</v>
      </c>
      <c r="BQ69" s="123">
        <f t="shared" si="54"/>
        <v>0</v>
      </c>
      <c r="BR69" s="123">
        <f t="shared" si="55"/>
        <v>0</v>
      </c>
      <c r="BS69" s="123"/>
      <c r="BT69" s="123"/>
      <c r="BU69" s="123">
        <f t="shared" si="56"/>
        <v>0</v>
      </c>
      <c r="BV69" s="123">
        <f t="shared" si="57"/>
        <v>0</v>
      </c>
      <c r="BX69" s="123">
        <f t="shared" si="58"/>
        <v>0</v>
      </c>
      <c r="BY69" s="123"/>
    </row>
    <row r="70" spans="5:77" x14ac:dyDescent="0.25">
      <c r="E70">
        <v>59</v>
      </c>
      <c r="F70">
        <v>3000</v>
      </c>
      <c r="G70" s="58">
        <f t="shared" si="59"/>
        <v>9.8637285155248533E-4</v>
      </c>
      <c r="H70" s="58">
        <f t="shared" si="60"/>
        <v>-0.56963523754327006</v>
      </c>
      <c r="I70">
        <f t="shared" si="61"/>
        <v>15.83279265581089</v>
      </c>
      <c r="J70">
        <f t="shared" si="62"/>
        <v>-80.524772572002249</v>
      </c>
      <c r="K70" t="str">
        <f t="shared" si="63"/>
        <v>5286.32261682143-10.5351344198645i</v>
      </c>
      <c r="L70" t="str">
        <f t="shared" si="64"/>
        <v>1000000-53051658.7343827i</v>
      </c>
      <c r="M70" t="str">
        <f t="shared" si="65"/>
        <v>149990.810785261-423.91572553178i</v>
      </c>
      <c r="N70">
        <f t="shared" si="21"/>
        <v>-29.359093566639395</v>
      </c>
      <c r="O70">
        <f t="shared" si="66"/>
        <v>4.6122963014268298E-2</v>
      </c>
      <c r="P70" t="str">
        <f t="shared" si="67"/>
        <v>-1128758.69647623i</v>
      </c>
      <c r="Q70" t="str">
        <f t="shared" si="68"/>
        <v>5900-4420.97156119855i</v>
      </c>
      <c r="R70" t="str">
        <f t="shared" si="22"/>
        <v>5853.89475453935-4434.20246352564i</v>
      </c>
      <c r="S70" t="str">
        <f t="shared" si="69"/>
        <v>6573660.57800507-24782111.3790914i</v>
      </c>
      <c r="T70" t="str">
        <f t="shared" si="23"/>
        <v>5851.79202630912-4434.2335691706i</v>
      </c>
      <c r="U70" t="str">
        <f t="shared" si="24"/>
        <v>0.999775050613612-0.0149966257592042i</v>
      </c>
      <c r="V70">
        <f t="shared" si="70"/>
        <v>17.315385740126384</v>
      </c>
      <c r="W70">
        <f t="shared" si="71"/>
        <v>-38.012646657122872</v>
      </c>
      <c r="X70">
        <f t="shared" si="25"/>
        <v>-9.7705266997797973E-4</v>
      </c>
      <c r="Y70">
        <f t="shared" si="72"/>
        <v>-0.85937242243203782</v>
      </c>
      <c r="AA70" s="123">
        <f t="shared" si="26"/>
        <v>15.833779028662443</v>
      </c>
      <c r="AB70" s="123">
        <f t="shared" si="27"/>
        <v>-81.094407809545515</v>
      </c>
      <c r="AC70">
        <f t="shared" si="28"/>
        <v>-12.04370782651301</v>
      </c>
      <c r="AD70">
        <f t="shared" si="29"/>
        <v>-37.966523694108602</v>
      </c>
      <c r="AE70" s="123">
        <f t="shared" si="30"/>
        <v>3.7900712021494325</v>
      </c>
      <c r="AF70" s="123">
        <f t="shared" si="31"/>
        <v>-119.06093150365412</v>
      </c>
      <c r="AI70" s="123">
        <f t="shared" si="32"/>
        <v>0</v>
      </c>
      <c r="AJ70" s="123">
        <f t="shared" si="33"/>
        <v>0</v>
      </c>
      <c r="AK70" s="123">
        <f t="shared" si="34"/>
        <v>0</v>
      </c>
      <c r="AL70" s="123">
        <f t="shared" si="35"/>
        <v>0</v>
      </c>
      <c r="AM70" s="123">
        <f t="shared" si="36"/>
        <v>0</v>
      </c>
      <c r="AN70" s="123">
        <f t="shared" si="37"/>
        <v>0</v>
      </c>
      <c r="AO70" s="123">
        <f t="shared" si="38"/>
        <v>0</v>
      </c>
      <c r="AP70" s="123"/>
      <c r="AQ70" s="123">
        <f t="shared" si="39"/>
        <v>0</v>
      </c>
      <c r="AR70" s="123">
        <f t="shared" si="40"/>
        <v>0</v>
      </c>
      <c r="AS70" s="123">
        <f t="shared" si="41"/>
        <v>0</v>
      </c>
      <c r="AW70" t="str">
        <f t="shared" si="73"/>
        <v>26100</v>
      </c>
      <c r="AX70" t="str">
        <f t="shared" si="74"/>
        <v>0.001-5305.16587343826i</v>
      </c>
      <c r="AY70" t="str">
        <f t="shared" si="42"/>
        <v>1035.56010306969-5094.67456258103i</v>
      </c>
      <c r="AZ70">
        <f t="shared" si="75"/>
        <v>0.33875405985436369</v>
      </c>
      <c r="BA70">
        <f t="shared" si="76"/>
        <v>-78.51041798373538</v>
      </c>
      <c r="BB70">
        <f t="shared" si="77"/>
        <v>-4.31984112925443E-2</v>
      </c>
      <c r="BC70">
        <f t="shared" si="78"/>
        <v>2.2542576141863373</v>
      </c>
      <c r="BD70" s="123">
        <f t="shared" si="43"/>
        <v>-4.2212038440991813E-2</v>
      </c>
      <c r="BE70" s="123">
        <f t="shared" si="44"/>
        <v>1.6846223766430672</v>
      </c>
      <c r="BF70">
        <f t="shared" si="45"/>
        <v>17.654139799980747</v>
      </c>
      <c r="BG70">
        <f t="shared" si="46"/>
        <v>-116.52306464085825</v>
      </c>
      <c r="BH70" s="123">
        <f t="shared" si="47"/>
        <v>17.611927761539757</v>
      </c>
      <c r="BI70" s="123">
        <f t="shared" si="48"/>
        <v>-114.83844226421519</v>
      </c>
      <c r="BL70" s="123">
        <f t="shared" si="49"/>
        <v>0</v>
      </c>
      <c r="BM70" s="123">
        <f t="shared" si="50"/>
        <v>0</v>
      </c>
      <c r="BN70" s="123">
        <f t="shared" si="51"/>
        <v>0</v>
      </c>
      <c r="BO70" s="123">
        <f t="shared" si="52"/>
        <v>0</v>
      </c>
      <c r="BP70" s="123">
        <f t="shared" si="53"/>
        <v>0</v>
      </c>
      <c r="BQ70" s="123">
        <f t="shared" si="54"/>
        <v>0</v>
      </c>
      <c r="BR70" s="123">
        <f t="shared" si="55"/>
        <v>0</v>
      </c>
      <c r="BS70" s="123"/>
      <c r="BT70" s="123"/>
      <c r="BU70" s="123">
        <f t="shared" si="56"/>
        <v>0</v>
      </c>
      <c r="BV70" s="123">
        <f t="shared" si="57"/>
        <v>0</v>
      </c>
      <c r="BX70" s="123">
        <f t="shared" si="58"/>
        <v>0</v>
      </c>
      <c r="BY70" s="123"/>
    </row>
    <row r="71" spans="5:77" x14ac:dyDescent="0.25">
      <c r="E71">
        <v>60</v>
      </c>
      <c r="F71">
        <v>3500</v>
      </c>
      <c r="G71" s="58">
        <f t="shared" si="59"/>
        <v>1.3425613999104027E-3</v>
      </c>
      <c r="H71" s="58">
        <f t="shared" si="60"/>
        <v>-0.66460565214534628</v>
      </c>
      <c r="I71">
        <f t="shared" si="61"/>
        <v>14.5187369303416</v>
      </c>
      <c r="J71">
        <f t="shared" si="62"/>
        <v>-81.510809853357472</v>
      </c>
      <c r="K71" t="str">
        <f t="shared" si="63"/>
        <v>5286.31503514924-12.2909725287047i</v>
      </c>
      <c r="L71" t="str">
        <f t="shared" si="64"/>
        <v>1000000-45472850.3437566i</v>
      </c>
      <c r="M71" t="str">
        <f t="shared" si="65"/>
        <v>149987.494578679-494.484480200783i</v>
      </c>
      <c r="N71">
        <f t="shared" si="21"/>
        <v>-29.35892613084766</v>
      </c>
      <c r="O71">
        <f t="shared" si="66"/>
        <v>5.378306171977551E-2</v>
      </c>
      <c r="P71" t="str">
        <f t="shared" si="67"/>
        <v>-967507.45412248i</v>
      </c>
      <c r="Q71" t="str">
        <f t="shared" si="68"/>
        <v>5900-3789.40419531305i</v>
      </c>
      <c r="R71" t="str">
        <f t="shared" si="22"/>
        <v>5853.83745169054-3810.17854111343i</v>
      </c>
      <c r="S71" t="str">
        <f t="shared" si="69"/>
        <v>4915353.53794902-21618849.4927892i</v>
      </c>
      <c r="T71" t="str">
        <f t="shared" si="23"/>
        <v>5851.67837131344-3810.60053684654i</v>
      </c>
      <c r="U71" t="str">
        <f t="shared" si="24"/>
        <v>0.999693843760348-0.0174946422658061i</v>
      </c>
      <c r="V71">
        <f t="shared" si="70"/>
        <v>16.879557972794629</v>
      </c>
      <c r="W71">
        <f t="shared" si="71"/>
        <v>-34.074670436844826</v>
      </c>
      <c r="X71">
        <f t="shared" si="25"/>
        <v>-1.3298232320420092E-3</v>
      </c>
      <c r="Y71">
        <f t="shared" si="72"/>
        <v>-1.0025740123396638</v>
      </c>
      <c r="AA71" s="123">
        <f t="shared" si="26"/>
        <v>14.520079491741511</v>
      </c>
      <c r="AB71" s="123">
        <f t="shared" si="27"/>
        <v>-82.175415505502812</v>
      </c>
      <c r="AC71">
        <f t="shared" si="28"/>
        <v>-12.479368158053031</v>
      </c>
      <c r="AD71">
        <f t="shared" si="29"/>
        <v>-34.020887375125049</v>
      </c>
      <c r="AE71" s="123">
        <f t="shared" si="30"/>
        <v>2.0407113336884795</v>
      </c>
      <c r="AF71" s="123">
        <f t="shared" si="31"/>
        <v>-116.19630288062785</v>
      </c>
      <c r="AI71" s="123">
        <f t="shared" si="32"/>
        <v>0</v>
      </c>
      <c r="AJ71" s="123">
        <f t="shared" si="33"/>
        <v>0</v>
      </c>
      <c r="AK71" s="123">
        <f t="shared" si="34"/>
        <v>0</v>
      </c>
      <c r="AL71" s="123">
        <f t="shared" si="35"/>
        <v>0</v>
      </c>
      <c r="AM71" s="123">
        <f t="shared" si="36"/>
        <v>0</v>
      </c>
      <c r="AN71" s="123">
        <f t="shared" si="37"/>
        <v>0</v>
      </c>
      <c r="AO71" s="123">
        <f t="shared" si="38"/>
        <v>0</v>
      </c>
      <c r="AP71" s="123"/>
      <c r="AQ71" s="123">
        <f t="shared" si="39"/>
        <v>0</v>
      </c>
      <c r="AR71" s="123">
        <f t="shared" si="40"/>
        <v>0</v>
      </c>
      <c r="AS71" s="123">
        <f t="shared" si="41"/>
        <v>0</v>
      </c>
      <c r="AW71" t="str">
        <f t="shared" si="73"/>
        <v>26100</v>
      </c>
      <c r="AX71" t="str">
        <f t="shared" si="74"/>
        <v>0.001-4547.28503437566i</v>
      </c>
      <c r="AY71" t="str">
        <f t="shared" si="42"/>
        <v>768.913850705346-4413.32048037732i</v>
      </c>
      <c r="AZ71">
        <f t="shared" si="75"/>
        <v>-0.95422365442163382</v>
      </c>
      <c r="BA71">
        <f t="shared" si="76"/>
        <v>-80.116822647790784</v>
      </c>
      <c r="BB71">
        <f t="shared" si="77"/>
        <v>-3.1873826854434517E-2</v>
      </c>
      <c r="BC71">
        <f t="shared" si="78"/>
        <v>1.9403805873603499</v>
      </c>
      <c r="BD71" s="123">
        <f t="shared" si="43"/>
        <v>-3.0531265454524115E-2</v>
      </c>
      <c r="BE71" s="123">
        <f t="shared" si="44"/>
        <v>1.2757749352150036</v>
      </c>
      <c r="BF71">
        <f t="shared" si="45"/>
        <v>15.925334318372995</v>
      </c>
      <c r="BG71">
        <f t="shared" si="46"/>
        <v>-114.19149308463561</v>
      </c>
      <c r="BH71" s="123">
        <f t="shared" si="47"/>
        <v>15.894803052918471</v>
      </c>
      <c r="BI71" s="123">
        <f t="shared" si="48"/>
        <v>-112.91571814942061</v>
      </c>
      <c r="BL71" s="123">
        <f t="shared" si="49"/>
        <v>0</v>
      </c>
      <c r="BM71" s="123">
        <f t="shared" si="50"/>
        <v>0</v>
      </c>
      <c r="BN71" s="123">
        <f t="shared" si="51"/>
        <v>0</v>
      </c>
      <c r="BO71" s="123">
        <f t="shared" si="52"/>
        <v>0</v>
      </c>
      <c r="BP71" s="123">
        <f t="shared" si="53"/>
        <v>0</v>
      </c>
      <c r="BQ71" s="123">
        <f t="shared" si="54"/>
        <v>0</v>
      </c>
      <c r="BR71" s="123">
        <f t="shared" si="55"/>
        <v>0</v>
      </c>
      <c r="BS71" s="123"/>
      <c r="BT71" s="123"/>
      <c r="BU71" s="123">
        <f t="shared" si="56"/>
        <v>0</v>
      </c>
      <c r="BV71" s="123">
        <f t="shared" si="57"/>
        <v>0</v>
      </c>
      <c r="BX71" s="123">
        <f t="shared" si="58"/>
        <v>0</v>
      </c>
      <c r="BY71" s="123"/>
    </row>
    <row r="72" spans="5:77" x14ac:dyDescent="0.25">
      <c r="E72">
        <v>61</v>
      </c>
      <c r="F72">
        <v>4000</v>
      </c>
      <c r="G72" s="58">
        <f t="shared" si="59"/>
        <v>1.7535470945496535E-3</v>
      </c>
      <c r="H72" s="58">
        <f t="shared" si="60"/>
        <v>-0.75959047365308752</v>
      </c>
      <c r="I72">
        <f t="shared" si="61"/>
        <v>13.375434706050109</v>
      </c>
      <c r="J72">
        <f t="shared" si="62"/>
        <v>-82.206743599653123</v>
      </c>
      <c r="K72" t="str">
        <f t="shared" si="63"/>
        <v>5286.30628709297-14.0468025017073i</v>
      </c>
      <c r="L72" t="str">
        <f t="shared" si="64"/>
        <v>1000000-39788744.050787i</v>
      </c>
      <c r="M72" t="str">
        <f t="shared" si="65"/>
        <v>149983.669583737-565.014567753197i</v>
      </c>
      <c r="N72">
        <f t="shared" si="21"/>
        <v>-29.358733000086485</v>
      </c>
      <c r="O72">
        <f t="shared" si="66"/>
        <v>6.1430681922788596E-2</v>
      </c>
      <c r="P72" t="str">
        <f t="shared" si="67"/>
        <v>-846569.02235717i</v>
      </c>
      <c r="Q72" t="str">
        <f t="shared" si="68"/>
        <v>5900-3315.72867089892i</v>
      </c>
      <c r="R72" t="str">
        <f t="shared" si="22"/>
        <v>5853.77133441284-3343.43030247372i</v>
      </c>
      <c r="S72" t="str">
        <f t="shared" si="69"/>
        <v>3807177.60857323-19136957.9482765i</v>
      </c>
      <c r="T72" t="str">
        <f t="shared" si="23"/>
        <v>5851.57319187487-3344.19865642397i</v>
      </c>
      <c r="U72" t="str">
        <f t="shared" si="24"/>
        <v>0.999600159936026-0.0199920031987205i</v>
      </c>
      <c r="V72">
        <f t="shared" si="70"/>
        <v>16.571171750134837</v>
      </c>
      <c r="W72">
        <f t="shared" si="71"/>
        <v>-30.893917025477474</v>
      </c>
      <c r="X72">
        <f t="shared" si="25"/>
        <v>-1.7368305846464187E-3</v>
      </c>
      <c r="Y72">
        <f t="shared" si="72"/>
        <v>-1.1457630765443418</v>
      </c>
      <c r="AA72" s="123">
        <f t="shared" si="26"/>
        <v>13.377188253144659</v>
      </c>
      <c r="AB72" s="123">
        <f t="shared" si="27"/>
        <v>-82.966334073306214</v>
      </c>
      <c r="AC72">
        <f t="shared" si="28"/>
        <v>-12.787561249951647</v>
      </c>
      <c r="AD72">
        <f t="shared" si="29"/>
        <v>-30.832486343554685</v>
      </c>
      <c r="AE72" s="123">
        <f t="shared" si="30"/>
        <v>0.5896270031930122</v>
      </c>
      <c r="AF72" s="123">
        <f t="shared" si="31"/>
        <v>-113.79882041686091</v>
      </c>
      <c r="AI72" s="123">
        <f t="shared" si="32"/>
        <v>4238.5852502556081</v>
      </c>
      <c r="AJ72" s="123">
        <f t="shared" si="33"/>
        <v>-112.84082850526444</v>
      </c>
      <c r="AK72" s="123">
        <f t="shared" si="34"/>
        <v>0</v>
      </c>
      <c r="AL72" s="123">
        <f t="shared" si="35"/>
        <v>0</v>
      </c>
      <c r="AM72" s="123">
        <f t="shared" si="36"/>
        <v>0</v>
      </c>
      <c r="AN72" s="123">
        <f t="shared" si="37"/>
        <v>0</v>
      </c>
      <c r="AO72" s="123">
        <f t="shared" si="38"/>
        <v>0</v>
      </c>
      <c r="AP72" s="123"/>
      <c r="AQ72" s="123">
        <f t="shared" si="39"/>
        <v>0</v>
      </c>
      <c r="AR72" s="123">
        <f t="shared" si="40"/>
        <v>0</v>
      </c>
      <c r="AS72" s="123">
        <f t="shared" si="41"/>
        <v>0</v>
      </c>
      <c r="AW72" t="str">
        <f t="shared" si="73"/>
        <v>26100</v>
      </c>
      <c r="AX72" t="str">
        <f t="shared" si="74"/>
        <v>0.001-3978.8744050787i</v>
      </c>
      <c r="AY72" t="str">
        <f t="shared" si="42"/>
        <v>592.792981329378-3888.50456946849i</v>
      </c>
      <c r="AZ72">
        <f t="shared" si="75"/>
        <v>-2.083971643650973</v>
      </c>
      <c r="BA72">
        <f t="shared" si="76"/>
        <v>-81.332152546926395</v>
      </c>
      <c r="BB72">
        <f t="shared" si="77"/>
        <v>-2.4471583835730979E-2</v>
      </c>
      <c r="BC72">
        <f t="shared" si="78"/>
        <v>1.7025004248024491</v>
      </c>
      <c r="BD72" s="123">
        <f t="shared" si="43"/>
        <v>-2.2718036741181325E-2</v>
      </c>
      <c r="BE72" s="123">
        <f t="shared" si="44"/>
        <v>0.9429099511493616</v>
      </c>
      <c r="BF72">
        <f t="shared" si="45"/>
        <v>14.487200106483865</v>
      </c>
      <c r="BG72">
        <f t="shared" si="46"/>
        <v>-112.22606957240387</v>
      </c>
      <c r="BH72" s="123">
        <f t="shared" si="47"/>
        <v>14.464482069742683</v>
      </c>
      <c r="BI72" s="123">
        <f t="shared" si="48"/>
        <v>-111.28315962125451</v>
      </c>
      <c r="BL72" s="123">
        <f t="shared" si="49"/>
        <v>0</v>
      </c>
      <c r="BM72" s="123">
        <f t="shared" si="50"/>
        <v>0</v>
      </c>
      <c r="BN72" s="123">
        <f t="shared" si="51"/>
        <v>0</v>
      </c>
      <c r="BO72" s="123">
        <f t="shared" si="52"/>
        <v>0</v>
      </c>
      <c r="BP72" s="123">
        <f t="shared" si="53"/>
        <v>0</v>
      </c>
      <c r="BQ72" s="123">
        <f t="shared" si="54"/>
        <v>0</v>
      </c>
      <c r="BR72" s="123">
        <f t="shared" si="55"/>
        <v>0</v>
      </c>
      <c r="BS72" s="123"/>
      <c r="BT72" s="123"/>
      <c r="BU72" s="123">
        <f t="shared" si="56"/>
        <v>0</v>
      </c>
      <c r="BV72" s="123">
        <f t="shared" si="57"/>
        <v>0</v>
      </c>
      <c r="BX72" s="123">
        <f t="shared" si="58"/>
        <v>0</v>
      </c>
      <c r="BY72" s="123"/>
    </row>
    <row r="73" spans="5:77" x14ac:dyDescent="0.25">
      <c r="E73">
        <v>62</v>
      </c>
      <c r="F73">
        <v>4500</v>
      </c>
      <c r="G73" s="58">
        <f t="shared" si="59"/>
        <v>2.2193294627217645E-3</v>
      </c>
      <c r="H73" s="58">
        <f t="shared" si="60"/>
        <v>-0.85459176237765277</v>
      </c>
      <c r="I73">
        <f t="shared" si="61"/>
        <v>12.364078250990778</v>
      </c>
      <c r="J73">
        <f t="shared" si="62"/>
        <v>-82.707797156766048</v>
      </c>
      <c r="K73" t="str">
        <f t="shared" si="63"/>
        <v>5286.29637266422-15.802623176661i</v>
      </c>
      <c r="L73" t="str">
        <f t="shared" si="64"/>
        <v>1000000-35367772.4895884i</v>
      </c>
      <c r="M73" t="str">
        <f t="shared" si="65"/>
        <v>149979.336398205-635.50049312697i</v>
      </c>
      <c r="N73">
        <f t="shared" si="21"/>
        <v>-29.358514201905244</v>
      </c>
      <c r="O73">
        <f t="shared" si="66"/>
        <v>6.9064049226725821E-2</v>
      </c>
      <c r="P73" t="str">
        <f t="shared" si="67"/>
        <v>-752505.797650818i</v>
      </c>
      <c r="Q73" t="str">
        <f t="shared" si="68"/>
        <v>5900-2947.31437413237i</v>
      </c>
      <c r="R73" t="str">
        <f t="shared" si="22"/>
        <v>5853.69640330364-2981.53244319325i</v>
      </c>
      <c r="S73" t="str">
        <f t="shared" si="69"/>
        <v>3032370.10014241-17147645.3657639i</v>
      </c>
      <c r="T73" t="str">
        <f t="shared" si="23"/>
        <v>5851.46893440569-2982.61745757615i</v>
      </c>
      <c r="U73" t="str">
        <f t="shared" si="24"/>
        <v>0.999494006159382-0.0224886151385861i</v>
      </c>
      <c r="V73">
        <f t="shared" si="70"/>
        <v>16.346169997374599</v>
      </c>
      <c r="W73">
        <f t="shared" si="71"/>
        <v>-28.297844381228277</v>
      </c>
      <c r="X73">
        <f t="shared" si="25"/>
        <v>-2.1980594777616471E-3</v>
      </c>
      <c r="Y73">
        <f t="shared" si="72"/>
        <v>-1.2889378283427966</v>
      </c>
      <c r="AA73" s="123">
        <f t="shared" si="26"/>
        <v>12.3662975804535</v>
      </c>
      <c r="AB73" s="123">
        <f t="shared" si="27"/>
        <v>-83.5623889191437</v>
      </c>
      <c r="AC73">
        <f t="shared" si="28"/>
        <v>-13.012344204530645</v>
      </c>
      <c r="AD73">
        <f t="shared" si="29"/>
        <v>-28.228780332001552</v>
      </c>
      <c r="AE73" s="123">
        <f t="shared" si="30"/>
        <v>-0.64604662407714564</v>
      </c>
      <c r="AF73" s="123">
        <f t="shared" si="31"/>
        <v>-111.79116925114525</v>
      </c>
      <c r="AI73" s="123">
        <f t="shared" si="32"/>
        <v>0</v>
      </c>
      <c r="AJ73" s="123">
        <f t="shared" si="33"/>
        <v>0</v>
      </c>
      <c r="AK73" s="123">
        <f t="shared" si="34"/>
        <v>0</v>
      </c>
      <c r="AL73" s="123">
        <f t="shared" si="35"/>
        <v>0</v>
      </c>
      <c r="AM73" s="123">
        <f t="shared" si="36"/>
        <v>0</v>
      </c>
      <c r="AN73" s="123">
        <f t="shared" si="37"/>
        <v>0</v>
      </c>
      <c r="AO73" s="123">
        <f t="shared" si="38"/>
        <v>0</v>
      </c>
      <c r="AP73" s="123"/>
      <c r="AQ73" s="123">
        <f t="shared" si="39"/>
        <v>0</v>
      </c>
      <c r="AR73" s="123">
        <f t="shared" si="40"/>
        <v>0</v>
      </c>
      <c r="AS73" s="123">
        <f t="shared" si="41"/>
        <v>0</v>
      </c>
      <c r="AW73" t="str">
        <f t="shared" si="73"/>
        <v>26100</v>
      </c>
      <c r="AX73" t="str">
        <f t="shared" si="74"/>
        <v>0.001-3536.77724895884i</v>
      </c>
      <c r="AY73" t="str">
        <f t="shared" si="42"/>
        <v>470.623205181984-3473.00357394262i</v>
      </c>
      <c r="AZ73">
        <f t="shared" si="75"/>
        <v>-3.0862707022528371</v>
      </c>
      <c r="BA73">
        <f t="shared" si="76"/>
        <v>-82.28293030948889</v>
      </c>
      <c r="BB73">
        <f t="shared" si="77"/>
        <v>-1.9372688469806516E-2</v>
      </c>
      <c r="BC73">
        <f t="shared" si="78"/>
        <v>1.5161917541401366</v>
      </c>
      <c r="BD73" s="123">
        <f t="shared" si="43"/>
        <v>-1.7153359007084749E-2</v>
      </c>
      <c r="BE73" s="123">
        <f t="shared" si="44"/>
        <v>0.66159999176248385</v>
      </c>
      <c r="BF73">
        <f t="shared" si="45"/>
        <v>13.259899295121762</v>
      </c>
      <c r="BG73">
        <f t="shared" si="46"/>
        <v>-110.58077469071716</v>
      </c>
      <c r="BH73" s="123">
        <f t="shared" si="47"/>
        <v>13.242745936114678</v>
      </c>
      <c r="BI73" s="123">
        <f t="shared" si="48"/>
        <v>-109.91917469895468</v>
      </c>
      <c r="BL73" s="123">
        <f t="shared" si="49"/>
        <v>0</v>
      </c>
      <c r="BM73" s="123">
        <f t="shared" si="50"/>
        <v>0</v>
      </c>
      <c r="BN73" s="123">
        <f t="shared" si="51"/>
        <v>0</v>
      </c>
      <c r="BO73" s="123">
        <f t="shared" si="52"/>
        <v>0</v>
      </c>
      <c r="BP73" s="123">
        <f t="shared" si="53"/>
        <v>0</v>
      </c>
      <c r="BQ73" s="123">
        <f t="shared" si="54"/>
        <v>0</v>
      </c>
      <c r="BR73" s="123">
        <f t="shared" si="55"/>
        <v>0</v>
      </c>
      <c r="BS73" s="123"/>
      <c r="BT73" s="123"/>
      <c r="BU73" s="123">
        <f t="shared" si="56"/>
        <v>0</v>
      </c>
      <c r="BV73" s="123">
        <f t="shared" si="57"/>
        <v>0</v>
      </c>
      <c r="BX73" s="123">
        <f t="shared" si="58"/>
        <v>0</v>
      </c>
      <c r="BY73" s="123"/>
    </row>
    <row r="74" spans="5:77" x14ac:dyDescent="0.25">
      <c r="E74">
        <v>63</v>
      </c>
      <c r="F74">
        <v>5000</v>
      </c>
      <c r="G74" s="58">
        <f t="shared" si="59"/>
        <v>2.7399079651973272E-3</v>
      </c>
      <c r="H74" s="58">
        <f t="shared" si="60"/>
        <v>-0.94961157950318897</v>
      </c>
      <c r="I74">
        <f t="shared" si="61"/>
        <v>11.457638801770404</v>
      </c>
      <c r="J74">
        <f t="shared" si="62"/>
        <v>-83.071734635588513</v>
      </c>
      <c r="K74" t="str">
        <f t="shared" si="63"/>
        <v>5286.28529187608-17.558433391375i</v>
      </c>
      <c r="L74" t="str">
        <f t="shared" si="64"/>
        <v>1000000-31830995.2406296i</v>
      </c>
      <c r="M74" t="str">
        <f t="shared" si="65"/>
        <v>149974.495698845-705.936772752565i</v>
      </c>
      <c r="N74">
        <f t="shared" si="21"/>
        <v>-29.358269767497713</v>
      </c>
      <c r="O74">
        <f t="shared" si="66"/>
        <v>7.6681392525457817E-2</v>
      </c>
      <c r="P74" t="str">
        <f t="shared" si="67"/>
        <v>-677255.217885736i</v>
      </c>
      <c r="Q74" t="str">
        <f t="shared" si="68"/>
        <v>5900-2652.58293671913i</v>
      </c>
      <c r="R74" t="str">
        <f t="shared" si="22"/>
        <v>5853.61265903988-2693.0297714501i</v>
      </c>
      <c r="S74" t="str">
        <f t="shared" si="69"/>
        <v>2470453.30571766-15522312.6832323i</v>
      </c>
      <c r="T74" t="str">
        <f t="shared" si="23"/>
        <v>5851.36162092735-2694.41064762862i</v>
      </c>
      <c r="U74" t="str">
        <f t="shared" si="24"/>
        <v>0.999375390381012-0.0249843847595253i</v>
      </c>
      <c r="V74">
        <f t="shared" si="70"/>
        <v>16.177587636944782</v>
      </c>
      <c r="W74">
        <f t="shared" si="71"/>
        <v>-26.157029873539852</v>
      </c>
      <c r="X74">
        <f t="shared" si="25"/>
        <v>-2.7134926337472106E-3</v>
      </c>
      <c r="Y74">
        <f t="shared" si="72"/>
        <v>-1.4320964821038593</v>
      </c>
      <c r="AA74" s="123">
        <f t="shared" si="26"/>
        <v>11.460378709735602</v>
      </c>
      <c r="AB74" s="123">
        <f t="shared" si="27"/>
        <v>-84.021346215091697</v>
      </c>
      <c r="AC74">
        <f t="shared" si="28"/>
        <v>-13.180682130552931</v>
      </c>
      <c r="AD74">
        <f t="shared" si="29"/>
        <v>-26.080348481014394</v>
      </c>
      <c r="AE74" s="123">
        <f t="shared" si="30"/>
        <v>-1.7203034208173289</v>
      </c>
      <c r="AF74" s="123">
        <f t="shared" si="31"/>
        <v>-110.10169469610609</v>
      </c>
      <c r="AI74" s="123">
        <f t="shared" si="32"/>
        <v>0</v>
      </c>
      <c r="AJ74" s="123">
        <f t="shared" si="33"/>
        <v>0</v>
      </c>
      <c r="AK74" s="123">
        <f t="shared" si="34"/>
        <v>0</v>
      </c>
      <c r="AL74" s="123">
        <f t="shared" si="35"/>
        <v>0</v>
      </c>
      <c r="AM74" s="123">
        <f t="shared" si="36"/>
        <v>0</v>
      </c>
      <c r="AN74" s="123">
        <f t="shared" si="37"/>
        <v>0</v>
      </c>
      <c r="AO74" s="123">
        <f t="shared" si="38"/>
        <v>0</v>
      </c>
      <c r="AP74" s="123"/>
      <c r="AQ74" s="123">
        <f t="shared" si="39"/>
        <v>0</v>
      </c>
      <c r="AR74" s="123">
        <f t="shared" si="40"/>
        <v>0</v>
      </c>
      <c r="AS74" s="123">
        <f t="shared" si="41"/>
        <v>0</v>
      </c>
      <c r="AW74" t="str">
        <f t="shared" si="73"/>
        <v>26100</v>
      </c>
      <c r="AX74" t="str">
        <f t="shared" si="74"/>
        <v>0.001-3183.09952406296i</v>
      </c>
      <c r="AY74" t="str">
        <f t="shared" si="42"/>
        <v>382.51547525578-3136.4486442284i</v>
      </c>
      <c r="AZ74">
        <f t="shared" si="75"/>
        <v>-3.9865161015927608</v>
      </c>
      <c r="BA74">
        <f t="shared" si="76"/>
        <v>-83.046668522164794</v>
      </c>
      <c r="BB74">
        <f t="shared" si="77"/>
        <v>-1.5713455396060304E-2</v>
      </c>
      <c r="BC74">
        <f t="shared" si="78"/>
        <v>1.3664186482454563</v>
      </c>
      <c r="BD74" s="123">
        <f t="shared" si="43"/>
        <v>-1.2973547430862976E-2</v>
      </c>
      <c r="BE74" s="123">
        <f t="shared" si="44"/>
        <v>0.41680706874226736</v>
      </c>
      <c r="BF74">
        <f t="shared" si="45"/>
        <v>12.191071535352021</v>
      </c>
      <c r="BG74">
        <f t="shared" si="46"/>
        <v>-109.20369839570465</v>
      </c>
      <c r="BH74" s="123">
        <f t="shared" si="47"/>
        <v>12.178097987921159</v>
      </c>
      <c r="BI74" s="123">
        <f t="shared" si="48"/>
        <v>-108.78689132696238</v>
      </c>
      <c r="BL74" s="123">
        <f t="shared" si="49"/>
        <v>0</v>
      </c>
      <c r="BM74" s="123">
        <f t="shared" si="50"/>
        <v>0</v>
      </c>
      <c r="BN74" s="123">
        <f t="shared" si="51"/>
        <v>0</v>
      </c>
      <c r="BO74" s="123">
        <f t="shared" si="52"/>
        <v>0</v>
      </c>
      <c r="BP74" s="123">
        <f t="shared" si="53"/>
        <v>0</v>
      </c>
      <c r="BQ74" s="123">
        <f t="shared" si="54"/>
        <v>0</v>
      </c>
      <c r="BR74" s="123">
        <f t="shared" si="55"/>
        <v>0</v>
      </c>
      <c r="BS74" s="123"/>
      <c r="BT74" s="123"/>
      <c r="BU74" s="123">
        <f t="shared" si="56"/>
        <v>0</v>
      </c>
      <c r="BV74" s="123">
        <f t="shared" si="57"/>
        <v>0</v>
      </c>
      <c r="BX74" s="123">
        <f t="shared" si="58"/>
        <v>0</v>
      </c>
      <c r="BY74" s="123"/>
    </row>
    <row r="75" spans="5:77" x14ac:dyDescent="0.25">
      <c r="E75">
        <v>64</v>
      </c>
      <c r="F75">
        <v>5500</v>
      </c>
      <c r="G75" s="58">
        <f t="shared" si="59"/>
        <v>3.315281995411238E-3</v>
      </c>
      <c r="H75" s="58">
        <f t="shared" si="60"/>
        <v>-1.0446519871960063</v>
      </c>
      <c r="I75">
        <f t="shared" si="61"/>
        <v>10.636572584928579</v>
      </c>
      <c r="J75">
        <f t="shared" si="62"/>
        <v>-83.335594952847913</v>
      </c>
      <c r="K75" t="str">
        <f t="shared" si="63"/>
        <v>5286.27304474324-19.3142319836818i</v>
      </c>
      <c r="L75" t="str">
        <f t="shared" si="64"/>
        <v>1000000-28937268.4005724i</v>
      </c>
      <c r="M75" t="str">
        <f t="shared" si="65"/>
        <v>149969.148241154-776.317935969463i</v>
      </c>
      <c r="N75">
        <f t="shared" si="21"/>
        <v>-29.357999731691066</v>
      </c>
      <c r="O75">
        <f t="shared" si="66"/>
        <v>8.4280944409495309E-2</v>
      </c>
      <c r="P75" t="str">
        <f t="shared" si="67"/>
        <v>-615686.561714305i</v>
      </c>
      <c r="Q75" t="str">
        <f t="shared" si="68"/>
        <v>5900-2411.43903338103i</v>
      </c>
      <c r="R75" t="str">
        <f t="shared" si="22"/>
        <v>5853.52010237816-2457.90533865555i</v>
      </c>
      <c r="S75" t="str">
        <f t="shared" si="69"/>
        <v>2050488.54690633-14171956.5131156i</v>
      </c>
      <c r="T75" t="str">
        <f t="shared" si="23"/>
        <v>5851.24899499409-2459.56693994553i</v>
      </c>
      <c r="U75" t="str">
        <f t="shared" si="24"/>
        <v>0.999244321481879-0.0274792188407517i</v>
      </c>
      <c r="V75">
        <f t="shared" si="70"/>
        <v>16.048321365566782</v>
      </c>
      <c r="W75">
        <f t="shared" si="71"/>
        <v>-24.374645719877257</v>
      </c>
      <c r="X75">
        <f t="shared" si="25"/>
        <v>-3.2831107495560861E-3</v>
      </c>
      <c r="Y75">
        <f t="shared" si="72"/>
        <v>-1.5752372534018613</v>
      </c>
      <c r="AA75" s="123">
        <f t="shared" si="26"/>
        <v>10.63988786692399</v>
      </c>
      <c r="AB75" s="123">
        <f t="shared" si="27"/>
        <v>-84.380246940043918</v>
      </c>
      <c r="AC75">
        <f t="shared" si="28"/>
        <v>-13.309678366124285</v>
      </c>
      <c r="AD75">
        <f t="shared" si="29"/>
        <v>-24.290364775467761</v>
      </c>
      <c r="AE75" s="123">
        <f t="shared" si="30"/>
        <v>-2.6697904992002943</v>
      </c>
      <c r="AF75" s="123">
        <f t="shared" si="31"/>
        <v>-108.67061171551168</v>
      </c>
      <c r="AI75" s="123">
        <f t="shared" si="32"/>
        <v>0</v>
      </c>
      <c r="AJ75" s="123">
        <f t="shared" si="33"/>
        <v>0</v>
      </c>
      <c r="AK75" s="123">
        <f t="shared" si="34"/>
        <v>0</v>
      </c>
      <c r="AL75" s="123">
        <f t="shared" si="35"/>
        <v>0</v>
      </c>
      <c r="AM75" s="123">
        <f t="shared" si="36"/>
        <v>0</v>
      </c>
      <c r="AN75" s="123">
        <f t="shared" si="37"/>
        <v>0</v>
      </c>
      <c r="AO75" s="123">
        <f t="shared" si="38"/>
        <v>0</v>
      </c>
      <c r="AP75" s="123"/>
      <c r="AQ75" s="123">
        <f t="shared" si="39"/>
        <v>0</v>
      </c>
      <c r="AR75" s="123">
        <f t="shared" si="40"/>
        <v>0</v>
      </c>
      <c r="AS75" s="123">
        <f t="shared" si="41"/>
        <v>0</v>
      </c>
      <c r="AW75" t="str">
        <f t="shared" si="73"/>
        <v>26100</v>
      </c>
      <c r="AX75" t="str">
        <f t="shared" si="74"/>
        <v>0.001-2893.72684005724i</v>
      </c>
      <c r="AY75" t="str">
        <f t="shared" si="42"/>
        <v>316.934804388879-2858.58792785049i</v>
      </c>
      <c r="AZ75">
        <f t="shared" si="75"/>
        <v>-4.803309208695075</v>
      </c>
      <c r="BA75">
        <f t="shared" si="76"/>
        <v>-83.673409616064163</v>
      </c>
      <c r="BB75">
        <f t="shared" si="77"/>
        <v>-1.2999553650822841E-2</v>
      </c>
      <c r="BC75">
        <f t="shared" si="78"/>
        <v>1.243443503518572</v>
      </c>
      <c r="BD75" s="123">
        <f t="shared" si="43"/>
        <v>-9.684271655411603E-3</v>
      </c>
      <c r="BE75" s="123">
        <f t="shared" si="44"/>
        <v>0.19879151632256575</v>
      </c>
      <c r="BF75">
        <f t="shared" si="45"/>
        <v>11.245012156871706</v>
      </c>
      <c r="BG75">
        <f t="shared" si="46"/>
        <v>-108.04805533594143</v>
      </c>
      <c r="BH75" s="123">
        <f t="shared" si="47"/>
        <v>11.235327885216295</v>
      </c>
      <c r="BI75" s="123">
        <f t="shared" si="48"/>
        <v>-107.84926381961886</v>
      </c>
      <c r="BL75" s="123">
        <f t="shared" si="49"/>
        <v>0</v>
      </c>
      <c r="BM75" s="123">
        <f t="shared" si="50"/>
        <v>0</v>
      </c>
      <c r="BN75" s="123">
        <f t="shared" si="51"/>
        <v>0</v>
      </c>
      <c r="BO75" s="123">
        <f t="shared" si="52"/>
        <v>0</v>
      </c>
      <c r="BP75" s="123">
        <f t="shared" si="53"/>
        <v>0</v>
      </c>
      <c r="BQ75" s="123">
        <f t="shared" si="54"/>
        <v>0</v>
      </c>
      <c r="BR75" s="123">
        <f t="shared" si="55"/>
        <v>0</v>
      </c>
      <c r="BS75" s="123"/>
      <c r="BT75" s="123"/>
      <c r="BU75" s="123">
        <f t="shared" si="56"/>
        <v>0</v>
      </c>
      <c r="BV75" s="123">
        <f t="shared" si="57"/>
        <v>0</v>
      </c>
      <c r="BX75" s="123">
        <f t="shared" si="58"/>
        <v>0</v>
      </c>
      <c r="BY75" s="123"/>
    </row>
    <row r="76" spans="5:77" x14ac:dyDescent="0.25">
      <c r="E76">
        <v>65</v>
      </c>
      <c r="F76">
        <v>6000</v>
      </c>
      <c r="G76" s="58">
        <f t="shared" ref="G76:G107" si="79">20*LOG(IMABS(IMDIV(1,IMSUM(0,IMSUM(COMPLEX(0,2*PI*F76/Wsh),COMPLEX(1-(F76/fsw_sh)^2,0))))))</f>
        <v>3.9454508779341218E-3</v>
      </c>
      <c r="H76" s="58">
        <f t="shared" ref="H76:H107" si="80">180/PI*IMARGUMENT(IMDIV(1,IMSUM(0,IMSUM(COMPLEX(0,2*PI*F76/Wsh),COMPLEX(1-(F76/fsw_sh)^2,0)))))</f>
        <v>-1.1397150487139274</v>
      </c>
      <c r="I76">
        <f t="shared" ref="I76:I107" si="81">20*LOG(IMABS(IMPRODUCT(A_COMP2VOUT,IMDIV(COMPLEX(1, 2*PI*F76/Wesr_zero),COMPLEX(1, 2*PI*F76/Wload_pole)))))</f>
        <v>9.8863067397251712</v>
      </c>
      <c r="J76">
        <f t="shared" ref="J76:J107" si="82">180/PI*(IMARGUMENT(IMPRODUCT(A_COMP2VOUT,IMDIV(COMPLEX(1, 2*PI*F76/Wesr_zero),COMPLEX(1, 2*PI*F76/Wload_pole)))))</f>
        <v>-83.524206570625964</v>
      </c>
      <c r="K76" t="str">
        <f t="shared" ref="K76:K107" si="83">IMDIV(IMPRODUCT(COMPLEX(R.fbb,0),IMDIV(COMPLEX(1,0),COMPLEX(0,2*PI*F76*C.fbb))),IMSUM(COMPLEX(R.fbb,0),IMDIV(COMPLEX(1,0),COMPLEX(0,2*PI*F76*C.fbb))) )</f>
        <v>5286.25963128191-21.0700177914394i</v>
      </c>
      <c r="L76" t="str">
        <f t="shared" ref="L76:L107" si="84">IMSUM(COMPLEX(R.ff,0),IMDIV(COMPLEX(1,0),COMPLEX(0,2*PI*F76*C.ff)))</f>
        <v>1000000-26525829.3671913i</v>
      </c>
      <c r="M76" t="str">
        <f t="shared" ref="M76:M107" si="85">IMDIV(IMPRODUCT(COMPLEX(R.fbt,0),L76),IMSUM(COMPLEX(R.fbt,0),L76))</f>
        <v>149963.294859063-846.638526435634i</v>
      </c>
      <c r="N76">
        <f t="shared" si="21"/>
        <v>-29.357704132933989</v>
      </c>
      <c r="O76">
        <f t="shared" ref="O76:O107" si="86">180/PI*IMARGUMENT((IMDIV(K76,IMSUM(K76,M76))))</f>
        <v>9.1860941570398466E-2</v>
      </c>
      <c r="P76" t="str">
        <f t="shared" ref="P76:P107" si="87">IMDIV(COMPLEX(1,0),COMPLEX(0,2*PI*F76*C.hf))</f>
        <v>-564379.348238113i</v>
      </c>
      <c r="Q76" t="str">
        <f t="shared" ref="Q76:Q107" si="88">IMSUM(R.comp,0,IMDIV(COMPLEX(1,0),COMPLEX(0,2*PI*F76*C.comp)))</f>
        <v>5900-2210.48578059928i</v>
      </c>
      <c r="R76" t="str">
        <f t="shared" si="22"/>
        <v>5853.41873415464-2262.81450477527i</v>
      </c>
      <c r="S76" t="str">
        <f t="shared" ref="S76:S107" si="89">IMDIV(IMPRODUCT(COMPLEX(R.eaout,0),IMDIV(1,COMPLEX(0,2*PI*F76*C.eaout))),IMSUM(COMPLEX(R.eaout,0),IMDIV(1,COMPLEX(0,2*PI*F76*C.eaout))))</f>
        <v>1728641.40861098-13033646.4483863i</v>
      </c>
      <c r="T76" t="str">
        <f t="shared" si="23"/>
        <v>5851.12969954063-2264.74546810042i</v>
      </c>
      <c r="U76" t="str">
        <f t="shared" si="24"/>
        <v>0.999100809271656-0.0299730242781497i</v>
      </c>
      <c r="V76">
        <f t="shared" ref="V76:V107" si="90">20*LOG(IMABS(IMPRODUCT(IMPRODUCT(COMPLEX(GM,0),T76),U76)))</f>
        <v>15.947172584796409</v>
      </c>
      <c r="W76">
        <f t="shared" ref="W76:W107" si="91">180/PI*IMARGUMENT((IMPRODUCT(IMPRODUCT(COMPLEX(GM,0),T76),U76)))</f>
        <v>-22.877851501533133</v>
      </c>
      <c r="X76">
        <f t="shared" si="25"/>
        <v>-3.9068924990976498E-3</v>
      </c>
      <c r="Y76">
        <f t="shared" ref="Y76:Y107" si="92">180/PI*IMARGUMENT((U76))</f>
        <v>-1.718358359149764</v>
      </c>
      <c r="AA76" s="123">
        <f t="shared" si="26"/>
        <v>9.8902521906031051</v>
      </c>
      <c r="AB76" s="123">
        <f t="shared" si="27"/>
        <v>-84.663921619339888</v>
      </c>
      <c r="AC76">
        <f t="shared" si="28"/>
        <v>-13.41053154813758</v>
      </c>
      <c r="AD76">
        <f t="shared" si="29"/>
        <v>-22.785990559962734</v>
      </c>
      <c r="AE76" s="123">
        <f t="shared" si="30"/>
        <v>-3.5202793575344753</v>
      </c>
      <c r="AF76" s="123">
        <f t="shared" si="31"/>
        <v>-107.44991217930263</v>
      </c>
      <c r="AI76" s="123">
        <f t="shared" si="32"/>
        <v>0</v>
      </c>
      <c r="AJ76" s="123">
        <f t="shared" si="33"/>
        <v>0</v>
      </c>
      <c r="AK76" s="123">
        <f t="shared" si="34"/>
        <v>0</v>
      </c>
      <c r="AL76" s="123">
        <f t="shared" si="35"/>
        <v>0</v>
      </c>
      <c r="AM76" s="123">
        <f t="shared" si="36"/>
        <v>0</v>
      </c>
      <c r="AN76" s="123">
        <f t="shared" si="37"/>
        <v>0</v>
      </c>
      <c r="AO76" s="123">
        <f t="shared" si="38"/>
        <v>0</v>
      </c>
      <c r="AP76" s="123"/>
      <c r="AQ76" s="123">
        <f t="shared" si="39"/>
        <v>0</v>
      </c>
      <c r="AR76" s="123">
        <f t="shared" si="40"/>
        <v>0</v>
      </c>
      <c r="AS76" s="123">
        <f t="shared" si="41"/>
        <v>0</v>
      </c>
      <c r="AW76" t="str">
        <f t="shared" ref="AW76:AW107" si="93">COMPLEX(R.imon,0)</f>
        <v>26100</v>
      </c>
      <c r="AX76" t="str">
        <f t="shared" ref="AX76:AX107" si="94">IMSUM(R.imonhf,0,IMDIV(COMPLEX(1,0),COMPLEX(0,2*PI*F76*C.imon)))</f>
        <v>0.001-2652.58293671913i</v>
      </c>
      <c r="AY76" t="str">
        <f t="shared" si="42"/>
        <v>266.830953879416-2625.46439799448i</v>
      </c>
      <c r="AZ76">
        <f t="shared" ref="AZ76:AZ107" si="95">20*LOG(IMABS(IMDIV(IMPRODUCT(IMPRODUCT(COMPLEX(-1,0),COMPLEX(GM.imon,0)),AY76),COMPLEX(A.s_typ,0))))</f>
        <v>-5.5506490354865532</v>
      </c>
      <c r="BA76">
        <f t="shared" ref="BA76:BA107" si="96">180/PI*(IMARGUMENT(IMDIV(IMPRODUCT(IMPRODUCT(COMPLEX(1,0),COMPLEX(GM.imon,0)),AY76),COMPLEX(A.s_typ,0))))</f>
        <v>-84.196863780210421</v>
      </c>
      <c r="BB76">
        <f t="shared" ref="BB76:BB107" si="97">20*LOG(IMABS(IMPRODUCT(A_COMP2CS,IMPRODUCT(IMDIV(COMPLEX(1, 2*PI*F76/Wesr_zero),COMPLEX(1, 2*PI*F76/Wload_pole)),IMDIV(COMPLEX(1, 2*PI*F76/WloadZ),COMPLEX(1, 2*PI*F76/Wesr_zero))))))</f>
        <v>-1.0931705000856256E-2</v>
      </c>
      <c r="BC76">
        <f t="shared" ref="BC76:BC107" si="98">180/PI*(IMARGUMENT(IMPRODUCT(A_COMP2CS,IMPRODUCT(IMDIV(COMPLEX(1, 2*PI*F76/Wesr_zero),COMPLEX(1, 2*PI*F76/Wload_pole)),IMDIV(COMPLEX(1, 2*PI*F76/WloadZ),COMPLEX(1, 2*PI*F76/Wesr_zero))))))</f>
        <v>1.1406926212814963</v>
      </c>
      <c r="BD76" s="123">
        <f t="shared" si="43"/>
        <v>-6.9862541229221342E-3</v>
      </c>
      <c r="BE76" s="123">
        <f t="shared" si="44"/>
        <v>9.7757256756891842E-4</v>
      </c>
      <c r="BF76">
        <f t="shared" si="45"/>
        <v>10.396523549309855</v>
      </c>
      <c r="BG76">
        <f t="shared" si="46"/>
        <v>-107.07471528174355</v>
      </c>
      <c r="BH76" s="123">
        <f t="shared" si="47"/>
        <v>10.389537295186933</v>
      </c>
      <c r="BI76" s="123">
        <f t="shared" si="48"/>
        <v>-107.07373770917599</v>
      </c>
      <c r="BL76" s="123">
        <f t="shared" si="49"/>
        <v>0</v>
      </c>
      <c r="BM76" s="123">
        <f t="shared" si="50"/>
        <v>0</v>
      </c>
      <c r="BN76" s="123">
        <f t="shared" si="51"/>
        <v>0</v>
      </c>
      <c r="BO76" s="123">
        <f t="shared" si="52"/>
        <v>0</v>
      </c>
      <c r="BP76" s="123">
        <f t="shared" si="53"/>
        <v>0</v>
      </c>
      <c r="BQ76" s="123">
        <f t="shared" si="54"/>
        <v>0</v>
      </c>
      <c r="BR76" s="123">
        <f t="shared" si="55"/>
        <v>0</v>
      </c>
      <c r="BS76" s="123"/>
      <c r="BT76" s="123"/>
      <c r="BU76" s="123">
        <f t="shared" si="56"/>
        <v>0</v>
      </c>
      <c r="BV76" s="123">
        <f t="shared" si="57"/>
        <v>0</v>
      </c>
      <c r="BX76" s="123">
        <f t="shared" si="58"/>
        <v>0</v>
      </c>
      <c r="BY76" s="123"/>
    </row>
    <row r="77" spans="5:77" x14ac:dyDescent="0.25">
      <c r="E77">
        <v>66</v>
      </c>
      <c r="F77">
        <v>6500</v>
      </c>
      <c r="G77" s="58">
        <f t="shared" si="79"/>
        <v>4.6304138669952116E-3</v>
      </c>
      <c r="H77" s="58">
        <f t="shared" si="80"/>
        <v>-1.2348028285156334</v>
      </c>
      <c r="I77">
        <f t="shared" si="81"/>
        <v>9.1956933257030276</v>
      </c>
      <c r="J77">
        <f t="shared" si="82"/>
        <v>-83.65482931773289</v>
      </c>
      <c r="K77" t="str">
        <f t="shared" si="83"/>
        <v>5286.24505150983-22.825789652534i</v>
      </c>
      <c r="L77" t="str">
        <f t="shared" si="84"/>
        <v>1000000-24485380.9543305i</v>
      </c>
      <c r="M77" t="str">
        <f t="shared" si="85"/>
        <v>149956.936464619-916.893103529221i</v>
      </c>
      <c r="N77">
        <f t="shared" ref="N77:N138" si="99">20*LOG(IMABS(IMDIV(K77,IMSUM(K77,M77))))</f>
        <v>-29.357383013283425</v>
      </c>
      <c r="O77">
        <f t="shared" si="86"/>
        <v>9.9419625203181636E-2</v>
      </c>
      <c r="P77" t="str">
        <f t="shared" si="87"/>
        <v>-520965.552219797i</v>
      </c>
      <c r="Q77" t="str">
        <f t="shared" si="88"/>
        <v>5900-2040.44841286087i</v>
      </c>
      <c r="R77" t="str">
        <f t="shared" ref="R77:R138" si="100">IMDIV(IMPRODUCT(P77,Q77),IMSUM(P77,Q77))</f>
        <v>5853.30855528498-2098.51866580997i</v>
      </c>
      <c r="S77" t="str">
        <f t="shared" si="89"/>
        <v>1476701.388355-12061902.4969169i</v>
      </c>
      <c r="T77" t="str">
        <f t="shared" ref="T77:T138" si="101">IMDIV(IMPRODUCT(R77,S77),IMSUM(R77,S77))</f>
        <v>5851.00287886992-2100.71023965183i</v>
      </c>
      <c r="U77" t="str">
        <f t="shared" ref="U77:U138" si="102">IMDIV(COMPLEX(1,0),IMSUM(COMPLEX(1,0),COMPLEX(0,F77/200000)))</f>
        <v>0.998944864486886-0.0324657080958238i</v>
      </c>
      <c r="V77">
        <f t="shared" si="90"/>
        <v>15.866597577043425</v>
      </c>
      <c r="W77">
        <f t="shared" si="91"/>
        <v>-21.611336807861807</v>
      </c>
      <c r="X77">
        <f t="shared" ref="X77:X138" si="103">20*LOG(IMABS(U77))</f>
        <v>-4.5848145359586217E-3</v>
      </c>
      <c r="Y77">
        <f t="shared" si="92"/>
        <v>-1.8614580177320734</v>
      </c>
      <c r="AA77" s="123">
        <f t="shared" ref="AA77:AA138" si="104">G77+I77</f>
        <v>9.2003237395700221</v>
      </c>
      <c r="AB77" s="123">
        <f t="shared" ref="AB77:AB138" si="105">H77+J77</f>
        <v>-84.88963214624853</v>
      </c>
      <c r="AC77">
        <f t="shared" ref="AC77:AC138" si="106">N77+V77</f>
        <v>-13.490785436239999</v>
      </c>
      <c r="AD77">
        <f t="shared" ref="AD77:AD138" si="107">O77+W77</f>
        <v>-21.511917182658625</v>
      </c>
      <c r="AE77" s="123">
        <f t="shared" ref="AE77:AE138" si="108">AA77+AC77</f>
        <v>-4.2904616966699773</v>
      </c>
      <c r="AF77" s="123">
        <f t="shared" ref="AF77:AF138" si="109">AB77+AD77</f>
        <v>-106.40154932890715</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26100</v>
      </c>
      <c r="AX77" t="str">
        <f t="shared" si="94"/>
        <v>0.001-2448.53809543305i</v>
      </c>
      <c r="AY77" t="str">
        <f t="shared" ref="AY77:AY138" si="120">IMDIV(IMPRODUCT(AW77,AX77),IMSUM(AW77,AX77))</f>
        <v>227.703429081327-2427.17629666896i</v>
      </c>
      <c r="AZ77">
        <f t="shared" si="95"/>
        <v>-6.2393182109249503</v>
      </c>
      <c r="BA77">
        <f t="shared" si="96"/>
        <v>-84.640550305467173</v>
      </c>
      <c r="BB77">
        <f t="shared" si="97"/>
        <v>-9.3202127249295171E-3</v>
      </c>
      <c r="BC77">
        <f t="shared" si="98"/>
        <v>1.0535724689535866</v>
      </c>
      <c r="BD77" s="123">
        <f t="shared" ref="BD77:BD138" si="121">G77+BB77</f>
        <v>-4.6897988579343054E-3</v>
      </c>
      <c r="BE77" s="123">
        <f t="shared" ref="BE77:BE138" si="122">H77+BC77</f>
        <v>-0.18123035956204681</v>
      </c>
      <c r="BF77">
        <f t="shared" ref="BF77:BF138" si="123">AZ77+V77</f>
        <v>9.6272793661184757</v>
      </c>
      <c r="BG77">
        <f t="shared" ref="BG77:BG138" si="124">BA77+W77</f>
        <v>-106.25188711332898</v>
      </c>
      <c r="BH77" s="123">
        <f t="shared" ref="BH77:BH138" si="125">BD77+BF77</f>
        <v>9.6225895672605422</v>
      </c>
      <c r="BI77" s="123">
        <f t="shared" ref="BI77:BI138" si="126">BE77+BG77</f>
        <v>-106.43311747289103</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c r="BU77" s="123">
        <f t="shared" ref="BU77:BU137" si="134">IF(AND(AD78&lt;$BU$7,AD77&gt;=$BU$7),(($BU$7-AD77)/(AD78-AD77)*(F78-F77)+F77),0)</f>
        <v>0</v>
      </c>
      <c r="BV77" s="123">
        <f t="shared" ref="BV77:BV137" si="135">IF(BU77=0,0,BH77)</f>
        <v>0</v>
      </c>
      <c r="BX77" s="123">
        <f t="shared" ref="BX77:BX138" si="136">IF(AND(F78&gt;$BX$7,F77&lt;=$BX$7),(($BX$7-F77)/(F78-F77)*(BH78-BH77)+BH77),0)</f>
        <v>0</v>
      </c>
      <c r="BY77" s="123"/>
    </row>
    <row r="78" spans="5:77" x14ac:dyDescent="0.25">
      <c r="E78">
        <v>67</v>
      </c>
      <c r="F78">
        <v>7000</v>
      </c>
      <c r="G78" s="58">
        <f t="shared" si="79"/>
        <v>5.3701701447233848E-3</v>
      </c>
      <c r="H78" s="58">
        <f t="shared" si="80"/>
        <v>-1.3299173923701062</v>
      </c>
      <c r="I78">
        <f t="shared" si="81"/>
        <v>8.5560183429849364</v>
      </c>
      <c r="J78">
        <f t="shared" si="82"/>
        <v>-83.739830994456042</v>
      </c>
      <c r="K78" t="str">
        <f t="shared" si="83"/>
        <v>5286.22930544632-24.5815464048826i</v>
      </c>
      <c r="L78" t="str">
        <f t="shared" si="84"/>
        <v>1000000-22736425.1718783i</v>
      </c>
      <c r="M78" t="str">
        <f t="shared" si="85"/>
        <v>149950.074047626-987.076243741587i</v>
      </c>
      <c r="N78">
        <f t="shared" si="99"/>
        <v>-29.357036418389839</v>
      </c>
      <c r="O78">
        <f t="shared" si="86"/>
        <v>0.10695524140652266</v>
      </c>
      <c r="P78" t="str">
        <f t="shared" si="87"/>
        <v>-483753.72706124i</v>
      </c>
      <c r="Q78" t="str">
        <f t="shared" si="88"/>
        <v>5900-1894.70209765652i</v>
      </c>
      <c r="R78" t="str">
        <f t="shared" si="100"/>
        <v>5853.1895667645-1958.41881235616i</v>
      </c>
      <c r="S78" t="str">
        <f t="shared" si="89"/>
        <v>1275873.66031374-11223168.5559066i</v>
      </c>
      <c r="T78" t="str">
        <f t="shared" si="101"/>
        <v>5850.8679719644-1960.86410972623i</v>
      </c>
      <c r="U78" t="str">
        <f t="shared" si="102"/>
        <v>0.998776498788983-0.0349571774576144i</v>
      </c>
      <c r="V78">
        <f t="shared" si="90"/>
        <v>15.801383849786607</v>
      </c>
      <c r="W78">
        <f t="shared" si="91"/>
        <v>-20.532636646444114</v>
      </c>
      <c r="X78">
        <f t="shared" si="103"/>
        <v>-5.3168514962532573E-3</v>
      </c>
      <c r="Y78">
        <f t="shared" si="92"/>
        <v>-2.0045344491374539</v>
      </c>
      <c r="AA78" s="123">
        <f t="shared" si="104"/>
        <v>8.5613885131296605</v>
      </c>
      <c r="AB78" s="123">
        <f t="shared" si="105"/>
        <v>-85.069748386826149</v>
      </c>
      <c r="AC78">
        <f t="shared" si="106"/>
        <v>-13.555652568603232</v>
      </c>
      <c r="AD78">
        <f t="shared" si="107"/>
        <v>-20.42568140503759</v>
      </c>
      <c r="AE78" s="123">
        <f t="shared" si="108"/>
        <v>-4.9942640554735718</v>
      </c>
      <c r="AF78" s="123">
        <f t="shared" si="109"/>
        <v>-105.49542979186374</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26100</v>
      </c>
      <c r="AX78" t="str">
        <f t="shared" si="94"/>
        <v>0.001-2273.64251718783i</v>
      </c>
      <c r="AY78" t="str">
        <f t="shared" si="120"/>
        <v>196.572498805769-2256.51846172756i</v>
      </c>
      <c r="AZ78">
        <f t="shared" si="95"/>
        <v>-6.8777893563672112</v>
      </c>
      <c r="BA78">
        <f t="shared" si="96"/>
        <v>-85.021368587579445</v>
      </c>
      <c r="BB78">
        <f t="shared" si="97"/>
        <v>-8.0401578097115348E-3</v>
      </c>
      <c r="BC78">
        <f t="shared" si="98"/>
        <v>0.97877861510704911</v>
      </c>
      <c r="BD78" s="123">
        <f t="shared" si="121"/>
        <v>-2.66998766498815E-3</v>
      </c>
      <c r="BE78" s="123">
        <f t="shared" si="122"/>
        <v>-0.35113877726305709</v>
      </c>
      <c r="BF78">
        <f t="shared" si="123"/>
        <v>8.9235944934193956</v>
      </c>
      <c r="BG78">
        <f t="shared" si="124"/>
        <v>-105.55400523402356</v>
      </c>
      <c r="BH78" s="123">
        <f t="shared" si="125"/>
        <v>8.9209245057544067</v>
      </c>
      <c r="BI78" s="123">
        <f t="shared" si="126"/>
        <v>-105.90514401128662</v>
      </c>
      <c r="BL78" s="123">
        <f t="shared" si="127"/>
        <v>0</v>
      </c>
      <c r="BM78" s="123">
        <f t="shared" si="128"/>
        <v>0</v>
      </c>
      <c r="BN78" s="123">
        <f t="shared" si="129"/>
        <v>0</v>
      </c>
      <c r="BO78" s="123">
        <f t="shared" si="130"/>
        <v>0</v>
      </c>
      <c r="BP78" s="123">
        <f t="shared" si="131"/>
        <v>0</v>
      </c>
      <c r="BQ78" s="123">
        <f t="shared" si="132"/>
        <v>0</v>
      </c>
      <c r="BR78" s="123">
        <f t="shared" si="133"/>
        <v>0</v>
      </c>
      <c r="BS78" s="123"/>
      <c r="BT78" s="123"/>
      <c r="BU78" s="123">
        <f t="shared" si="134"/>
        <v>0</v>
      </c>
      <c r="BV78" s="123">
        <f t="shared" si="135"/>
        <v>0</v>
      </c>
      <c r="BX78" s="123">
        <f t="shared" si="136"/>
        <v>0</v>
      </c>
      <c r="BY78" s="123"/>
    </row>
    <row r="79" spans="5:77" x14ac:dyDescent="0.25">
      <c r="E79">
        <v>68</v>
      </c>
      <c r="F79">
        <v>7500</v>
      </c>
      <c r="G79" s="58">
        <f t="shared" si="79"/>
        <v>6.164718819532667E-3</v>
      </c>
      <c r="H79" s="58">
        <f t="shared" si="80"/>
        <v>-1.4250608074660984</v>
      </c>
      <c r="I79">
        <f t="shared" si="81"/>
        <v>7.9603436698916727</v>
      </c>
      <c r="J79">
        <f t="shared" si="82"/>
        <v>-83.788304378801087</v>
      </c>
      <c r="K79" t="str">
        <f t="shared" si="83"/>
        <v>5286.21239311223-26.3372868864353i</v>
      </c>
      <c r="L79" t="str">
        <f t="shared" si="84"/>
        <v>1000000-21220663.4937531i</v>
      </c>
      <c r="M79" t="str">
        <f t="shared" si="85"/>
        <v>149942.708675263-1057.18254206123i</v>
      </c>
      <c r="N79">
        <f t="shared" si="99"/>
        <v>-29.356664397481772</v>
      </c>
      <c r="O79">
        <f t="shared" si="86"/>
        <v>0.11446604158064175</v>
      </c>
      <c r="P79" t="str">
        <f t="shared" si="87"/>
        <v>-451503.478590491i</v>
      </c>
      <c r="Q79" t="str">
        <f t="shared" si="88"/>
        <v>5900-1768.38862447942i</v>
      </c>
      <c r="R79" t="str">
        <f t="shared" si="100"/>
        <v>5853.06176966788-1837.67566474252i</v>
      </c>
      <c r="S79" t="str">
        <f t="shared" si="89"/>
        <v>1113258.43014602-10492211.3342379i</v>
      </c>
      <c r="T79" t="str">
        <f t="shared" si="101"/>
        <v>5850.72459879981-1840.36916516616i</v>
      </c>
      <c r="U79" t="str">
        <f t="shared" si="102"/>
        <v>0.998595724762053-0.037447339678577i</v>
      </c>
      <c r="V79">
        <f t="shared" si="90"/>
        <v>15.747846771279196</v>
      </c>
      <c r="W79">
        <f t="shared" si="91"/>
        <v>-19.608769675040762</v>
      </c>
      <c r="X79">
        <f t="shared" si="103"/>
        <v>-6.1029760017995132E-3</v>
      </c>
      <c r="Y79">
        <f t="shared" si="92"/>
        <v>-2.1475858750910586</v>
      </c>
      <c r="AA79" s="123">
        <f t="shared" si="104"/>
        <v>7.9665083887112056</v>
      </c>
      <c r="AB79" s="123">
        <f t="shared" si="105"/>
        <v>-85.213365186267183</v>
      </c>
      <c r="AC79">
        <f t="shared" si="106"/>
        <v>-13.608817626202576</v>
      </c>
      <c r="AD79">
        <f t="shared" si="107"/>
        <v>-19.49430363346012</v>
      </c>
      <c r="AE79" s="123">
        <f t="shared" si="108"/>
        <v>-5.6423092374913706</v>
      </c>
      <c r="AF79" s="123">
        <f t="shared" si="109"/>
        <v>-104.7076688197273</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26100</v>
      </c>
      <c r="AX79" t="str">
        <f t="shared" si="94"/>
        <v>0.001-2122.06634937531i</v>
      </c>
      <c r="AY79" t="str">
        <f t="shared" si="120"/>
        <v>171.403000685435-2108.13030921949i</v>
      </c>
      <c r="AZ79">
        <f t="shared" si="95"/>
        <v>-7.4728359778601847</v>
      </c>
      <c r="BA79">
        <f t="shared" si="96"/>
        <v>-85.351769164784699</v>
      </c>
      <c r="BB79">
        <f t="shared" si="97"/>
        <v>-7.0065802422970272E-3</v>
      </c>
      <c r="BC79">
        <f t="shared" si="98"/>
        <v>0.91387437318440468</v>
      </c>
      <c r="BD79" s="123">
        <f t="shared" si="121"/>
        <v>-8.4186142276436015E-4</v>
      </c>
      <c r="BE79" s="123">
        <f t="shared" si="122"/>
        <v>-0.51118643428169375</v>
      </c>
      <c r="BF79">
        <f t="shared" si="123"/>
        <v>8.2750107934190105</v>
      </c>
      <c r="BG79">
        <f t="shared" si="124"/>
        <v>-104.96053883982546</v>
      </c>
      <c r="BH79" s="123">
        <f t="shared" si="125"/>
        <v>8.2741689319962468</v>
      </c>
      <c r="BI79" s="123">
        <f t="shared" si="126"/>
        <v>-105.47172527410716</v>
      </c>
      <c r="BL79" s="123">
        <f t="shared" si="127"/>
        <v>0</v>
      </c>
      <c r="BM79" s="123">
        <f t="shared" si="128"/>
        <v>0</v>
      </c>
      <c r="BN79" s="123">
        <f t="shared" si="129"/>
        <v>0</v>
      </c>
      <c r="BO79" s="123">
        <f t="shared" si="130"/>
        <v>0</v>
      </c>
      <c r="BP79" s="123">
        <f t="shared" si="131"/>
        <v>0</v>
      </c>
      <c r="BQ79" s="123">
        <f t="shared" si="132"/>
        <v>0</v>
      </c>
      <c r="BR79" s="123">
        <f t="shared" si="133"/>
        <v>0</v>
      </c>
      <c r="BS79" s="123"/>
      <c r="BT79" s="123"/>
      <c r="BU79" s="123">
        <f t="shared" si="134"/>
        <v>0</v>
      </c>
      <c r="BV79" s="123">
        <f t="shared" si="135"/>
        <v>0</v>
      </c>
      <c r="BX79" s="123">
        <f t="shared" si="136"/>
        <v>0</v>
      </c>
      <c r="BY79" s="123"/>
    </row>
    <row r="80" spans="5:77" x14ac:dyDescent="0.25">
      <c r="E80">
        <v>69</v>
      </c>
      <c r="F80">
        <v>8000</v>
      </c>
      <c r="G80" s="58">
        <f t="shared" si="79"/>
        <v>7.0140589240761013E-3</v>
      </c>
      <c r="H80" s="58">
        <f t="shared" si="80"/>
        <v>-1.5202351425216485</v>
      </c>
      <c r="I80">
        <f t="shared" si="81"/>
        <v>7.4030566192440359</v>
      </c>
      <c r="J80">
        <f t="shared" si="82"/>
        <v>-83.807083242092148</v>
      </c>
      <c r="K80" t="str">
        <f t="shared" si="83"/>
        <v>5286.19431452994-28.0930099351785i</v>
      </c>
      <c r="L80" t="str">
        <f t="shared" si="84"/>
        <v>1000000-19894372.0253935i</v>
      </c>
      <c r="M80" t="str">
        <f t="shared" si="85"/>
        <v>149934.841491669-1127.20661334752i</v>
      </c>
      <c r="N80">
        <f t="shared" si="99"/>
        <v>-29.356267003348634</v>
      </c>
      <c r="O80">
        <f t="shared" si="86"/>
        <v>0.12195028282256974</v>
      </c>
      <c r="P80" t="str">
        <f t="shared" si="87"/>
        <v>-423284.511178585i</v>
      </c>
      <c r="Q80" t="str">
        <f t="shared" si="88"/>
        <v>5900-1657.86433544946i</v>
      </c>
      <c r="R80" t="str">
        <f t="shared" si="100"/>
        <v>5852.9251651494-1732.65975749034i</v>
      </c>
      <c r="S80" t="str">
        <f t="shared" si="89"/>
        <v>979770.607532322-9849726.40786778i</v>
      </c>
      <c r="T80" t="str">
        <f t="shared" si="101"/>
        <v>5850.57249473735-1735.59696462201i</v>
      </c>
      <c r="U80" t="str">
        <f t="shared" si="102"/>
        <v>0.998402555910543-0.0399361022364217i</v>
      </c>
      <c r="V80">
        <f t="shared" si="90"/>
        <v>15.703327948097057</v>
      </c>
      <c r="W80">
        <f t="shared" si="91"/>
        <v>-18.813825435970376</v>
      </c>
      <c r="X80">
        <f t="shared" si="103"/>
        <v>-6.9431586635440327E-3</v>
      </c>
      <c r="Y80">
        <f t="shared" si="92"/>
        <v>-2.2906105191865156</v>
      </c>
      <c r="AA80" s="123">
        <f t="shared" si="104"/>
        <v>7.410070678168112</v>
      </c>
      <c r="AB80" s="123">
        <f t="shared" si="105"/>
        <v>-85.32731838461379</v>
      </c>
      <c r="AC80">
        <f t="shared" si="106"/>
        <v>-13.652939055251577</v>
      </c>
      <c r="AD80">
        <f t="shared" si="107"/>
        <v>-18.691875153147805</v>
      </c>
      <c r="AE80" s="123">
        <f t="shared" si="108"/>
        <v>-6.2428683770834654</v>
      </c>
      <c r="AF80" s="123">
        <f t="shared" si="109"/>
        <v>-104.01919353776159</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26100</v>
      </c>
      <c r="AX80" t="str">
        <f t="shared" si="94"/>
        <v>0.001-1989.43720253935i</v>
      </c>
      <c r="AY80" t="str">
        <f t="shared" si="120"/>
        <v>150.767184664179-1977.94510200149i</v>
      </c>
      <c r="AZ80">
        <f t="shared" si="95"/>
        <v>-8.0299554011351315</v>
      </c>
      <c r="BA80">
        <f t="shared" si="96"/>
        <v>-85.641124569423198</v>
      </c>
      <c r="BB80">
        <f t="shared" si="97"/>
        <v>-6.1600775356039509E-3</v>
      </c>
      <c r="BC80">
        <f t="shared" si="98"/>
        <v>0.85702417081978943</v>
      </c>
      <c r="BD80" s="123">
        <f t="shared" si="121"/>
        <v>8.5398138847215047E-4</v>
      </c>
      <c r="BE80" s="123">
        <f t="shared" si="122"/>
        <v>-0.66321097170185905</v>
      </c>
      <c r="BF80">
        <f t="shared" si="123"/>
        <v>7.6733725469619252</v>
      </c>
      <c r="BG80">
        <f t="shared" si="124"/>
        <v>-104.45495000539357</v>
      </c>
      <c r="BH80" s="123">
        <f t="shared" si="125"/>
        <v>7.6742265283503972</v>
      </c>
      <c r="BI80" s="123">
        <f t="shared" si="126"/>
        <v>-105.11816097709543</v>
      </c>
      <c r="BL80" s="123">
        <f t="shared" si="127"/>
        <v>0</v>
      </c>
      <c r="BM80" s="123">
        <f t="shared" si="128"/>
        <v>0</v>
      </c>
      <c r="BN80" s="123">
        <f t="shared" si="129"/>
        <v>0</v>
      </c>
      <c r="BO80" s="123">
        <f t="shared" si="130"/>
        <v>0</v>
      </c>
      <c r="BP80" s="123">
        <f t="shared" si="131"/>
        <v>0</v>
      </c>
      <c r="BQ80" s="123">
        <f t="shared" si="132"/>
        <v>0</v>
      </c>
      <c r="BR80" s="123">
        <f t="shared" si="133"/>
        <v>0</v>
      </c>
      <c r="BS80" s="123"/>
      <c r="BT80" s="123"/>
      <c r="BU80" s="123">
        <f t="shared" si="134"/>
        <v>0</v>
      </c>
      <c r="BV80" s="123">
        <f t="shared" si="135"/>
        <v>0</v>
      </c>
      <c r="BX80" s="123">
        <f t="shared" si="136"/>
        <v>0</v>
      </c>
      <c r="BY80" s="123"/>
    </row>
    <row r="81" spans="5:77" x14ac:dyDescent="0.25">
      <c r="E81">
        <v>70</v>
      </c>
      <c r="F81">
        <v>8500</v>
      </c>
      <c r="G81" s="58">
        <f t="shared" si="79"/>
        <v>7.9181894131712567E-3</v>
      </c>
      <c r="H81" s="58">
        <f t="shared" si="80"/>
        <v>-1.6154424678938029</v>
      </c>
      <c r="I81">
        <f t="shared" si="81"/>
        <v>6.8795534054562903</v>
      </c>
      <c r="J81">
        <f t="shared" si="82"/>
        <v>-83.801402544360599</v>
      </c>
      <c r="K81" t="str">
        <f t="shared" si="83"/>
        <v>5286.17506972338-29.848714389137i</v>
      </c>
      <c r="L81" t="str">
        <f t="shared" si="84"/>
        <v>1000000-18724114.8474292i</v>
      </c>
      <c r="M81" t="str">
        <f t="shared" si="85"/>
        <v>149926.473717505-1197.14309369385i</v>
      </c>
      <c r="N81">
        <f t="shared" si="99"/>
        <v>-29.355844292322843</v>
      </c>
      <c r="O81">
        <f t="shared" si="86"/>
        <v>0.12940622831873747</v>
      </c>
      <c r="P81" t="str">
        <f t="shared" si="87"/>
        <v>-398385.422285727i</v>
      </c>
      <c r="Q81" t="str">
        <f t="shared" si="88"/>
        <v>5900-1560.34290395243i</v>
      </c>
      <c r="R81" t="str">
        <f t="shared" si="100"/>
        <v>5852.77975444278-1640.59561161162i</v>
      </c>
      <c r="S81" t="str">
        <f t="shared" si="89"/>
        <v>868865.747191007-9280713.71352758i</v>
      </c>
      <c r="T81" t="str">
        <f t="shared" si="101"/>
        <v>5850.41147108686-1643.77281155277i</v>
      </c>
      <c r="U81" t="str">
        <f t="shared" si="102"/>
        <v>0.998197006656726-0.0424233727829109i</v>
      </c>
      <c r="V81">
        <f t="shared" si="90"/>
        <v>15.66587379228338</v>
      </c>
      <c r="W81">
        <f t="shared" si="91"/>
        <v>-18.127222761787262</v>
      </c>
      <c r="X81">
        <f t="shared" si="103"/>
        <v>-7.8373680852157779E-3</v>
      </c>
      <c r="Y81">
        <f t="shared" si="92"/>
        <v>-2.4336066070176021</v>
      </c>
      <c r="AA81" s="123">
        <f t="shared" si="104"/>
        <v>6.8874715948694618</v>
      </c>
      <c r="AB81" s="123">
        <f t="shared" si="105"/>
        <v>-85.416845012254399</v>
      </c>
      <c r="AC81">
        <f t="shared" si="106"/>
        <v>-13.689970500039463</v>
      </c>
      <c r="AD81">
        <f t="shared" si="107"/>
        <v>-17.997816533468527</v>
      </c>
      <c r="AE81" s="123">
        <f t="shared" si="108"/>
        <v>-6.8024989051700011</v>
      </c>
      <c r="AF81" s="123">
        <f t="shared" si="109"/>
        <v>-103.41466154572292</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26100</v>
      </c>
      <c r="AX81" t="str">
        <f t="shared" si="94"/>
        <v>0.001-1872.41148474292i</v>
      </c>
      <c r="AY81" t="str">
        <f t="shared" si="120"/>
        <v>133.63981670932-1862.82410579849i</v>
      </c>
      <c r="AZ81">
        <f t="shared" si="95"/>
        <v>-8.553668631250277</v>
      </c>
      <c r="BA81">
        <f t="shared" si="96"/>
        <v>-85.896623567383187</v>
      </c>
      <c r="BB81">
        <f t="shared" si="97"/>
        <v>-5.4581103791609981E-3</v>
      </c>
      <c r="BC81">
        <f t="shared" si="98"/>
        <v>0.80681933112338577</v>
      </c>
      <c r="BD81" s="123">
        <f t="shared" si="121"/>
        <v>2.4600790340102586E-3</v>
      </c>
      <c r="BE81" s="123">
        <f t="shared" si="122"/>
        <v>-0.80862313677041708</v>
      </c>
      <c r="BF81">
        <f t="shared" si="123"/>
        <v>7.1122051610331027</v>
      </c>
      <c r="BG81">
        <f t="shared" si="124"/>
        <v>-104.02384632917045</v>
      </c>
      <c r="BH81" s="123">
        <f t="shared" si="125"/>
        <v>7.1146652400671133</v>
      </c>
      <c r="BI81" s="123">
        <f t="shared" si="126"/>
        <v>-104.83246946594087</v>
      </c>
      <c r="BL81" s="123">
        <f t="shared" si="127"/>
        <v>0</v>
      </c>
      <c r="BM81" s="123">
        <f t="shared" si="128"/>
        <v>0</v>
      </c>
      <c r="BN81" s="123">
        <f t="shared" si="129"/>
        <v>0</v>
      </c>
      <c r="BO81" s="123">
        <f t="shared" si="130"/>
        <v>0</v>
      </c>
      <c r="BP81" s="123">
        <f t="shared" si="131"/>
        <v>0</v>
      </c>
      <c r="BQ81" s="123">
        <f t="shared" si="132"/>
        <v>0</v>
      </c>
      <c r="BR81" s="123">
        <f t="shared" si="133"/>
        <v>0</v>
      </c>
      <c r="BS81" s="123"/>
      <c r="BT81" s="123"/>
      <c r="BU81" s="123">
        <f t="shared" si="134"/>
        <v>0</v>
      </c>
      <c r="BV81" s="123">
        <f t="shared" si="135"/>
        <v>0</v>
      </c>
      <c r="BX81" s="123">
        <f t="shared" si="136"/>
        <v>0</v>
      </c>
      <c r="BY81" s="123"/>
    </row>
    <row r="82" spans="5:77" x14ac:dyDescent="0.25">
      <c r="E82">
        <v>71</v>
      </c>
      <c r="F82">
        <v>9000</v>
      </c>
      <c r="G82" s="58">
        <f t="shared" si="79"/>
        <v>8.8771091615473322E-3</v>
      </c>
      <c r="H82" s="58">
        <f t="shared" si="80"/>
        <v>-1.7106848556882301</v>
      </c>
      <c r="I82">
        <f t="shared" si="81"/>
        <v>6.3860115530637671</v>
      </c>
      <c r="J82">
        <f t="shared" si="82"/>
        <v>-83.775340060433393</v>
      </c>
      <c r="K82" t="str">
        <f t="shared" si="83"/>
        <v>5286.15465871802-31.6043990863763i</v>
      </c>
      <c r="L82" t="str">
        <f t="shared" si="84"/>
        <v>1000000-17683886.2447942i</v>
      </c>
      <c r="M82" t="str">
        <f t="shared" si="85"/>
        <v>149917.606649473-1266.98664177902i</v>
      </c>
      <c r="N82">
        <f t="shared" si="99"/>
        <v>-29.355396324260091</v>
      </c>
      <c r="O82">
        <f t="shared" si="86"/>
        <v>0.13683214773452015</v>
      </c>
      <c r="P82" t="str">
        <f t="shared" si="87"/>
        <v>-376252.898825409i</v>
      </c>
      <c r="Q82" t="str">
        <f t="shared" si="88"/>
        <v>5900-1473.65718706618i</v>
      </c>
      <c r="R82" t="str">
        <f t="shared" si="100"/>
        <v>5852.62553886115-1559.32451614119i</v>
      </c>
      <c r="S82" t="str">
        <f t="shared" si="89"/>
        <v>775734.889673732-8773353.08467157i</v>
      </c>
      <c r="T82" t="str">
        <f t="shared" si="101"/>
        <v>5850.24139055535-1562.73860289263i</v>
      </c>
      <c r="U82" t="str">
        <f t="shared" si="102"/>
        <v>0.997979092338016-0.0449090591552107i</v>
      </c>
      <c r="V82">
        <f t="shared" si="90"/>
        <v>15.634024624926708</v>
      </c>
      <c r="W82">
        <f t="shared" si="91"/>
        <v>-17.532441817326237</v>
      </c>
      <c r="X82">
        <f t="shared" si="103"/>
        <v>-8.7855708671930096E-3</v>
      </c>
      <c r="Y82">
        <f t="shared" si="92"/>
        <v>-2.5765723663094895</v>
      </c>
      <c r="AA82" s="123">
        <f t="shared" si="104"/>
        <v>6.3948886622253145</v>
      </c>
      <c r="AB82" s="123">
        <f t="shared" si="105"/>
        <v>-85.486024916121622</v>
      </c>
      <c r="AC82">
        <f t="shared" si="106"/>
        <v>-13.721371699333384</v>
      </c>
      <c r="AD82">
        <f t="shared" si="107"/>
        <v>-17.395609669591718</v>
      </c>
      <c r="AE82" s="123">
        <f t="shared" si="108"/>
        <v>-7.3264830371080691</v>
      </c>
      <c r="AF82" s="123">
        <f t="shared" si="109"/>
        <v>-102.88163458571334</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26100</v>
      </c>
      <c r="AX82" t="str">
        <f t="shared" si="94"/>
        <v>0.001-1768.38862447942i</v>
      </c>
      <c r="AY82" t="str">
        <f t="shared" si="120"/>
        <v>119.269493932649-1760.30752958956i</v>
      </c>
      <c r="AZ82">
        <f t="shared" si="95"/>
        <v>-9.0477374947515514</v>
      </c>
      <c r="BA82">
        <f t="shared" si="96"/>
        <v>-86.123871225043857</v>
      </c>
      <c r="BB82">
        <f t="shared" si="97"/>
        <v>-4.869571144046141E-3</v>
      </c>
      <c r="BC82">
        <f t="shared" si="98"/>
        <v>0.76216101266353875</v>
      </c>
      <c r="BD82" s="123">
        <f t="shared" si="121"/>
        <v>4.0075380175011912E-3</v>
      </c>
      <c r="BE82" s="123">
        <f t="shared" si="122"/>
        <v>-0.94852384302469139</v>
      </c>
      <c r="BF82">
        <f t="shared" si="123"/>
        <v>6.5862871301751564</v>
      </c>
      <c r="BG82">
        <f t="shared" si="124"/>
        <v>-103.6563130423701</v>
      </c>
      <c r="BH82" s="123">
        <f t="shared" si="125"/>
        <v>6.5902946681926577</v>
      </c>
      <c r="BI82" s="123">
        <f t="shared" si="126"/>
        <v>-104.60483688539479</v>
      </c>
      <c r="BL82" s="123">
        <f t="shared" si="127"/>
        <v>0</v>
      </c>
      <c r="BM82" s="123">
        <f t="shared" si="128"/>
        <v>0</v>
      </c>
      <c r="BN82" s="123">
        <f t="shared" si="129"/>
        <v>0</v>
      </c>
      <c r="BO82" s="123">
        <f t="shared" si="130"/>
        <v>0</v>
      </c>
      <c r="BP82" s="123">
        <f t="shared" si="131"/>
        <v>0</v>
      </c>
      <c r="BQ82" s="123">
        <f t="shared" si="132"/>
        <v>0</v>
      </c>
      <c r="BR82" s="123">
        <f t="shared" si="133"/>
        <v>0</v>
      </c>
      <c r="BS82" s="123"/>
      <c r="BT82" s="123"/>
      <c r="BU82" s="123">
        <f t="shared" si="134"/>
        <v>0</v>
      </c>
      <c r="BV82" s="123">
        <f t="shared" si="135"/>
        <v>0</v>
      </c>
      <c r="BX82" s="123">
        <f t="shared" si="136"/>
        <v>0</v>
      </c>
      <c r="BY82" s="123"/>
    </row>
    <row r="83" spans="5:77" x14ac:dyDescent="0.25">
      <c r="E83">
        <v>72</v>
      </c>
      <c r="F83">
        <v>9500</v>
      </c>
      <c r="G83" s="58">
        <f t="shared" si="79"/>
        <v>9.890816961452829E-3</v>
      </c>
      <c r="H83" s="58">
        <f t="shared" si="80"/>
        <v>-1.8059643798691163</v>
      </c>
      <c r="I83">
        <f t="shared" si="81"/>
        <v>5.9192229195747581</v>
      </c>
      <c r="J83">
        <f t="shared" si="82"/>
        <v>-83.73211938498801</v>
      </c>
      <c r="K83" t="str">
        <f t="shared" si="83"/>
        <v>5286.13308154089-33.3600628650058i</v>
      </c>
      <c r="L83" t="str">
        <f t="shared" si="84"/>
        <v>1000000-16753155.389805i</v>
      </c>
      <c r="M83" t="str">
        <f t="shared" si="85"/>
        <v>149908.241659826-1336.73194020682i</v>
      </c>
      <c r="N83">
        <f t="shared" si="99"/>
        <v>-29.354923162519096</v>
      </c>
      <c r="O83">
        <f t="shared" si="86"/>
        <v>0.14422631760079391</v>
      </c>
      <c r="P83" t="str">
        <f t="shared" si="87"/>
        <v>-356450.114676703i</v>
      </c>
      <c r="Q83" t="str">
        <f t="shared" si="88"/>
        <v>5900-1396.09628248375i</v>
      </c>
      <c r="R83" t="str">
        <f t="shared" si="100"/>
        <v>5852.46251979708-1487.14222076407i</v>
      </c>
      <c r="S83" t="str">
        <f t="shared" si="89"/>
        <v>696781.42878188-8318211.25715695i</v>
      </c>
      <c r="T83" t="str">
        <f t="shared" si="101"/>
        <v>5850.06215149025-1490.79056761269i</v>
      </c>
      <c r="U83" t="str">
        <f t="shared" si="102"/>
        <v>0.997748829204108-0.0473930693871951i</v>
      </c>
      <c r="V83">
        <f t="shared" si="90"/>
        <v>15.606673285078669</v>
      </c>
      <c r="W83">
        <f t="shared" si="91"/>
        <v>-17.01609173586316</v>
      </c>
      <c r="X83">
        <f t="shared" si="103"/>
        <v>-9.7877316107141711E-3</v>
      </c>
      <c r="Y83">
        <f t="shared" si="92"/>
        <v>-2.7195060270496665</v>
      </c>
      <c r="AA83" s="123">
        <f t="shared" si="104"/>
        <v>5.9291137365362108</v>
      </c>
      <c r="AB83" s="123">
        <f t="shared" si="105"/>
        <v>-85.53808376485712</v>
      </c>
      <c r="AC83">
        <f t="shared" si="106"/>
        <v>-13.748249877440427</v>
      </c>
      <c r="AD83">
        <f t="shared" si="107"/>
        <v>-16.871865418262367</v>
      </c>
      <c r="AE83" s="123">
        <f t="shared" si="108"/>
        <v>-7.8191361409042166</v>
      </c>
      <c r="AF83" s="123">
        <f t="shared" si="109"/>
        <v>-102.40994918311949</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26100</v>
      </c>
      <c r="AX83" t="str">
        <f t="shared" si="94"/>
        <v>0.001-1675.3155389805i</v>
      </c>
      <c r="AY83" t="str">
        <f t="shared" si="120"/>
        <v>107.095458020466-1668.4411959377i</v>
      </c>
      <c r="AZ83">
        <f t="shared" si="95"/>
        <v>-9.5153248737647065</v>
      </c>
      <c r="BA83">
        <f t="shared" si="96"/>
        <v>-86.327301681899286</v>
      </c>
      <c r="BB83">
        <f t="shared" si="97"/>
        <v>-4.3712879994770356E-3</v>
      </c>
      <c r="BC83">
        <f t="shared" si="98"/>
        <v>0.7221796019478488</v>
      </c>
      <c r="BD83" s="123">
        <f t="shared" si="121"/>
        <v>5.5195289619757934E-3</v>
      </c>
      <c r="BE83" s="123">
        <f t="shared" si="122"/>
        <v>-1.0837847779212675</v>
      </c>
      <c r="BF83">
        <f t="shared" si="123"/>
        <v>6.0913484113139624</v>
      </c>
      <c r="BG83">
        <f t="shared" si="124"/>
        <v>-103.34339341776244</v>
      </c>
      <c r="BH83" s="123">
        <f t="shared" si="125"/>
        <v>6.0968679402759385</v>
      </c>
      <c r="BI83" s="123">
        <f t="shared" si="126"/>
        <v>-104.42717819568371</v>
      </c>
      <c r="BL83" s="123">
        <f t="shared" si="127"/>
        <v>0</v>
      </c>
      <c r="BM83" s="123">
        <f t="shared" si="128"/>
        <v>0</v>
      </c>
      <c r="BN83" s="123">
        <f t="shared" si="129"/>
        <v>0</v>
      </c>
      <c r="BO83" s="123">
        <f t="shared" si="130"/>
        <v>0</v>
      </c>
      <c r="BP83" s="123">
        <f t="shared" si="131"/>
        <v>0</v>
      </c>
      <c r="BQ83" s="123">
        <f t="shared" si="132"/>
        <v>0</v>
      </c>
      <c r="BR83" s="123">
        <f t="shared" si="133"/>
        <v>0</v>
      </c>
      <c r="BS83" s="123"/>
      <c r="BT83" s="123"/>
      <c r="BU83" s="123">
        <f t="shared" si="134"/>
        <v>0</v>
      </c>
      <c r="BV83" s="123">
        <f t="shared" si="135"/>
        <v>0</v>
      </c>
      <c r="BX83" s="123">
        <f t="shared" si="136"/>
        <v>0</v>
      </c>
      <c r="BY83" s="123"/>
    </row>
    <row r="84" spans="5:77" x14ac:dyDescent="0.25">
      <c r="E84">
        <v>73</v>
      </c>
      <c r="F84">
        <v>10000</v>
      </c>
      <c r="G84" s="58">
        <f t="shared" si="79"/>
        <v>1.0959311520416964E-2</v>
      </c>
      <c r="H84" s="58">
        <f t="shared" si="80"/>
        <v>-1.9012831163689228</v>
      </c>
      <c r="I84">
        <f t="shared" si="81"/>
        <v>5.4764689784813942</v>
      </c>
      <c r="J84">
        <f t="shared" si="82"/>
        <v>-83.674322524516256</v>
      </c>
      <c r="K84" t="str">
        <f t="shared" si="83"/>
        <v>5286.11033822055-35.1157045631809i</v>
      </c>
      <c r="L84" t="str">
        <f t="shared" si="84"/>
        <v>1000000-15915497.6203148i</v>
      </c>
      <c r="M84" t="str">
        <f t="shared" si="85"/>
        <v>149898.380195835-1406.37369683249i</v>
      </c>
      <c r="N84">
        <f t="shared" si="99"/>
        <v>-29.354424873939919</v>
      </c>
      <c r="O84">
        <f t="shared" si="86"/>
        <v>0.15158702169711236</v>
      </c>
      <c r="P84" t="str">
        <f t="shared" si="87"/>
        <v>-338627.608942868i</v>
      </c>
      <c r="Q84" t="str">
        <f t="shared" si="88"/>
        <v>5900-1326.29146835957i</v>
      </c>
      <c r="R84" t="str">
        <f t="shared" si="100"/>
        <v>5852.29069872248-1422.68532065478i</v>
      </c>
      <c r="S84" t="str">
        <f t="shared" si="89"/>
        <v>629272.743397855-7907672.86590701i</v>
      </c>
      <c r="T84" t="str">
        <f t="shared" si="101"/>
        <v>5849.87367749229-1426.56568371409i</v>
      </c>
      <c r="U84" t="str">
        <f t="shared" si="102"/>
        <v>0.997506234413965-0.0498753117206983i</v>
      </c>
      <c r="V84">
        <f t="shared" si="90"/>
        <v>15.582968448045643</v>
      </c>
      <c r="W84">
        <f t="shared" si="91"/>
        <v>-16.567217793284815</v>
      </c>
      <c r="X84">
        <f t="shared" si="103"/>
        <v>-1.0843812922199398E-2</v>
      </c>
      <c r="Y84">
        <f t="shared" si="92"/>
        <v>-2.8624058216183719</v>
      </c>
      <c r="AA84" s="123">
        <f t="shared" si="104"/>
        <v>5.4874282900018114</v>
      </c>
      <c r="AB84" s="123">
        <f t="shared" si="105"/>
        <v>-85.575605640885186</v>
      </c>
      <c r="AC84">
        <f t="shared" si="106"/>
        <v>-13.771456425894277</v>
      </c>
      <c r="AD84">
        <f t="shared" si="107"/>
        <v>-16.415630771587704</v>
      </c>
      <c r="AE84" s="123">
        <f t="shared" si="108"/>
        <v>-8.2840281358924663</v>
      </c>
      <c r="AF84" s="123">
        <f t="shared" si="109"/>
        <v>-101.99123641247289</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26100</v>
      </c>
      <c r="AX84" t="str">
        <f t="shared" si="94"/>
        <v>0.001-1591.54976203148i</v>
      </c>
      <c r="AY84" t="str">
        <f t="shared" si="120"/>
        <v>96.6924312711436-1585.6535014325i</v>
      </c>
      <c r="AZ84">
        <f t="shared" si="95"/>
        <v>-9.9591149578705647</v>
      </c>
      <c r="BA84">
        <f t="shared" si="96"/>
        <v>-86.510468374449914</v>
      </c>
      <c r="BB84">
        <f t="shared" si="97"/>
        <v>-3.9457149972531224E-3</v>
      </c>
      <c r="BC84">
        <f t="shared" si="98"/>
        <v>0.68617798906023697</v>
      </c>
      <c r="BD84" s="123">
        <f t="shared" si="121"/>
        <v>7.0135965231638417E-3</v>
      </c>
      <c r="BE84" s="123">
        <f t="shared" si="122"/>
        <v>-1.2151051273086857</v>
      </c>
      <c r="BF84">
        <f t="shared" si="123"/>
        <v>5.6238534901750779</v>
      </c>
      <c r="BG84">
        <f t="shared" si="124"/>
        <v>-103.07768616773473</v>
      </c>
      <c r="BH84" s="123">
        <f t="shared" si="125"/>
        <v>5.6308670866982418</v>
      </c>
      <c r="BI84" s="123">
        <f t="shared" si="126"/>
        <v>-104.29279129504341</v>
      </c>
      <c r="BL84" s="123">
        <f t="shared" si="127"/>
        <v>0</v>
      </c>
      <c r="BM84" s="123">
        <f t="shared" si="128"/>
        <v>0</v>
      </c>
      <c r="BN84" s="123">
        <f t="shared" si="129"/>
        <v>0</v>
      </c>
      <c r="BO84" s="123">
        <f t="shared" si="130"/>
        <v>0</v>
      </c>
      <c r="BP84" s="123">
        <f t="shared" si="131"/>
        <v>0</v>
      </c>
      <c r="BQ84" s="123">
        <f t="shared" si="132"/>
        <v>0</v>
      </c>
      <c r="BR84" s="123">
        <f t="shared" si="133"/>
        <v>0</v>
      </c>
      <c r="BS84" s="123"/>
      <c r="BT84" s="123"/>
      <c r="BU84" s="123">
        <f t="shared" si="134"/>
        <v>0</v>
      </c>
      <c r="BV84" s="123">
        <f t="shared" si="135"/>
        <v>0</v>
      </c>
      <c r="BX84" s="123">
        <f t="shared" si="136"/>
        <v>0</v>
      </c>
      <c r="BY84" s="123"/>
    </row>
    <row r="85" spans="5:77" x14ac:dyDescent="0.25">
      <c r="E85">
        <v>74</v>
      </c>
      <c r="F85">
        <v>15000</v>
      </c>
      <c r="G85" s="58">
        <f t="shared" si="79"/>
        <v>2.4657177913562613E-2</v>
      </c>
      <c r="H85" s="58">
        <f t="shared" si="80"/>
        <v>-2.8570854919471267</v>
      </c>
      <c r="I85">
        <f t="shared" si="81"/>
        <v>1.9832015433678931</v>
      </c>
      <c r="J85">
        <f t="shared" si="82"/>
        <v>-82.617467347564286</v>
      </c>
      <c r="K85" t="str">
        <f t="shared" si="83"/>
        <v>5285.81877452759-52.6706515522647i</v>
      </c>
      <c r="L85" t="str">
        <f t="shared" si="84"/>
        <v>1000000-10610331.7468765i</v>
      </c>
      <c r="M85" t="str">
        <f t="shared" si="85"/>
        <v>149772.830311748-2095.9528306037i</v>
      </c>
      <c r="N85">
        <f t="shared" si="99"/>
        <v>-29.348077156902242</v>
      </c>
      <c r="O85">
        <f t="shared" si="86"/>
        <v>0.22298180833870548</v>
      </c>
      <c r="P85" t="str">
        <f t="shared" si="87"/>
        <v>-225751.739295245i</v>
      </c>
      <c r="Q85" t="str">
        <f t="shared" si="88"/>
        <v>5900-884.194312239711i</v>
      </c>
      <c r="R85" t="str">
        <f t="shared" si="100"/>
        <v>5850.08875790361-1033.03974708703i</v>
      </c>
      <c r="S85" t="str">
        <f t="shared" si="89"/>
        <v>280657.943700094-5290276.503988i</v>
      </c>
      <c r="T85" t="str">
        <f t="shared" si="101"/>
        <v>5847.47286833967-1039.16429786531i</v>
      </c>
      <c r="U85" t="str">
        <f t="shared" si="102"/>
        <v>0.994406463642014-0.074580484773151i</v>
      </c>
      <c r="V85">
        <f t="shared" si="90"/>
        <v>15.450038914840157</v>
      </c>
      <c r="W85">
        <f t="shared" si="91"/>
        <v>-14.366083835809945</v>
      </c>
      <c r="X85">
        <f t="shared" si="103"/>
        <v>-2.4360614431044699E-2</v>
      </c>
      <c r="Y85">
        <f t="shared" si="92"/>
        <v>-4.2891542211522138</v>
      </c>
      <c r="AA85" s="123">
        <f t="shared" si="104"/>
        <v>2.0078587212814556</v>
      </c>
      <c r="AB85" s="123">
        <f t="shared" si="105"/>
        <v>-85.474552839511418</v>
      </c>
      <c r="AC85">
        <f t="shared" si="106"/>
        <v>-13.898038242062086</v>
      </c>
      <c r="AD85">
        <f t="shared" si="107"/>
        <v>-14.14310202747124</v>
      </c>
      <c r="AE85" s="123">
        <f t="shared" si="108"/>
        <v>-11.890179520780631</v>
      </c>
      <c r="AF85" s="123">
        <f t="shared" si="109"/>
        <v>-99.617654866982662</v>
      </c>
      <c r="AI85" s="123">
        <f t="shared" si="110"/>
        <v>0</v>
      </c>
      <c r="AJ85" s="123">
        <f t="shared" si="111"/>
        <v>0</v>
      </c>
      <c r="AK85" s="123">
        <f t="shared" si="112"/>
        <v>0</v>
      </c>
      <c r="AL85" s="123">
        <f t="shared" si="113"/>
        <v>0</v>
      </c>
      <c r="AM85" s="123">
        <f t="shared" si="114"/>
        <v>0</v>
      </c>
      <c r="AN85" s="123">
        <f t="shared" si="115"/>
        <v>0</v>
      </c>
      <c r="AO85" s="123">
        <f t="shared" si="116"/>
        <v>0</v>
      </c>
      <c r="AP85" s="123"/>
      <c r="AQ85" s="123">
        <f t="shared" si="117"/>
        <v>0</v>
      </c>
      <c r="AR85" s="123">
        <f t="shared" si="118"/>
        <v>0</v>
      </c>
      <c r="AS85" s="123">
        <f t="shared" si="119"/>
        <v>0</v>
      </c>
      <c r="AW85" t="str">
        <f t="shared" si="93"/>
        <v>26100</v>
      </c>
      <c r="AX85" t="str">
        <f t="shared" si="94"/>
        <v>0.001-1061.03317468765i</v>
      </c>
      <c r="AY85" t="str">
        <f t="shared" si="120"/>
        <v>43.063598326233-1059.28248634558i</v>
      </c>
      <c r="AZ85">
        <f t="shared" si="95"/>
        <v>-13.471992538017844</v>
      </c>
      <c r="BA85">
        <f t="shared" si="96"/>
        <v>-87.67202307932277</v>
      </c>
      <c r="BB85">
        <f t="shared" si="97"/>
        <v>-1.7550869069453225E-3</v>
      </c>
      <c r="BC85">
        <f t="shared" si="98"/>
        <v>0.45782044544963957</v>
      </c>
      <c r="BD85" s="123">
        <f t="shared" si="121"/>
        <v>2.2902091006617289E-2</v>
      </c>
      <c r="BE85" s="123">
        <f t="shared" si="122"/>
        <v>-2.399265046497487</v>
      </c>
      <c r="BF85">
        <f t="shared" si="123"/>
        <v>1.9780463768223129</v>
      </c>
      <c r="BG85">
        <f t="shared" si="124"/>
        <v>-102.03810691513272</v>
      </c>
      <c r="BH85" s="123">
        <f t="shared" si="125"/>
        <v>2.00094846782893</v>
      </c>
      <c r="BI85" s="123">
        <f t="shared" si="126"/>
        <v>-104.43737196163021</v>
      </c>
      <c r="BL85" s="123">
        <f t="shared" si="127"/>
        <v>18940.469776327958</v>
      </c>
      <c r="BM85" s="123">
        <f t="shared" si="128"/>
        <v>-105.60933593031028</v>
      </c>
      <c r="BN85" s="123">
        <f t="shared" si="129"/>
        <v>0</v>
      </c>
      <c r="BO85" s="123">
        <f t="shared" si="130"/>
        <v>0</v>
      </c>
      <c r="BP85" s="123">
        <f t="shared" si="131"/>
        <v>0</v>
      </c>
      <c r="BQ85" s="123">
        <f t="shared" si="132"/>
        <v>0</v>
      </c>
      <c r="BR85" s="123">
        <f t="shared" si="133"/>
        <v>0</v>
      </c>
      <c r="BS85" s="123"/>
      <c r="BT85" s="123"/>
      <c r="BU85" s="123">
        <f t="shared" si="134"/>
        <v>0</v>
      </c>
      <c r="BV85" s="123">
        <f t="shared" si="135"/>
        <v>0</v>
      </c>
      <c r="BX85" s="123">
        <f t="shared" si="136"/>
        <v>0</v>
      </c>
      <c r="BY85" s="123"/>
    </row>
    <row r="86" spans="5:77" x14ac:dyDescent="0.25">
      <c r="E86">
        <v>75</v>
      </c>
      <c r="F86">
        <v>20000</v>
      </c>
      <c r="G86" s="58">
        <f t="shared" si="79"/>
        <v>4.3831544936688796E-2</v>
      </c>
      <c r="H86" s="58">
        <f t="shared" si="80"/>
        <v>-3.8191114894299063</v>
      </c>
      <c r="I86">
        <f t="shared" si="81"/>
        <v>-0.4806927426096903</v>
      </c>
      <c r="J86">
        <f t="shared" si="82"/>
        <v>-81.154414786468905</v>
      </c>
      <c r="K86" t="str">
        <f t="shared" si="83"/>
        <v>5285.41063938762-70.2221129081868i</v>
      </c>
      <c r="L86" t="str">
        <f t="shared" si="84"/>
        <v>1000000-7957748.8101574i</v>
      </c>
      <c r="M86" t="str">
        <f t="shared" si="85"/>
        <v>149599.757247167-2769.59242620347i</v>
      </c>
      <c r="N86">
        <f t="shared" si="99"/>
        <v>-29.339315109284613</v>
      </c>
      <c r="O86">
        <f t="shared" si="86"/>
        <v>0.28921009277994564</v>
      </c>
      <c r="P86" t="str">
        <f t="shared" si="87"/>
        <v>-169313.804471434i</v>
      </c>
      <c r="Q86" t="str">
        <f t="shared" si="88"/>
        <v>5900-663.145734179783i</v>
      </c>
      <c r="R86" t="str">
        <f t="shared" si="100"/>
        <v>5847.00882300595-863.511664676687i</v>
      </c>
      <c r="S86" t="str">
        <f t="shared" si="89"/>
        <v>158064.176936366-3972585.22999898i</v>
      </c>
      <c r="T86" t="str">
        <f t="shared" si="101"/>
        <v>5844.12519363786-871.80904129226i</v>
      </c>
      <c r="U86" t="str">
        <f t="shared" si="102"/>
        <v>0.99009900990099-0.099009900990099i</v>
      </c>
      <c r="V86">
        <f t="shared" si="90"/>
        <v>15.386763714688051</v>
      </c>
      <c r="W86">
        <f t="shared" si="91"/>
        <v>-14.19523912567122</v>
      </c>
      <c r="X86">
        <f t="shared" si="103"/>
        <v>-4.3213737826427526E-2</v>
      </c>
      <c r="Y86">
        <f t="shared" si="92"/>
        <v>-5.710594325555058</v>
      </c>
      <c r="AA86" s="123">
        <f t="shared" si="104"/>
        <v>-0.43686119767300152</v>
      </c>
      <c r="AB86" s="123">
        <f t="shared" si="105"/>
        <v>-84.973526275898806</v>
      </c>
      <c r="AC86">
        <f t="shared" si="106"/>
        <v>-13.952551394596561</v>
      </c>
      <c r="AD86">
        <f t="shared" si="107"/>
        <v>-13.906029032891274</v>
      </c>
      <c r="AE86" s="123">
        <f t="shared" si="108"/>
        <v>-14.389412592269563</v>
      </c>
      <c r="AF86" s="123">
        <f t="shared" si="109"/>
        <v>-98.879555308790074</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26100</v>
      </c>
      <c r="AX86" t="str">
        <f t="shared" si="94"/>
        <v>0.001-795.77488101574i</v>
      </c>
      <c r="AY86" t="str">
        <f t="shared" si="120"/>
        <v>24.2412089841593-795.03574920613i</v>
      </c>
      <c r="AZ86">
        <f t="shared" si="95"/>
        <v>-15.96763124962694</v>
      </c>
      <c r="BA86">
        <f t="shared" si="96"/>
        <v>-88.25357011859532</v>
      </c>
      <c r="BB86">
        <f t="shared" si="97"/>
        <v>-9.875193801402375E-4</v>
      </c>
      <c r="BC86">
        <f t="shared" si="98"/>
        <v>0.34346216158066345</v>
      </c>
      <c r="BD86" s="123">
        <f t="shared" si="121"/>
        <v>4.2844025556548558E-2</v>
      </c>
      <c r="BE86" s="123">
        <f t="shared" si="122"/>
        <v>-3.4756493278492426</v>
      </c>
      <c r="BF86">
        <f t="shared" si="123"/>
        <v>-0.58086753493888921</v>
      </c>
      <c r="BG86">
        <f t="shared" si="124"/>
        <v>-102.44880924426654</v>
      </c>
      <c r="BH86" s="123">
        <f t="shared" si="125"/>
        <v>-0.53802350938234067</v>
      </c>
      <c r="BI86" s="123">
        <f t="shared" si="126"/>
        <v>-105.92445857211578</v>
      </c>
      <c r="BL86" s="123">
        <f t="shared" si="127"/>
        <v>0</v>
      </c>
      <c r="BM86" s="123">
        <f t="shared" si="128"/>
        <v>0</v>
      </c>
      <c r="BN86" s="123">
        <f t="shared" si="129"/>
        <v>0</v>
      </c>
      <c r="BO86" s="123">
        <f t="shared" si="130"/>
        <v>0</v>
      </c>
      <c r="BP86" s="123">
        <f t="shared" si="131"/>
        <v>0</v>
      </c>
      <c r="BQ86" s="123">
        <f t="shared" si="132"/>
        <v>0</v>
      </c>
      <c r="BR86" s="123">
        <f t="shared" si="133"/>
        <v>0</v>
      </c>
      <c r="BS86" s="123"/>
      <c r="BT86" s="123"/>
      <c r="BU86" s="123">
        <f t="shared" si="134"/>
        <v>0</v>
      </c>
      <c r="BV86" s="123">
        <f t="shared" si="135"/>
        <v>0</v>
      </c>
      <c r="BX86" s="123">
        <f t="shared" si="136"/>
        <v>0</v>
      </c>
      <c r="BY86" s="123"/>
    </row>
    <row r="87" spans="5:77" x14ac:dyDescent="0.25">
      <c r="E87">
        <v>76</v>
      </c>
      <c r="F87">
        <v>25000</v>
      </c>
      <c r="G87" s="58">
        <f t="shared" si="79"/>
        <v>6.8479152986798061E-2</v>
      </c>
      <c r="H87" s="58">
        <f t="shared" si="80"/>
        <v>-4.7894868775356771</v>
      </c>
      <c r="I87">
        <f t="shared" si="81"/>
        <v>-2.3757572585813538</v>
      </c>
      <c r="J87">
        <f t="shared" si="82"/>
        <v>-79.540069360124633</v>
      </c>
      <c r="K87" t="str">
        <f t="shared" si="83"/>
        <v>5284.88598680938-87.7689279492816i</v>
      </c>
      <c r="L87" t="str">
        <f t="shared" si="84"/>
        <v>1000000-6366199.04812592i</v>
      </c>
      <c r="M87" t="str">
        <f t="shared" si="85"/>
        <v>149381.735060463-3422.60666919394i</v>
      </c>
      <c r="N87">
        <f t="shared" si="99"/>
        <v>-29.328258431454117</v>
      </c>
      <c r="O87">
        <f t="shared" si="86"/>
        <v>0.34873063175543523</v>
      </c>
      <c r="P87" t="str">
        <f t="shared" si="87"/>
        <v>-135451.043577147i</v>
      </c>
      <c r="Q87" t="str">
        <f t="shared" si="88"/>
        <v>5900-530.516587343826i</v>
      </c>
      <c r="R87" t="str">
        <f t="shared" si="100"/>
        <v>5843.05366875027-781.966627737673i</v>
      </c>
      <c r="S87" t="str">
        <f t="shared" si="89"/>
        <v>101218.669803914-3179877.63306617i</v>
      </c>
      <c r="T87" t="str">
        <f t="shared" si="101"/>
        <v>5839.82944834871-792.399876796811i</v>
      </c>
      <c r="U87" t="str">
        <f t="shared" si="102"/>
        <v>0.984615384615385-0.123076923076923i</v>
      </c>
      <c r="V87">
        <f t="shared" si="90"/>
        <v>15.339902269726553</v>
      </c>
      <c r="W87">
        <f t="shared" si="91"/>
        <v>-14.852226725770816</v>
      </c>
      <c r="X87">
        <f t="shared" si="103"/>
        <v>-6.7333826589681289E-2</v>
      </c>
      <c r="Y87">
        <f t="shared" si="92"/>
        <v>-7.1250178312196599</v>
      </c>
      <c r="AA87" s="123">
        <f t="shared" si="104"/>
        <v>-2.3072781055945559</v>
      </c>
      <c r="AB87" s="123">
        <f t="shared" si="105"/>
        <v>-84.329556237660313</v>
      </c>
      <c r="AC87">
        <f t="shared" si="106"/>
        <v>-13.988356161727564</v>
      </c>
      <c r="AD87">
        <f t="shared" si="107"/>
        <v>-14.503496094015381</v>
      </c>
      <c r="AE87" s="123">
        <f t="shared" si="108"/>
        <v>-16.295634267322122</v>
      </c>
      <c r="AF87" s="123">
        <f t="shared" si="109"/>
        <v>-98.833052331675688</v>
      </c>
      <c r="AI87" s="123">
        <f t="shared" si="110"/>
        <v>0</v>
      </c>
      <c r="AJ87" s="123">
        <f t="shared" si="111"/>
        <v>0</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26100</v>
      </c>
      <c r="AX87" t="str">
        <f t="shared" si="94"/>
        <v>0.001-636.619904812592i</v>
      </c>
      <c r="AY87" t="str">
        <f t="shared" si="120"/>
        <v>15.5199224662373-636.241325203227i</v>
      </c>
      <c r="AZ87">
        <f t="shared" si="95"/>
        <v>-17.904379213273572</v>
      </c>
      <c r="BA87">
        <f t="shared" si="96"/>
        <v>-88.602671683254073</v>
      </c>
      <c r="BB87">
        <f t="shared" si="97"/>
        <v>-6.3209627076178849E-4</v>
      </c>
      <c r="BC87">
        <f t="shared" si="98"/>
        <v>0.27480559837979546</v>
      </c>
      <c r="BD87" s="123">
        <f t="shared" si="121"/>
        <v>6.7847056716036275E-2</v>
      </c>
      <c r="BE87" s="123">
        <f t="shared" si="122"/>
        <v>-4.5146812791558819</v>
      </c>
      <c r="BF87">
        <f t="shared" si="123"/>
        <v>-2.5644769435470192</v>
      </c>
      <c r="BG87">
        <f t="shared" si="124"/>
        <v>-103.45489840902489</v>
      </c>
      <c r="BH87" s="123">
        <f t="shared" si="125"/>
        <v>-2.4966298868309829</v>
      </c>
      <c r="BI87" s="123">
        <f t="shared" si="126"/>
        <v>-107.96957968818077</v>
      </c>
      <c r="BL87" s="123">
        <f t="shared" si="127"/>
        <v>0</v>
      </c>
      <c r="BM87" s="123">
        <f t="shared" si="128"/>
        <v>0</v>
      </c>
      <c r="BN87" s="123">
        <f t="shared" si="129"/>
        <v>0</v>
      </c>
      <c r="BO87" s="123">
        <f t="shared" si="130"/>
        <v>0</v>
      </c>
      <c r="BP87" s="123">
        <f t="shared" si="131"/>
        <v>0</v>
      </c>
      <c r="BQ87" s="123">
        <f t="shared" si="132"/>
        <v>0</v>
      </c>
      <c r="BR87" s="123">
        <f t="shared" si="133"/>
        <v>0</v>
      </c>
      <c r="BS87" s="123"/>
      <c r="BT87" s="123"/>
      <c r="BU87" s="123">
        <f t="shared" si="134"/>
        <v>0</v>
      </c>
      <c r="BV87" s="123">
        <f t="shared" si="135"/>
        <v>0</v>
      </c>
      <c r="BX87" s="123">
        <f t="shared" si="136"/>
        <v>0</v>
      </c>
      <c r="BY87" s="123"/>
    </row>
    <row r="88" spans="5:77" x14ac:dyDescent="0.25">
      <c r="E88">
        <v>77</v>
      </c>
      <c r="F88">
        <v>30000</v>
      </c>
      <c r="G88" s="58">
        <f t="shared" si="79"/>
        <v>9.8594916791667708E-2</v>
      </c>
      <c r="H88" s="58">
        <f t="shared" si="80"/>
        <v>-5.7703816480092289</v>
      </c>
      <c r="I88">
        <f t="shared" si="81"/>
        <v>-3.9077280695626366</v>
      </c>
      <c r="J88">
        <f t="shared" si="82"/>
        <v>-77.861893140787743</v>
      </c>
      <c r="K88" t="str">
        <f t="shared" si="83"/>
        <v>5284.24488620201-105.30993701836i</v>
      </c>
      <c r="L88" t="str">
        <f t="shared" si="84"/>
        <v>1000000-5305165.87343827i</v>
      </c>
      <c r="M88" t="str">
        <f t="shared" si="85"/>
        <v>149121.907564658-4050.80523626097i</v>
      </c>
      <c r="N88">
        <f t="shared" si="99"/>
        <v>-29.315054156434677</v>
      </c>
      <c r="O88">
        <f t="shared" si="86"/>
        <v>0.40014636608757059</v>
      </c>
      <c r="P88" t="str">
        <f t="shared" si="87"/>
        <v>-112875.869647623i</v>
      </c>
      <c r="Q88" t="str">
        <f t="shared" si="88"/>
        <v>5900-442.097156119855i</v>
      </c>
      <c r="R88" t="str">
        <f t="shared" si="100"/>
        <v>5838.22685191571-744.344800486539i</v>
      </c>
      <c r="S88" t="str">
        <f t="shared" si="89"/>
        <v>70312.4891146084-2650717.83963049i</v>
      </c>
      <c r="T88" t="str">
        <f t="shared" si="101"/>
        <v>5834.58872131203-756.886483161641i</v>
      </c>
      <c r="U88" t="str">
        <f t="shared" si="102"/>
        <v>0.97799511002445-0.146699266503667i</v>
      </c>
      <c r="V88">
        <f t="shared" si="90"/>
        <v>15.296048169946069</v>
      </c>
      <c r="W88">
        <f t="shared" si="91"/>
        <v>-15.922132533881124</v>
      </c>
      <c r="X88">
        <f t="shared" si="103"/>
        <v>-9.663316679379233E-2</v>
      </c>
      <c r="Y88">
        <f t="shared" si="92"/>
        <v>-8.5307673847238625</v>
      </c>
      <c r="AA88" s="123">
        <f t="shared" si="104"/>
        <v>-3.8091331527709689</v>
      </c>
      <c r="AB88" s="123">
        <f t="shared" si="105"/>
        <v>-83.632274788796977</v>
      </c>
      <c r="AC88">
        <f t="shared" si="106"/>
        <v>-14.019005986488608</v>
      </c>
      <c r="AD88">
        <f t="shared" si="107"/>
        <v>-15.521986167793553</v>
      </c>
      <c r="AE88" s="123">
        <f t="shared" si="108"/>
        <v>-17.828139139259576</v>
      </c>
      <c r="AF88" s="123">
        <f t="shared" si="109"/>
        <v>-99.154260956590534</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26100</v>
      </c>
      <c r="AX88" t="str">
        <f t="shared" si="94"/>
        <v>0.001-530.516587343826i</v>
      </c>
      <c r="AY88" t="str">
        <f t="shared" si="120"/>
        <v>10.7799878355903-530.297449694188i</v>
      </c>
      <c r="AZ88">
        <f t="shared" si="95"/>
        <v>-19.487215028807348</v>
      </c>
      <c r="BA88">
        <f t="shared" si="96"/>
        <v>-88.835459327849549</v>
      </c>
      <c r="BB88">
        <f t="shared" si="97"/>
        <v>-4.3898738753489925E-4</v>
      </c>
      <c r="BC88">
        <f t="shared" si="98"/>
        <v>0.22902090574328571</v>
      </c>
      <c r="BD88" s="123">
        <f t="shared" si="121"/>
        <v>9.8155929404132813E-2</v>
      </c>
      <c r="BE88" s="123">
        <f t="shared" si="122"/>
        <v>-5.541360742265943</v>
      </c>
      <c r="BF88">
        <f t="shared" si="123"/>
        <v>-4.1911668588612798</v>
      </c>
      <c r="BG88">
        <f t="shared" si="124"/>
        <v>-104.75759186173067</v>
      </c>
      <c r="BH88" s="123">
        <f t="shared" si="125"/>
        <v>-4.0930109294571473</v>
      </c>
      <c r="BI88" s="123">
        <f t="shared" si="126"/>
        <v>-110.29895260399661</v>
      </c>
      <c r="BL88" s="123">
        <f t="shared" si="127"/>
        <v>0</v>
      </c>
      <c r="BM88" s="123">
        <f t="shared" si="128"/>
        <v>0</v>
      </c>
      <c r="BN88" s="123">
        <f t="shared" si="129"/>
        <v>0</v>
      </c>
      <c r="BO88" s="123">
        <f t="shared" si="130"/>
        <v>0</v>
      </c>
      <c r="BP88" s="123">
        <f t="shared" si="131"/>
        <v>0</v>
      </c>
      <c r="BQ88" s="123">
        <f t="shared" si="132"/>
        <v>0</v>
      </c>
      <c r="BR88" s="123">
        <f t="shared" si="133"/>
        <v>0</v>
      </c>
      <c r="BS88" s="123"/>
      <c r="BT88" s="123"/>
      <c r="BU88" s="123">
        <f t="shared" si="134"/>
        <v>0</v>
      </c>
      <c r="BV88" s="123">
        <f t="shared" si="135"/>
        <v>0</v>
      </c>
      <c r="BX88" s="123">
        <f t="shared" si="136"/>
        <v>0</v>
      </c>
      <c r="BY88" s="123"/>
    </row>
    <row r="89" spans="5:77" x14ac:dyDescent="0.25">
      <c r="E89">
        <v>78</v>
      </c>
      <c r="F89">
        <v>35000</v>
      </c>
      <c r="G89" s="58">
        <f t="shared" si="79"/>
        <v>0.1341712233189164</v>
      </c>
      <c r="H89" s="58">
        <f t="shared" si="80"/>
        <v>-6.7640214485371191</v>
      </c>
      <c r="I89">
        <f t="shared" si="81"/>
        <v>-5.1866245785915597</v>
      </c>
      <c r="J89">
        <f t="shared" si="82"/>
        <v>-76.159251985962342</v>
      </c>
      <c r="K89" t="str">
        <f t="shared" si="83"/>
        <v>5283.48742235214-122.84398173794i</v>
      </c>
      <c r="L89" t="str">
        <f t="shared" si="84"/>
        <v>1000000-4547285.03437566i</v>
      </c>
      <c r="M89" t="str">
        <f t="shared" si="85"/>
        <v>148823.879737656-4650.56875441902i</v>
      </c>
      <c r="N89">
        <f t="shared" si="99"/>
        <v>-29.299872082604281</v>
      </c>
      <c r="O89">
        <f t="shared" si="86"/>
        <v>0.4422278706422364</v>
      </c>
      <c r="P89" t="str">
        <f t="shared" si="87"/>
        <v>-96750.745412248i</v>
      </c>
      <c r="Q89" t="str">
        <f t="shared" si="88"/>
        <v>5900-378.940419531305i</v>
      </c>
      <c r="R89" t="str">
        <f t="shared" si="100"/>
        <v>5832.53270336261-731.750652724428i</v>
      </c>
      <c r="S89" t="str">
        <f t="shared" si="89"/>
        <v>51667.7935505759-2272467.77626597i</v>
      </c>
      <c r="T89" t="str">
        <f t="shared" si="101"/>
        <v>5828.40773866867-746.375762182994i</v>
      </c>
      <c r="U89" t="str">
        <f t="shared" si="102"/>
        <v>0.970285021224985-0.169799878714372i</v>
      </c>
      <c r="V89">
        <f t="shared" si="90"/>
        <v>15.250633735180031</v>
      </c>
      <c r="W89">
        <f t="shared" si="91"/>
        <v>-17.223729700627185</v>
      </c>
      <c r="X89">
        <f t="shared" si="103"/>
        <v>-0.13100672988593903</v>
      </c>
      <c r="Y89">
        <f t="shared" si="92"/>
        <v>-9.9262475717488527</v>
      </c>
      <c r="AA89" s="123">
        <f t="shared" si="104"/>
        <v>-5.0524533552726432</v>
      </c>
      <c r="AB89" s="123">
        <f t="shared" si="105"/>
        <v>-82.923273434499464</v>
      </c>
      <c r="AC89">
        <f t="shared" si="106"/>
        <v>-14.04923834742425</v>
      </c>
      <c r="AD89">
        <f t="shared" si="107"/>
        <v>-16.781501829984951</v>
      </c>
      <c r="AE89" s="123">
        <f t="shared" si="108"/>
        <v>-19.101691702696893</v>
      </c>
      <c r="AF89" s="123">
        <f t="shared" si="109"/>
        <v>-99.704775264484411</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26100</v>
      </c>
      <c r="AX89" t="str">
        <f t="shared" si="94"/>
        <v>0.001-454.728503437566i</v>
      </c>
      <c r="AY89" t="str">
        <f t="shared" si="120"/>
        <v>7.92112416321555-454.590479854166i</v>
      </c>
      <c r="AZ89">
        <f t="shared" si="95"/>
        <v>-20.82567494643774</v>
      </c>
      <c r="BA89">
        <f t="shared" si="96"/>
        <v>-89.001755069487402</v>
      </c>
      <c r="BB89">
        <f t="shared" si="97"/>
        <v>-3.2253536576540146E-4</v>
      </c>
      <c r="BC89">
        <f t="shared" si="98"/>
        <v>0.19631202802127862</v>
      </c>
      <c r="BD89" s="123">
        <f t="shared" si="121"/>
        <v>0.133848687953151</v>
      </c>
      <c r="BE89" s="123">
        <f t="shared" si="122"/>
        <v>-6.5677094205158406</v>
      </c>
      <c r="BF89">
        <f t="shared" si="123"/>
        <v>-5.5750412112577088</v>
      </c>
      <c r="BG89">
        <f t="shared" si="124"/>
        <v>-106.22548477011459</v>
      </c>
      <c r="BH89" s="123">
        <f t="shared" si="125"/>
        <v>-5.4411925233045579</v>
      </c>
      <c r="BI89" s="123">
        <f t="shared" si="126"/>
        <v>-112.79319419063043</v>
      </c>
      <c r="BL89" s="123">
        <f t="shared" si="127"/>
        <v>0</v>
      </c>
      <c r="BM89" s="123">
        <f t="shared" si="128"/>
        <v>0</v>
      </c>
      <c r="BN89" s="123">
        <f t="shared" si="129"/>
        <v>0</v>
      </c>
      <c r="BO89" s="123">
        <f t="shared" si="130"/>
        <v>0</v>
      </c>
      <c r="BP89" s="123">
        <f t="shared" si="131"/>
        <v>0</v>
      </c>
      <c r="BQ89" s="123">
        <f t="shared" si="132"/>
        <v>0</v>
      </c>
      <c r="BR89" s="123">
        <f t="shared" si="133"/>
        <v>0</v>
      </c>
      <c r="BS89" s="123"/>
      <c r="BT89" s="123"/>
      <c r="BU89" s="123">
        <f t="shared" si="134"/>
        <v>0</v>
      </c>
      <c r="BV89" s="123">
        <f t="shared" si="135"/>
        <v>0</v>
      </c>
      <c r="BX89" s="123">
        <f t="shared" si="136"/>
        <v>0</v>
      </c>
      <c r="BY89" s="123"/>
    </row>
    <row r="90" spans="5:77" x14ac:dyDescent="0.25">
      <c r="E90">
        <v>79</v>
      </c>
      <c r="F90">
        <v>40000</v>
      </c>
      <c r="G90" s="58">
        <f t="shared" si="79"/>
        <v>0.17519703806874659</v>
      </c>
      <c r="H90" s="58">
        <f t="shared" si="80"/>
        <v>-7.7726992433512017</v>
      </c>
      <c r="I90">
        <f t="shared" si="81"/>
        <v>-6.2783197426182982</v>
      </c>
      <c r="J90">
        <f t="shared" si="82"/>
        <v>-74.45327943913442</v>
      </c>
      <c r="K90" t="str">
        <f t="shared" si="83"/>
        <v>5282.61369539591-140.369905264884i</v>
      </c>
      <c r="L90" t="str">
        <f t="shared" si="84"/>
        <v>1000000-3978874.4050787i</v>
      </c>
      <c r="M90" t="str">
        <f t="shared" si="85"/>
        <v>148491.600315143-5218.89817278715i</v>
      </c>
      <c r="N90">
        <f t="shared" si="99"/>
        <v>-29.282899768701153</v>
      </c>
      <c r="O90">
        <f t="shared" si="86"/>
        <v>0.47392985752505251</v>
      </c>
      <c r="P90" t="str">
        <f t="shared" si="87"/>
        <v>-84656.902235717i</v>
      </c>
      <c r="Q90" t="str">
        <f t="shared" si="88"/>
        <v>5900-331.572867089892i</v>
      </c>
      <c r="R90" t="str">
        <f t="shared" si="100"/>
        <v>5825.97631835085-734.725408309545i</v>
      </c>
      <c r="S90" t="str">
        <f t="shared" si="89"/>
        <v>39562.9453670662-1988650.1225858i</v>
      </c>
      <c r="T90" t="str">
        <f t="shared" si="101"/>
        <v>5821.2923456384-751.408745472392i</v>
      </c>
      <c r="U90" t="str">
        <f t="shared" si="102"/>
        <v>0.961538461538461-0.192307692307692i</v>
      </c>
      <c r="V90">
        <f t="shared" si="90"/>
        <v>15.201818515095088</v>
      </c>
      <c r="W90">
        <f t="shared" si="91"/>
        <v>-18.664970780566129</v>
      </c>
      <c r="X90">
        <f t="shared" si="103"/>
        <v>-0.17033339298780789</v>
      </c>
      <c r="Y90">
        <f t="shared" si="92"/>
        <v>-11.309934826985332</v>
      </c>
      <c r="AA90" s="123">
        <f t="shared" si="104"/>
        <v>-6.103122704549552</v>
      </c>
      <c r="AB90" s="123">
        <f t="shared" si="105"/>
        <v>-82.225978682485618</v>
      </c>
      <c r="AC90">
        <f t="shared" si="106"/>
        <v>-14.081081253606065</v>
      </c>
      <c r="AD90">
        <f t="shared" si="107"/>
        <v>-18.191040923041076</v>
      </c>
      <c r="AE90" s="123">
        <f t="shared" si="108"/>
        <v>-20.184203958155617</v>
      </c>
      <c r="AF90" s="123">
        <f t="shared" si="109"/>
        <v>-100.41701960552669</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26100</v>
      </c>
      <c r="AX90" t="str">
        <f t="shared" si="94"/>
        <v>0.001-397.88744050787i</v>
      </c>
      <c r="AY90" t="str">
        <f t="shared" si="120"/>
        <v>6.06527636474824-397.79496176903i</v>
      </c>
      <c r="AZ90">
        <f t="shared" si="95"/>
        <v>-21.985204996915819</v>
      </c>
      <c r="BA90">
        <f t="shared" si="96"/>
        <v>-89.126483569348252</v>
      </c>
      <c r="BB90">
        <f t="shared" si="97"/>
        <v>-2.4694810665353435E-4</v>
      </c>
      <c r="BC90">
        <f t="shared" si="98"/>
        <v>0.17177779219043751</v>
      </c>
      <c r="BD90" s="123">
        <f t="shared" si="121"/>
        <v>0.17495008996209305</v>
      </c>
      <c r="BE90" s="123">
        <f t="shared" si="122"/>
        <v>-7.6009214511607643</v>
      </c>
      <c r="BF90">
        <f t="shared" si="123"/>
        <v>-6.783386481820731</v>
      </c>
      <c r="BG90">
        <f t="shared" si="124"/>
        <v>-107.79145434991437</v>
      </c>
      <c r="BH90" s="123">
        <f t="shared" si="125"/>
        <v>-6.6084363918586382</v>
      </c>
      <c r="BI90" s="123">
        <f t="shared" si="126"/>
        <v>-115.39237580107513</v>
      </c>
      <c r="BL90" s="123">
        <f t="shared" si="127"/>
        <v>0</v>
      </c>
      <c r="BM90" s="123">
        <f t="shared" si="128"/>
        <v>0</v>
      </c>
      <c r="BN90" s="123">
        <f t="shared" si="129"/>
        <v>0</v>
      </c>
      <c r="BO90" s="123">
        <f t="shared" si="130"/>
        <v>0</v>
      </c>
      <c r="BP90" s="123">
        <f t="shared" si="131"/>
        <v>0</v>
      </c>
      <c r="BQ90" s="123">
        <f t="shared" si="132"/>
        <v>0</v>
      </c>
      <c r="BR90" s="123">
        <f t="shared" si="133"/>
        <v>0</v>
      </c>
      <c r="BS90" s="123"/>
      <c r="BT90" s="123"/>
      <c r="BU90" s="123">
        <f t="shared" si="134"/>
        <v>0</v>
      </c>
      <c r="BV90" s="123">
        <f t="shared" si="135"/>
        <v>0</v>
      </c>
      <c r="BX90" s="123">
        <f t="shared" si="136"/>
        <v>0</v>
      </c>
      <c r="BY90" s="123"/>
    </row>
    <row r="91" spans="5:77" x14ac:dyDescent="0.25">
      <c r="E91">
        <v>80</v>
      </c>
      <c r="F91">
        <v>45000</v>
      </c>
      <c r="G91" s="58">
        <f t="shared" si="79"/>
        <v>0.22165679730241211</v>
      </c>
      <c r="H91" s="58">
        <f t="shared" si="80"/>
        <v>-8.7987872207696824</v>
      </c>
      <c r="I91">
        <f t="shared" si="81"/>
        <v>-7.225477325997697</v>
      </c>
      <c r="J91">
        <f t="shared" si="82"/>
        <v>-72.756825299332249</v>
      </c>
      <c r="K91" t="str">
        <f t="shared" si="83"/>
        <v>5281.6238207858-157.886552544329i</v>
      </c>
      <c r="L91" t="str">
        <f t="shared" si="84"/>
        <v>1000000-3536777.24895884i</v>
      </c>
      <c r="M91" t="str">
        <f t="shared" si="85"/>
        <v>148129.242188536-5753.43797034619i</v>
      </c>
      <c r="N91">
        <f t="shared" si="99"/>
        <v>-29.264337350058582</v>
      </c>
      <c r="O91">
        <f t="shared" si="86"/>
        <v>0.49440057103429946</v>
      </c>
      <c r="P91" t="str">
        <f t="shared" si="87"/>
        <v>-75250.5797650818i</v>
      </c>
      <c r="Q91" t="str">
        <f t="shared" si="88"/>
        <v>5900-294.731437413237i</v>
      </c>
      <c r="R91" t="str">
        <f t="shared" si="100"/>
        <v>5818.56354519399-748.004549289887i</v>
      </c>
      <c r="S91" t="str">
        <f t="shared" si="89"/>
        <v>31262.2069597513-1767835.78716778i</v>
      </c>
      <c r="T91" t="str">
        <f t="shared" si="101"/>
        <v>5813.24935416943-766.7195894146i</v>
      </c>
      <c r="U91" t="str">
        <f t="shared" si="102"/>
        <v>0.951814396192742-0.214158239143367i</v>
      </c>
      <c r="V91">
        <f t="shared" si="90"/>
        <v>15.148799565806355</v>
      </c>
      <c r="W91">
        <f t="shared" si="91"/>
        <v>-20.193861483990322</v>
      </c>
      <c r="X91">
        <f t="shared" si="103"/>
        <v>-0.2144773078354662</v>
      </c>
      <c r="Y91">
        <f t="shared" si="92"/>
        <v>-12.680386129899249</v>
      </c>
      <c r="AA91" s="123">
        <f t="shared" si="104"/>
        <v>-7.003820528695285</v>
      </c>
      <c r="AB91" s="123">
        <f t="shared" si="105"/>
        <v>-81.555612520101931</v>
      </c>
      <c r="AC91">
        <f t="shared" si="106"/>
        <v>-14.115537784252227</v>
      </c>
      <c r="AD91">
        <f t="shared" si="107"/>
        <v>-19.699460912956024</v>
      </c>
      <c r="AE91" s="123">
        <f t="shared" si="108"/>
        <v>-21.119358312947512</v>
      </c>
      <c r="AF91" s="123">
        <f t="shared" si="109"/>
        <v>-101.25507343305796</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26100</v>
      </c>
      <c r="AX91" t="str">
        <f t="shared" si="94"/>
        <v>0.001-353.677724895884i</v>
      </c>
      <c r="AY91" t="str">
        <f t="shared" si="120"/>
        <v>4.79276067130889-353.612765267418i</v>
      </c>
      <c r="AZ91">
        <f t="shared" si="95"/>
        <v>-23.00804365983204</v>
      </c>
      <c r="BA91">
        <f t="shared" si="96"/>
        <v>-89.223496410850601</v>
      </c>
      <c r="BB91">
        <f t="shared" si="97"/>
        <v>-1.9512326608698671E-4</v>
      </c>
      <c r="BC91">
        <f t="shared" si="98"/>
        <v>0.15269427648742809</v>
      </c>
      <c r="BD91" s="123">
        <f t="shared" si="121"/>
        <v>0.22146167403632513</v>
      </c>
      <c r="BE91" s="123">
        <f t="shared" si="122"/>
        <v>-8.6460929442822536</v>
      </c>
      <c r="BF91">
        <f t="shared" si="123"/>
        <v>-7.8592440940256854</v>
      </c>
      <c r="BG91">
        <f t="shared" si="124"/>
        <v>-109.41735789484092</v>
      </c>
      <c r="BH91" s="123">
        <f t="shared" si="125"/>
        <v>-7.6377824199893602</v>
      </c>
      <c r="BI91" s="123">
        <f t="shared" si="126"/>
        <v>-118.06345083912318</v>
      </c>
      <c r="BL91" s="123">
        <f t="shared" si="127"/>
        <v>0</v>
      </c>
      <c r="BM91" s="123">
        <f t="shared" si="128"/>
        <v>0</v>
      </c>
      <c r="BN91" s="123">
        <f t="shared" si="129"/>
        <v>0</v>
      </c>
      <c r="BO91" s="123">
        <f t="shared" si="130"/>
        <v>0</v>
      </c>
      <c r="BP91" s="123">
        <f t="shared" si="131"/>
        <v>0</v>
      </c>
      <c r="BQ91" s="123">
        <f t="shared" si="132"/>
        <v>0</v>
      </c>
      <c r="BR91" s="123">
        <f t="shared" si="133"/>
        <v>0</v>
      </c>
      <c r="BS91" s="123"/>
      <c r="BT91" s="123"/>
      <c r="BU91" s="123">
        <f t="shared" si="134"/>
        <v>0</v>
      </c>
      <c r="BV91" s="123">
        <f t="shared" si="135"/>
        <v>0</v>
      </c>
      <c r="BX91" s="123">
        <f t="shared" si="136"/>
        <v>0</v>
      </c>
      <c r="BY91" s="123"/>
    </row>
    <row r="92" spans="5:77" x14ac:dyDescent="0.25">
      <c r="E92">
        <v>81</v>
      </c>
      <c r="F92">
        <v>50000</v>
      </c>
      <c r="G92" s="58">
        <f t="shared" si="79"/>
        <v>0.27352905871072714</v>
      </c>
      <c r="H92" s="58">
        <f t="shared" si="80"/>
        <v>-9.8447489491976246</v>
      </c>
      <c r="I92">
        <f t="shared" si="81"/>
        <v>-8.057385967765363</v>
      </c>
      <c r="J92">
        <f t="shared" si="82"/>
        <v>-71.078429935349178</v>
      </c>
      <c r="K92" t="str">
        <f t="shared" si="83"/>
        <v>5280.51792925261-175.392770562783i</v>
      </c>
      <c r="L92" t="str">
        <f t="shared" si="84"/>
        <v>1000000-3183099.52406296i</v>
      </c>
      <c r="M92" t="str">
        <f t="shared" si="85"/>
        <v>147741.086638247-6252.4748232128i</v>
      </c>
      <c r="N92">
        <f t="shared" si="99"/>
        <v>-29.244392419220603</v>
      </c>
      <c r="O92">
        <f t="shared" si="86"/>
        <v>0.50298434361518363</v>
      </c>
      <c r="P92" t="str">
        <f t="shared" si="87"/>
        <v>-67725.5217885736i</v>
      </c>
      <c r="Q92" t="str">
        <f t="shared" si="88"/>
        <v>5900-265.258293671913i</v>
      </c>
      <c r="R92" t="str">
        <f t="shared" si="100"/>
        <v>5810.30097229614-768.420836193159i</v>
      </c>
      <c r="S92" t="str">
        <f t="shared" si="89"/>
        <v>25323.8918308187-1591146.71969131i</v>
      </c>
      <c r="T92" t="str">
        <f t="shared" si="101"/>
        <v>5804.28647954851-789.139195853602i</v>
      </c>
      <c r="U92" t="str">
        <f t="shared" si="102"/>
        <v>0.941176470588235-0.235294117647059i</v>
      </c>
      <c r="V92">
        <f t="shared" si="90"/>
        <v>15.091231978664435</v>
      </c>
      <c r="W92">
        <f t="shared" si="91"/>
        <v>-21.778595952327574</v>
      </c>
      <c r="X92">
        <f t="shared" si="103"/>
        <v>-0.2632893872234946</v>
      </c>
      <c r="Y92">
        <f t="shared" si="92"/>
        <v>-14.036246388084637</v>
      </c>
      <c r="AA92" s="123">
        <f t="shared" si="104"/>
        <v>-7.7838569090546361</v>
      </c>
      <c r="AB92" s="123">
        <f t="shared" si="105"/>
        <v>-80.9231788845468</v>
      </c>
      <c r="AC92">
        <f t="shared" si="106"/>
        <v>-14.153160440556167</v>
      </c>
      <c r="AD92">
        <f t="shared" si="107"/>
        <v>-21.275611608712392</v>
      </c>
      <c r="AE92" s="123">
        <f t="shared" si="108"/>
        <v>-21.937017349610805</v>
      </c>
      <c r="AF92" s="123">
        <f t="shared" si="109"/>
        <v>-102.1987904932592</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26100</v>
      </c>
      <c r="AX92" t="str">
        <f t="shared" si="94"/>
        <v>0.001-318.309952406296i</v>
      </c>
      <c r="AY92" t="str">
        <f t="shared" si="120"/>
        <v>3.88246153903025-318.262590551495i</v>
      </c>
      <c r="AZ92">
        <f t="shared" si="95"/>
        <v>-23.923041975404065</v>
      </c>
      <c r="BA92">
        <f t="shared" si="96"/>
        <v>-89.301106317365509</v>
      </c>
      <c r="BB92">
        <f t="shared" si="97"/>
        <v>-1.5805203245905562E-4</v>
      </c>
      <c r="BC92">
        <f t="shared" si="98"/>
        <v>0.13742671945766533</v>
      </c>
      <c r="BD92" s="123">
        <f t="shared" si="121"/>
        <v>0.27337100667826808</v>
      </c>
      <c r="BE92" s="123">
        <f t="shared" si="122"/>
        <v>-9.70732222973996</v>
      </c>
      <c r="BF92">
        <f t="shared" si="123"/>
        <v>-8.8318099967396293</v>
      </c>
      <c r="BG92">
        <f t="shared" si="124"/>
        <v>-111.07970226969309</v>
      </c>
      <c r="BH92" s="123">
        <f t="shared" si="125"/>
        <v>-8.5584389900613616</v>
      </c>
      <c r="BI92" s="123">
        <f t="shared" si="126"/>
        <v>-120.78702449943304</v>
      </c>
      <c r="BL92" s="123">
        <f t="shared" si="127"/>
        <v>0</v>
      </c>
      <c r="BM92" s="123">
        <f t="shared" si="128"/>
        <v>0</v>
      </c>
      <c r="BN92" s="123">
        <f t="shared" si="129"/>
        <v>0</v>
      </c>
      <c r="BO92" s="123">
        <f t="shared" si="130"/>
        <v>0</v>
      </c>
      <c r="BP92" s="123">
        <f t="shared" si="131"/>
        <v>0</v>
      </c>
      <c r="BQ92" s="123">
        <f t="shared" si="132"/>
        <v>0</v>
      </c>
      <c r="BR92" s="123">
        <f t="shared" si="133"/>
        <v>0</v>
      </c>
      <c r="BS92" s="123"/>
      <c r="BT92" s="123"/>
      <c r="BU92" s="123">
        <f t="shared" si="134"/>
        <v>0</v>
      </c>
      <c r="BV92" s="123">
        <f t="shared" si="135"/>
        <v>0</v>
      </c>
      <c r="BX92" s="123">
        <f t="shared" si="136"/>
        <v>0</v>
      </c>
      <c r="BY92" s="123"/>
    </row>
    <row r="93" spans="5:77" x14ac:dyDescent="0.25">
      <c r="E93">
        <v>82</v>
      </c>
      <c r="F93">
        <v>55000</v>
      </c>
      <c r="G93" s="58">
        <f t="shared" si="79"/>
        <v>0.33078487753722208</v>
      </c>
      <c r="H93" s="58">
        <f t="shared" si="80"/>
        <v>-10.913151759360227</v>
      </c>
      <c r="I93">
        <f t="shared" si="81"/>
        <v>-8.7950805957213305</v>
      </c>
      <c r="J93">
        <f t="shared" si="82"/>
        <v>-69.424129825390239</v>
      </c>
      <c r="K93" t="str">
        <f t="shared" si="83"/>
        <v>5279.29616676227-192.88740860029i</v>
      </c>
      <c r="L93" t="str">
        <f t="shared" si="84"/>
        <v>1000000-2893726.84005724i</v>
      </c>
      <c r="M93" t="str">
        <f t="shared" si="85"/>
        <v>147331.416429127-6714.91469910533i</v>
      </c>
      <c r="N93">
        <f t="shared" si="99"/>
        <v>-29.223275182362709</v>
      </c>
      <c r="O93">
        <f t="shared" si="86"/>
        <v>0.49921794089335347</v>
      </c>
      <c r="P93" t="str">
        <f t="shared" si="87"/>
        <v>-61568.6561714305i</v>
      </c>
      <c r="Q93" t="str">
        <f t="shared" si="88"/>
        <v>5900-241.143903338103i</v>
      </c>
      <c r="R93" t="str">
        <f t="shared" si="100"/>
        <v>5801.19591362504-793.951151815496i</v>
      </c>
      <c r="S93" t="str">
        <f t="shared" si="89"/>
        <v>20929.7560982361-1446560.59504373i</v>
      </c>
      <c r="T93" t="str">
        <f t="shared" si="101"/>
        <v>5794.41230332197-816.642332301738i</v>
      </c>
      <c r="U93" t="str">
        <f t="shared" si="102"/>
        <v>0.929692039511912-0.255665310865776i</v>
      </c>
      <c r="V93">
        <f t="shared" si="90"/>
        <v>15.028997399779684</v>
      </c>
      <c r="W93">
        <f t="shared" si="91"/>
        <v>-23.398467749993561</v>
      </c>
      <c r="X93">
        <f t="shared" si="103"/>
        <v>-0.31660887671635185</v>
      </c>
      <c r="Y93">
        <f t="shared" si="92"/>
        <v>-15.376254447765101</v>
      </c>
      <c r="AA93" s="123">
        <f t="shared" si="104"/>
        <v>-8.4642957181841076</v>
      </c>
      <c r="AB93" s="123">
        <f t="shared" si="105"/>
        <v>-80.337281584750471</v>
      </c>
      <c r="AC93">
        <f t="shared" si="106"/>
        <v>-14.194277782583026</v>
      </c>
      <c r="AD93">
        <f t="shared" si="107"/>
        <v>-22.899249809100208</v>
      </c>
      <c r="AE93" s="123">
        <f t="shared" si="108"/>
        <v>-22.658573500767133</v>
      </c>
      <c r="AF93" s="123">
        <f t="shared" si="109"/>
        <v>-103.23653139385068</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26100</v>
      </c>
      <c r="AX93" t="str">
        <f t="shared" si="94"/>
        <v>0.001-289.372684005724i</v>
      </c>
      <c r="AY93" t="str">
        <f t="shared" si="120"/>
        <v>3.208902249831-289.337095576841i</v>
      </c>
      <c r="AZ93">
        <f t="shared" si="95"/>
        <v>-24.750783585522321</v>
      </c>
      <c r="BA93">
        <f t="shared" si="96"/>
        <v>-89.364603980102459</v>
      </c>
      <c r="BB93">
        <f t="shared" si="97"/>
        <v>-1.3062285168566253E-4</v>
      </c>
      <c r="BC93">
        <f t="shared" si="98"/>
        <v>0.12493463958002436</v>
      </c>
      <c r="BD93" s="123">
        <f t="shared" si="121"/>
        <v>0.33065425468553644</v>
      </c>
      <c r="BE93" s="123">
        <f t="shared" si="122"/>
        <v>-10.788217119780203</v>
      </c>
      <c r="BF93">
        <f t="shared" si="123"/>
        <v>-9.7217861857426371</v>
      </c>
      <c r="BG93">
        <f t="shared" si="124"/>
        <v>-112.76307173009602</v>
      </c>
      <c r="BH93" s="123">
        <f t="shared" si="125"/>
        <v>-9.3911319310571013</v>
      </c>
      <c r="BI93" s="123">
        <f t="shared" si="126"/>
        <v>-123.55128884987622</v>
      </c>
      <c r="BL93" s="123">
        <f t="shared" si="127"/>
        <v>0</v>
      </c>
      <c r="BM93" s="123">
        <f t="shared" si="128"/>
        <v>0</v>
      </c>
      <c r="BN93" s="123">
        <f t="shared" si="129"/>
        <v>0</v>
      </c>
      <c r="BO93" s="123">
        <f t="shared" si="130"/>
        <v>0</v>
      </c>
      <c r="BP93" s="123">
        <f t="shared" si="131"/>
        <v>0</v>
      </c>
      <c r="BQ93" s="123">
        <f t="shared" si="132"/>
        <v>0</v>
      </c>
      <c r="BR93" s="123">
        <f t="shared" si="133"/>
        <v>0</v>
      </c>
      <c r="BS93" s="123"/>
      <c r="BT93" s="123"/>
      <c r="BU93" s="123">
        <f t="shared" si="134"/>
        <v>0</v>
      </c>
      <c r="BV93" s="123">
        <f t="shared" si="135"/>
        <v>0</v>
      </c>
      <c r="BX93" s="123">
        <f t="shared" si="136"/>
        <v>0</v>
      </c>
      <c r="BY93" s="123"/>
    </row>
    <row r="94" spans="5:77" x14ac:dyDescent="0.25">
      <c r="E94">
        <v>83</v>
      </c>
      <c r="F94">
        <v>60000</v>
      </c>
      <c r="G94" s="58">
        <f t="shared" si="79"/>
        <v>0.39338586922053664</v>
      </c>
      <c r="H94" s="58">
        <f t="shared" si="80"/>
        <v>-12.006679299093879</v>
      </c>
      <c r="I94">
        <f t="shared" si="81"/>
        <v>-9.4542242093341091</v>
      </c>
      <c r="J94">
        <f t="shared" si="82"/>
        <v>-67.798363088100942</v>
      </c>
      <c r="K94" t="str">
        <f t="shared" si="83"/>
        <v>5277.95869446783-210.369318481529i</v>
      </c>
      <c r="L94" t="str">
        <f t="shared" si="84"/>
        <v>1000000-2652582.93671913i</v>
      </c>
      <c r="M94" t="str">
        <f t="shared" si="85"/>
        <v>146904.421542678-7140.24225666827i</v>
      </c>
      <c r="N94">
        <f t="shared" si="99"/>
        <v>-29.201194060368412</v>
      </c>
      <c r="O94">
        <f t="shared" si="86"/>
        <v>0.48282158874352499</v>
      </c>
      <c r="P94" t="str">
        <f t="shared" si="87"/>
        <v>-56437.9348238113i</v>
      </c>
      <c r="Q94" t="str">
        <f t="shared" si="88"/>
        <v>5900-221.048578059928i</v>
      </c>
      <c r="R94" t="str">
        <f t="shared" si="100"/>
        <v>5791.25639268029-823.239937565058i</v>
      </c>
      <c r="S94" t="str">
        <f t="shared" si="89"/>
        <v>17587.3968810404-1326058.20821523i</v>
      </c>
      <c r="T94" t="str">
        <f t="shared" si="101"/>
        <v>5783.63624463826-847.871209527969i</v>
      </c>
      <c r="U94" t="str">
        <f t="shared" si="102"/>
        <v>0.91743119266055-0.275229357798165i</v>
      </c>
      <c r="V94">
        <f t="shared" si="90"/>
        <v>14.962100134724562</v>
      </c>
      <c r="W94">
        <f t="shared" si="91"/>
        <v>-25.039306047497011</v>
      </c>
      <c r="X94">
        <f t="shared" si="103"/>
        <v>-0.37426497940624104</v>
      </c>
      <c r="Y94">
        <f t="shared" si="92"/>
        <v>-16.699247708173459</v>
      </c>
      <c r="AA94" s="123">
        <f t="shared" si="104"/>
        <v>-9.0608383401135733</v>
      </c>
      <c r="AB94" s="123">
        <f t="shared" si="105"/>
        <v>-79.805042387194817</v>
      </c>
      <c r="AC94">
        <f t="shared" si="106"/>
        <v>-14.23909392564385</v>
      </c>
      <c r="AD94">
        <f t="shared" si="107"/>
        <v>-24.556484458753484</v>
      </c>
      <c r="AE94" s="123">
        <f t="shared" si="108"/>
        <v>-23.299932265757423</v>
      </c>
      <c r="AF94" s="123">
        <f t="shared" si="109"/>
        <v>-104.3615268459483</v>
      </c>
      <c r="AI94" s="123">
        <f t="shared" si="110"/>
        <v>0</v>
      </c>
      <c r="AJ94" s="123">
        <f t="shared" si="111"/>
        <v>0</v>
      </c>
      <c r="AK94" s="123">
        <f t="shared" si="112"/>
        <v>0</v>
      </c>
      <c r="AL94" s="123">
        <f t="shared" si="113"/>
        <v>0</v>
      </c>
      <c r="AM94" s="123">
        <f t="shared" si="114"/>
        <v>0</v>
      </c>
      <c r="AN94" s="123">
        <f t="shared" si="115"/>
        <v>0</v>
      </c>
      <c r="AO94" s="123">
        <f t="shared" si="116"/>
        <v>0</v>
      </c>
      <c r="AP94" s="123"/>
      <c r="AQ94" s="123">
        <f t="shared" si="117"/>
        <v>0</v>
      </c>
      <c r="AR94" s="123">
        <f t="shared" si="118"/>
        <v>0</v>
      </c>
      <c r="AS94" s="123">
        <f t="shared" si="119"/>
        <v>0</v>
      </c>
      <c r="AW94" t="str">
        <f t="shared" si="93"/>
        <v>26100</v>
      </c>
      <c r="AX94" t="str">
        <f t="shared" si="94"/>
        <v>0.001-265.258293671913i</v>
      </c>
      <c r="AY94" t="str">
        <f t="shared" si="120"/>
        <v>2.69658189121162-265.230877735435i</v>
      </c>
      <c r="AZ94">
        <f t="shared" si="95"/>
        <v>-25.506469545415719</v>
      </c>
      <c r="BA94">
        <f t="shared" si="96"/>
        <v>-89.417516898360347</v>
      </c>
      <c r="BB94">
        <f t="shared" si="97"/>
        <v>-1.0976033417821061E-4</v>
      </c>
      <c r="BC94">
        <f t="shared" si="98"/>
        <v>0.11452429688657283</v>
      </c>
      <c r="BD94" s="123">
        <f t="shared" si="121"/>
        <v>0.39327610888635844</v>
      </c>
      <c r="BE94" s="123">
        <f t="shared" si="122"/>
        <v>-11.892155002207305</v>
      </c>
      <c r="BF94">
        <f t="shared" si="123"/>
        <v>-10.544369410691157</v>
      </c>
      <c r="BG94">
        <f t="shared" si="124"/>
        <v>-114.45682294585735</v>
      </c>
      <c r="BH94" s="123">
        <f t="shared" si="125"/>
        <v>-10.151093301804799</v>
      </c>
      <c r="BI94" s="123">
        <f t="shared" si="126"/>
        <v>-126.34897794806466</v>
      </c>
      <c r="BL94" s="123">
        <f t="shared" si="127"/>
        <v>0</v>
      </c>
      <c r="BM94" s="123">
        <f t="shared" si="128"/>
        <v>0</v>
      </c>
      <c r="BN94" s="123">
        <f t="shared" si="129"/>
        <v>0</v>
      </c>
      <c r="BO94" s="123">
        <f t="shared" si="130"/>
        <v>0</v>
      </c>
      <c r="BP94" s="123">
        <f t="shared" si="131"/>
        <v>0</v>
      </c>
      <c r="BQ94" s="123">
        <f t="shared" si="132"/>
        <v>0</v>
      </c>
      <c r="BR94" s="123">
        <f t="shared" si="133"/>
        <v>0</v>
      </c>
      <c r="BS94" s="123"/>
      <c r="BT94" s="123"/>
      <c r="BU94" s="123">
        <f t="shared" si="134"/>
        <v>0</v>
      </c>
      <c r="BV94" s="123">
        <f t="shared" si="135"/>
        <v>0</v>
      </c>
      <c r="BX94" s="123">
        <f t="shared" si="136"/>
        <v>0</v>
      </c>
      <c r="BY94" s="123"/>
    </row>
    <row r="95" spans="5:77" x14ac:dyDescent="0.25">
      <c r="E95">
        <v>84</v>
      </c>
      <c r="F95">
        <v>65000</v>
      </c>
      <c r="G95" s="58">
        <f t="shared" si="79"/>
        <v>0.46128191322319428</v>
      </c>
      <c r="H95" s="58">
        <f t="shared" si="80"/>
        <v>-13.128144165758416</v>
      </c>
      <c r="I95">
        <f t="shared" si="81"/>
        <v>-10.046830314406199</v>
      </c>
      <c r="J95">
        <f t="shared" si="82"/>
        <v>-66.204462639876795</v>
      </c>
      <c r="K95" t="str">
        <f t="shared" si="83"/>
        <v>5276.50568865633-227.837354825745i</v>
      </c>
      <c r="L95" t="str">
        <f t="shared" si="84"/>
        <v>1000000-2448538.09543305i</v>
      </c>
      <c r="M95" t="str">
        <f t="shared" si="85"/>
        <v>146464.119982655-7528.46688986987i</v>
      </c>
      <c r="N95">
        <f t="shared" si="99"/>
        <v>-29.17835185544055</v>
      </c>
      <c r="O95">
        <f t="shared" si="86"/>
        <v>0.45368573790166794</v>
      </c>
      <c r="P95" t="str">
        <f t="shared" si="87"/>
        <v>-52096.5552219797i</v>
      </c>
      <c r="Q95" t="str">
        <f t="shared" si="88"/>
        <v>5900-204.044841286087i</v>
      </c>
      <c r="R95" t="str">
        <f t="shared" si="100"/>
        <v>5780.49112502205-855.342595024471i</v>
      </c>
      <c r="S95" t="str">
        <f t="shared" si="89"/>
        <v>14986.1008431692-1224085.57752244i</v>
      </c>
      <c r="T95" t="str">
        <f t="shared" si="101"/>
        <v>5771.96853402339-881.878961789573i</v>
      </c>
      <c r="U95" t="str">
        <f t="shared" si="102"/>
        <v>0.904465799886942-0.293951384963256i</v>
      </c>
      <c r="V95">
        <f t="shared" si="90"/>
        <v>14.890615879826676</v>
      </c>
      <c r="W95">
        <f t="shared" si="91"/>
        <v>-26.691010973649878</v>
      </c>
      <c r="X95">
        <f t="shared" si="103"/>
        <v>-0.43607850253798275</v>
      </c>
      <c r="Y95">
        <f t="shared" si="92"/>
        <v>-18.004165351573619</v>
      </c>
      <c r="AA95" s="123">
        <f t="shared" si="104"/>
        <v>-9.5855484011830043</v>
      </c>
      <c r="AB95" s="123">
        <f t="shared" si="105"/>
        <v>-79.332606805635209</v>
      </c>
      <c r="AC95">
        <f t="shared" si="106"/>
        <v>-14.287735975613874</v>
      </c>
      <c r="AD95">
        <f t="shared" si="107"/>
        <v>-26.237325235748209</v>
      </c>
      <c r="AE95" s="123">
        <f t="shared" si="108"/>
        <v>-23.873284376796878</v>
      </c>
      <c r="AF95" s="123">
        <f t="shared" si="109"/>
        <v>-105.56993204138342</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26100</v>
      </c>
      <c r="AX95" t="str">
        <f t="shared" si="94"/>
        <v>0.001-244.853809543305i</v>
      </c>
      <c r="AY95" t="str">
        <f t="shared" si="120"/>
        <v>2.29786226493889-244.832243062017i</v>
      </c>
      <c r="AZ95">
        <f t="shared" si="95"/>
        <v>-26.20164531874898</v>
      </c>
      <c r="BA95">
        <f t="shared" si="96"/>
        <v>-89.462287378378761</v>
      </c>
      <c r="BB95">
        <f t="shared" si="97"/>
        <v>-9.352416507119114E-5</v>
      </c>
      <c r="BC95">
        <f t="shared" si="98"/>
        <v>0.10571536580293377</v>
      </c>
      <c r="BD95" s="123">
        <f t="shared" si="121"/>
        <v>0.46118838905812309</v>
      </c>
      <c r="BE95" s="123">
        <f t="shared" si="122"/>
        <v>-13.022428799955481</v>
      </c>
      <c r="BF95">
        <f t="shared" si="123"/>
        <v>-11.311029438922304</v>
      </c>
      <c r="BG95">
        <f t="shared" si="124"/>
        <v>-116.15329835202864</v>
      </c>
      <c r="BH95" s="123">
        <f t="shared" si="125"/>
        <v>-10.849841049864182</v>
      </c>
      <c r="BI95" s="123">
        <f t="shared" si="126"/>
        <v>-129.17572715198412</v>
      </c>
      <c r="BL95" s="123">
        <f t="shared" si="127"/>
        <v>0</v>
      </c>
      <c r="BM95" s="123">
        <f t="shared" si="128"/>
        <v>0</v>
      </c>
      <c r="BN95" s="123">
        <f t="shared" si="129"/>
        <v>0</v>
      </c>
      <c r="BO95" s="123">
        <f t="shared" si="130"/>
        <v>0</v>
      </c>
      <c r="BP95" s="123">
        <f t="shared" si="131"/>
        <v>0</v>
      </c>
      <c r="BQ95" s="123">
        <f t="shared" si="132"/>
        <v>0</v>
      </c>
      <c r="BR95" s="123">
        <f t="shared" si="133"/>
        <v>0</v>
      </c>
      <c r="BS95" s="123"/>
      <c r="BT95" s="123"/>
      <c r="BU95" s="123">
        <f t="shared" si="134"/>
        <v>0</v>
      </c>
      <c r="BV95" s="123">
        <f t="shared" si="135"/>
        <v>0</v>
      </c>
      <c r="BX95" s="123">
        <f t="shared" si="136"/>
        <v>0</v>
      </c>
      <c r="BY95" s="123"/>
    </row>
    <row r="96" spans="5:77" x14ac:dyDescent="0.25">
      <c r="E96">
        <v>85</v>
      </c>
      <c r="F96">
        <v>70000</v>
      </c>
      <c r="G96" s="58">
        <f t="shared" si="79"/>
        <v>0.53440844594937931</v>
      </c>
      <c r="H96" s="58">
        <f t="shared" si="80"/>
        <v>-14.280500467663378</v>
      </c>
      <c r="I96">
        <f t="shared" si="81"/>
        <v>-10.582343559548647</v>
      </c>
      <c r="J96">
        <f t="shared" si="82"/>
        <v>-64.644945454617229</v>
      </c>
      <c r="K96" t="str">
        <f t="shared" si="83"/>
        <v>5274.93734069088-245.290375295388i</v>
      </c>
      <c r="L96" t="str">
        <f t="shared" si="84"/>
        <v>1000000-2273642.51718783i</v>
      </c>
      <c r="M96" t="str">
        <f t="shared" si="85"/>
        <v>146014.294808128-7880.05981323176i</v>
      </c>
      <c r="N96">
        <f t="shared" si="99"/>
        <v>-29.154942555778561</v>
      </c>
      <c r="O96">
        <f t="shared" si="86"/>
        <v>0.41185468568829825</v>
      </c>
      <c r="P96" t="str">
        <f t="shared" si="87"/>
        <v>-48375.372706124i</v>
      </c>
      <c r="Q96" t="str">
        <f t="shared" si="88"/>
        <v>5900-189.470209765652i</v>
      </c>
      <c r="R96" t="str">
        <f t="shared" si="100"/>
        <v>5768.90949943027-889.578869545244i</v>
      </c>
      <c r="S96" t="str">
        <f t="shared" si="89"/>
        <v>12921.9557547104-1136674.35905386i</v>
      </c>
      <c r="T96" t="str">
        <f t="shared" si="101"/>
        <v>5759.42018735909-917.983077622707i</v>
      </c>
      <c r="U96" t="str">
        <f t="shared" si="102"/>
        <v>0.89086859688196-0.311804008908686i</v>
      </c>
      <c r="V96">
        <f t="shared" si="90"/>
        <v>14.814664269511246</v>
      </c>
      <c r="W96">
        <f t="shared" si="91"/>
        <v>-28.346141962696606</v>
      </c>
      <c r="X96">
        <f t="shared" si="103"/>
        <v>-0.50186349675360742</v>
      </c>
      <c r="Y96">
        <f t="shared" si="92"/>
        <v>-19.29005023236973</v>
      </c>
      <c r="AA96" s="123">
        <f t="shared" si="104"/>
        <v>-10.047935113599268</v>
      </c>
      <c r="AB96" s="123">
        <f t="shared" si="105"/>
        <v>-78.925445922280602</v>
      </c>
      <c r="AC96">
        <f t="shared" si="106"/>
        <v>-14.340278286267315</v>
      </c>
      <c r="AD96">
        <f t="shared" si="107"/>
        <v>-27.934287277008309</v>
      </c>
      <c r="AE96" s="123">
        <f t="shared" si="108"/>
        <v>-24.388213399866583</v>
      </c>
      <c r="AF96" s="123">
        <f t="shared" si="109"/>
        <v>-106.85973319928891</v>
      </c>
      <c r="AI96" s="123">
        <f t="shared" si="110"/>
        <v>0</v>
      </c>
      <c r="AJ96" s="123">
        <f t="shared" si="111"/>
        <v>0</v>
      </c>
      <c r="AK96" s="123">
        <f t="shared" si="112"/>
        <v>0</v>
      </c>
      <c r="AL96" s="123">
        <f t="shared" si="113"/>
        <v>0</v>
      </c>
      <c r="AM96" s="123">
        <f t="shared" si="114"/>
        <v>0</v>
      </c>
      <c r="AN96" s="123">
        <f t="shared" si="115"/>
        <v>0</v>
      </c>
      <c r="AO96" s="123">
        <f t="shared" si="116"/>
        <v>0</v>
      </c>
      <c r="AP96" s="123"/>
      <c r="AQ96" s="123">
        <f t="shared" si="117"/>
        <v>0</v>
      </c>
      <c r="AR96" s="123">
        <f t="shared" si="118"/>
        <v>0</v>
      </c>
      <c r="AS96" s="123">
        <f t="shared" si="119"/>
        <v>0</v>
      </c>
      <c r="AW96" t="str">
        <f t="shared" si="93"/>
        <v>26100</v>
      </c>
      <c r="AX96" t="str">
        <f t="shared" si="94"/>
        <v>0.001-227.364251718783i</v>
      </c>
      <c r="AY96" t="str">
        <f t="shared" si="120"/>
        <v>1.98148177819433-227.346981777451i</v>
      </c>
      <c r="AZ96">
        <f t="shared" si="95"/>
        <v>-26.845286337290059</v>
      </c>
      <c r="BA96">
        <f t="shared" si="96"/>
        <v>-89.500660029037746</v>
      </c>
      <c r="BB96">
        <f t="shared" si="97"/>
        <v>-8.0641122050838243E-5</v>
      </c>
      <c r="BC96">
        <f t="shared" si="98"/>
        <v>9.8164732588758088E-2</v>
      </c>
      <c r="BD96" s="123">
        <f t="shared" si="121"/>
        <v>0.53432780482732845</v>
      </c>
      <c r="BE96" s="123">
        <f t="shared" si="122"/>
        <v>-14.18233573507462</v>
      </c>
      <c r="BF96">
        <f t="shared" si="123"/>
        <v>-12.030622067778813</v>
      </c>
      <c r="BG96">
        <f t="shared" si="124"/>
        <v>-117.84680199173435</v>
      </c>
      <c r="BH96" s="123">
        <f t="shared" si="125"/>
        <v>-11.496294262951485</v>
      </c>
      <c r="BI96" s="123">
        <f t="shared" si="126"/>
        <v>-132.02913772680898</v>
      </c>
      <c r="BL96" s="123">
        <f t="shared" si="127"/>
        <v>0</v>
      </c>
      <c r="BM96" s="123">
        <f t="shared" si="128"/>
        <v>0</v>
      </c>
      <c r="BN96" s="123">
        <f t="shared" si="129"/>
        <v>0</v>
      </c>
      <c r="BO96" s="123">
        <f t="shared" si="130"/>
        <v>0</v>
      </c>
      <c r="BP96" s="123">
        <f t="shared" si="131"/>
        <v>0</v>
      </c>
      <c r="BQ96" s="123">
        <f t="shared" si="132"/>
        <v>0</v>
      </c>
      <c r="BR96" s="123">
        <f t="shared" si="133"/>
        <v>0</v>
      </c>
      <c r="BS96" s="123"/>
      <c r="BT96" s="123"/>
      <c r="BU96" s="123">
        <f t="shared" si="134"/>
        <v>0</v>
      </c>
      <c r="BV96" s="123">
        <f t="shared" si="135"/>
        <v>0</v>
      </c>
      <c r="BX96" s="123">
        <f t="shared" si="136"/>
        <v>0</v>
      </c>
      <c r="BY96" s="123"/>
    </row>
    <row r="97" spans="5:77" x14ac:dyDescent="0.25">
      <c r="E97">
        <v>86</v>
      </c>
      <c r="F97">
        <v>75000</v>
      </c>
      <c r="G97" s="58">
        <f t="shared" si="79"/>
        <v>0.61268328367992286</v>
      </c>
      <c r="H97" s="58">
        <f t="shared" si="80"/>
        <v>-15.466856096634295</v>
      </c>
      <c r="I97">
        <f t="shared" si="81"/>
        <v>-11.068345313473156</v>
      </c>
      <c r="J97">
        <f t="shared" si="82"/>
        <v>-63.121694682620088</v>
      </c>
      <c r="K97" t="str">
        <f t="shared" si="83"/>
        <v>5273.25385694777-262.72724084336i</v>
      </c>
      <c r="L97" t="str">
        <f t="shared" si="84"/>
        <v>1000000-2122066.34937531i</v>
      </c>
      <c r="M97" t="str">
        <f t="shared" si="85"/>
        <v>145558.447426282-8195.8863092777i</v>
      </c>
      <c r="N97">
        <f t="shared" si="99"/>
        <v>-29.131148806208426</v>
      </c>
      <c r="O97">
        <f t="shared" si="86"/>
        <v>0.35750815306476696</v>
      </c>
      <c r="P97" t="str">
        <f t="shared" si="87"/>
        <v>-45150.3478590491i</v>
      </c>
      <c r="Q97" t="str">
        <f t="shared" si="88"/>
        <v>5900-176.838862447942i</v>
      </c>
      <c r="R97" t="str">
        <f t="shared" si="100"/>
        <v>5756.52155776912-925.444890350246i</v>
      </c>
      <c r="S97" t="str">
        <f t="shared" si="89"/>
        <v>11256.6467142736-1060913.73793165i</v>
      </c>
      <c r="T97" t="str">
        <f t="shared" si="101"/>
        <v>5746.00297918193-955.677470171969i</v>
      </c>
      <c r="U97" t="str">
        <f t="shared" si="102"/>
        <v>0.876712328767123-0.328767123287671i</v>
      </c>
      <c r="V97">
        <f t="shared" si="90"/>
        <v>14.734393052380589</v>
      </c>
      <c r="W97">
        <f t="shared" si="91"/>
        <v>-29.999068748535663</v>
      </c>
      <c r="X97">
        <f t="shared" si="103"/>
        <v>-0.57142886136569104</v>
      </c>
      <c r="Y97">
        <f t="shared" si="92"/>
        <v>-20.55604949614812</v>
      </c>
      <c r="AA97" s="123">
        <f t="shared" si="104"/>
        <v>-10.455662029793233</v>
      </c>
      <c r="AB97" s="123">
        <f t="shared" si="105"/>
        <v>-78.588550779254376</v>
      </c>
      <c r="AC97">
        <f t="shared" si="106"/>
        <v>-14.396755753827836</v>
      </c>
      <c r="AD97">
        <f t="shared" si="107"/>
        <v>-29.641560595470896</v>
      </c>
      <c r="AE97" s="123">
        <f t="shared" si="108"/>
        <v>-24.852417783621071</v>
      </c>
      <c r="AF97" s="123">
        <f t="shared" si="109"/>
        <v>-108.23011137472527</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26100</v>
      </c>
      <c r="AX97" t="str">
        <f t="shared" si="94"/>
        <v>0.001-212.206634937531i</v>
      </c>
      <c r="AY97" t="str">
        <f t="shared" si="120"/>
        <v>1.72623655541814-212.192591602545i</v>
      </c>
      <c r="AZ97">
        <f t="shared" si="95"/>
        <v>-27.444508329935321</v>
      </c>
      <c r="BA97">
        <f t="shared" si="96"/>
        <v>-89.533914290036023</v>
      </c>
      <c r="BB97">
        <f t="shared" si="97"/>
        <v>-7.0247649912453898E-5</v>
      </c>
      <c r="BC97">
        <f t="shared" si="98"/>
        <v>9.1620766720577715E-2</v>
      </c>
      <c r="BD97" s="123">
        <f t="shared" si="121"/>
        <v>0.61261303603001038</v>
      </c>
      <c r="BE97" s="123">
        <f t="shared" si="122"/>
        <v>-15.375235329913718</v>
      </c>
      <c r="BF97">
        <f t="shared" si="123"/>
        <v>-12.710115277554731</v>
      </c>
      <c r="BG97">
        <f t="shared" si="124"/>
        <v>-119.53298303857169</v>
      </c>
      <c r="BH97" s="123">
        <f t="shared" si="125"/>
        <v>-12.097502241524721</v>
      </c>
      <c r="BI97" s="123">
        <f t="shared" si="126"/>
        <v>-134.90821836848539</v>
      </c>
      <c r="BL97" s="123">
        <f t="shared" si="127"/>
        <v>0</v>
      </c>
      <c r="BM97" s="123">
        <f t="shared" si="128"/>
        <v>0</v>
      </c>
      <c r="BN97" s="123">
        <f t="shared" si="129"/>
        <v>0</v>
      </c>
      <c r="BO97" s="123">
        <f t="shared" si="130"/>
        <v>0</v>
      </c>
      <c r="BP97" s="123">
        <f t="shared" si="131"/>
        <v>0</v>
      </c>
      <c r="BQ97" s="123">
        <f t="shared" si="132"/>
        <v>0</v>
      </c>
      <c r="BR97" s="123">
        <f t="shared" si="133"/>
        <v>0</v>
      </c>
      <c r="BS97" s="123"/>
      <c r="BT97" s="123"/>
      <c r="BU97" s="123">
        <f t="shared" si="134"/>
        <v>0</v>
      </c>
      <c r="BV97" s="123">
        <f t="shared" si="135"/>
        <v>0</v>
      </c>
      <c r="BX97" s="123">
        <f t="shared" si="136"/>
        <v>0</v>
      </c>
      <c r="BY97" s="123"/>
    </row>
    <row r="98" spans="5:77" x14ac:dyDescent="0.25">
      <c r="E98">
        <v>87</v>
      </c>
      <c r="F98">
        <v>80000</v>
      </c>
      <c r="G98" s="58">
        <f t="shared" si="79"/>
        <v>0.6960029095586262</v>
      </c>
      <c r="H98" s="58">
        <f t="shared" si="80"/>
        <v>-16.690484405201943</v>
      </c>
      <c r="I98">
        <f t="shared" si="81"/>
        <v>-11.51103006211363</v>
      </c>
      <c r="J98">
        <f t="shared" si="82"/>
        <v>-61.636082509817953</v>
      </c>
      <c r="K98" t="str">
        <f t="shared" si="83"/>
        <v>5271.45545874876-280.146815958748i</v>
      </c>
      <c r="L98" t="str">
        <f t="shared" si="84"/>
        <v>1000000-1989437.20253935i</v>
      </c>
      <c r="M98" t="str">
        <f t="shared" si="85"/>
        <v>145099.766280337-8477.13675046462i</v>
      </c>
      <c r="N98">
        <f t="shared" si="99"/>
        <v>-29.107140034575263</v>
      </c>
      <c r="O98">
        <f t="shared" si="86"/>
        <v>0.29094182725241063</v>
      </c>
      <c r="P98" t="str">
        <f t="shared" si="87"/>
        <v>-42328.4511178585i</v>
      </c>
      <c r="Q98" t="str">
        <f t="shared" si="88"/>
        <v>5900-165.786433544946i</v>
      </c>
      <c r="R98" t="str">
        <f t="shared" si="100"/>
        <v>5743.33797363616-962.558204351491i</v>
      </c>
      <c r="S98" t="str">
        <f t="shared" si="89"/>
        <v>9893.67201280648-994620.187073815i</v>
      </c>
      <c r="T98" t="str">
        <f t="shared" si="101"/>
        <v>5731.72941496323-994.577531510324i</v>
      </c>
      <c r="U98" t="str">
        <f t="shared" si="102"/>
        <v>0.862068965517241-0.344827586206897i</v>
      </c>
      <c r="V98">
        <f t="shared" si="90"/>
        <v>14.649968326909955</v>
      </c>
      <c r="W98">
        <f t="shared" si="91"/>
        <v>-31.645439074146413</v>
      </c>
      <c r="X98">
        <f t="shared" si="103"/>
        <v>-0.64457989226918699</v>
      </c>
      <c r="Y98">
        <f t="shared" si="92"/>
        <v>-21.801414022007247</v>
      </c>
      <c r="AA98" s="123">
        <f t="shared" si="104"/>
        <v>-10.815027152555004</v>
      </c>
      <c r="AB98" s="123">
        <f t="shared" si="105"/>
        <v>-78.326566915019896</v>
      </c>
      <c r="AC98">
        <f t="shared" si="106"/>
        <v>-14.457171707665308</v>
      </c>
      <c r="AD98">
        <f t="shared" si="107"/>
        <v>-31.354497246894002</v>
      </c>
      <c r="AE98" s="123">
        <f t="shared" si="108"/>
        <v>-25.272198860220314</v>
      </c>
      <c r="AF98" s="123">
        <f t="shared" si="109"/>
        <v>-109.68106416191389</v>
      </c>
      <c r="AI98" s="123">
        <f t="shared" si="110"/>
        <v>0</v>
      </c>
      <c r="AJ98" s="123">
        <f t="shared" si="111"/>
        <v>0</v>
      </c>
      <c r="AK98" s="123">
        <f t="shared" si="112"/>
        <v>0</v>
      </c>
      <c r="AL98" s="123">
        <f t="shared" si="113"/>
        <v>0</v>
      </c>
      <c r="AM98" s="123">
        <f t="shared" si="114"/>
        <v>0</v>
      </c>
      <c r="AN98" s="123">
        <f t="shared" si="115"/>
        <v>0</v>
      </c>
      <c r="AO98" s="123">
        <f t="shared" si="116"/>
        <v>0</v>
      </c>
      <c r="AP98" s="123"/>
      <c r="AQ98" s="123">
        <f t="shared" si="117"/>
        <v>0</v>
      </c>
      <c r="AR98" s="123">
        <f t="shared" si="118"/>
        <v>0</v>
      </c>
      <c r="AS98" s="123">
        <f t="shared" si="119"/>
        <v>0</v>
      </c>
      <c r="AW98" t="str">
        <f t="shared" si="93"/>
        <v>26100</v>
      </c>
      <c r="AX98" t="str">
        <f t="shared" si="94"/>
        <v>0.001-198.943720253935i</v>
      </c>
      <c r="AY98" t="str">
        <f t="shared" si="120"/>
        <v>1.51733332865024-198.932146963919i</v>
      </c>
      <c r="AZ98">
        <f t="shared" si="95"/>
        <v>-28.00504803903172</v>
      </c>
      <c r="BA98">
        <f t="shared" si="96"/>
        <v>-89.563009776911599</v>
      </c>
      <c r="BB98">
        <f t="shared" si="97"/>
        <v>-6.1741294563227533E-5</v>
      </c>
      <c r="BC98">
        <f t="shared" si="98"/>
        <v>8.5894737070797311E-2</v>
      </c>
      <c r="BD98" s="123">
        <f t="shared" si="121"/>
        <v>0.69594116826406294</v>
      </c>
      <c r="BE98" s="123">
        <f t="shared" si="122"/>
        <v>-16.604589668131144</v>
      </c>
      <c r="BF98">
        <f t="shared" si="123"/>
        <v>-13.355079712121766</v>
      </c>
      <c r="BG98">
        <f t="shared" si="124"/>
        <v>-121.20844885105801</v>
      </c>
      <c r="BH98" s="123">
        <f t="shared" si="125"/>
        <v>-12.659138543857702</v>
      </c>
      <c r="BI98" s="123">
        <f t="shared" si="126"/>
        <v>-137.81303851918915</v>
      </c>
      <c r="BL98" s="123">
        <f t="shared" si="127"/>
        <v>0</v>
      </c>
      <c r="BM98" s="123">
        <f t="shared" si="128"/>
        <v>0</v>
      </c>
      <c r="BN98" s="123">
        <f t="shared" si="129"/>
        <v>0</v>
      </c>
      <c r="BO98" s="123">
        <f t="shared" si="130"/>
        <v>0</v>
      </c>
      <c r="BP98" s="123">
        <f t="shared" si="131"/>
        <v>0</v>
      </c>
      <c r="BQ98" s="123">
        <f t="shared" si="132"/>
        <v>0</v>
      </c>
      <c r="BR98" s="123">
        <f t="shared" si="133"/>
        <v>0</v>
      </c>
      <c r="BS98" s="123"/>
      <c r="BT98" s="123"/>
      <c r="BU98" s="123">
        <f t="shared" si="134"/>
        <v>0</v>
      </c>
      <c r="BV98" s="123">
        <f t="shared" si="135"/>
        <v>0</v>
      </c>
      <c r="BX98" s="123">
        <f t="shared" si="136"/>
        <v>0</v>
      </c>
      <c r="BY98" s="123"/>
    </row>
    <row r="99" spans="5:77" x14ac:dyDescent="0.25">
      <c r="E99">
        <v>88</v>
      </c>
      <c r="F99">
        <v>85000</v>
      </c>
      <c r="G99" s="58">
        <f t="shared" si="79"/>
        <v>0.78423815230319616</v>
      </c>
      <c r="H99" s="58">
        <f t="shared" si="80"/>
        <v>-17.954834869459955</v>
      </c>
      <c r="I99">
        <f t="shared" si="81"/>
        <v>-11.915536430314859</v>
      </c>
      <c r="J99">
        <f t="shared" si="82"/>
        <v>-60.18905867180824</v>
      </c>
      <c r="K99" t="str">
        <f t="shared" si="83"/>
        <v>5269.5423822886-297.547968910942i</v>
      </c>
      <c r="L99" t="str">
        <f t="shared" si="84"/>
        <v>1000000-1872411.48474292i</v>
      </c>
      <c r="M99" t="str">
        <f t="shared" si="85"/>
        <v>144641.109421353-8725.25936081753i</v>
      </c>
      <c r="N99">
        <f t="shared" si="99"/>
        <v>-29.083071193779681</v>
      </c>
      <c r="O99">
        <f t="shared" si="86"/>
        <v>0.2125477464656258</v>
      </c>
      <c r="P99" t="str">
        <f t="shared" si="87"/>
        <v>-39838.5422285727i</v>
      </c>
      <c r="Q99" t="str">
        <f t="shared" si="88"/>
        <v>5900-156.034290395243i</v>
      </c>
      <c r="R99" t="str">
        <f t="shared" si="100"/>
        <v>5729.37002987928-1000.62221747302i</v>
      </c>
      <c r="S99" t="str">
        <f t="shared" si="89"/>
        <v>8764.04376854-936123.692890434i</v>
      </c>
      <c r="T99" t="str">
        <f t="shared" si="101"/>
        <v>5716.61270226499-1034.38458856832i</v>
      </c>
      <c r="U99" t="str">
        <f t="shared" si="102"/>
        <v>0.847008999470619-0.359978824775013i</v>
      </c>
      <c r="V99">
        <f t="shared" si="90"/>
        <v>14.561568125014229</v>
      </c>
      <c r="W99">
        <f t="shared" si="91"/>
        <v>-33.281832646254408</v>
      </c>
      <c r="X99">
        <f t="shared" si="103"/>
        <v>-0.72111975265909201</v>
      </c>
      <c r="Y99">
        <f t="shared" si="92"/>
        <v>-23.025496798846621</v>
      </c>
      <c r="AA99" s="123">
        <f t="shared" si="104"/>
        <v>-11.131298278011663</v>
      </c>
      <c r="AB99" s="123">
        <f t="shared" si="105"/>
        <v>-78.143893541268199</v>
      </c>
      <c r="AC99">
        <f t="shared" si="106"/>
        <v>-14.521503068765451</v>
      </c>
      <c r="AD99">
        <f t="shared" si="107"/>
        <v>-33.069284899788784</v>
      </c>
      <c r="AE99" s="123">
        <f t="shared" si="108"/>
        <v>-25.652801346777114</v>
      </c>
      <c r="AF99" s="123">
        <f t="shared" si="109"/>
        <v>-111.21317844105698</v>
      </c>
      <c r="AI99" s="123">
        <f t="shared" si="110"/>
        <v>0</v>
      </c>
      <c r="AJ99" s="123">
        <f t="shared" si="111"/>
        <v>0</v>
      </c>
      <c r="AK99" s="123">
        <f t="shared" si="112"/>
        <v>0</v>
      </c>
      <c r="AL99" s="123">
        <f t="shared" si="113"/>
        <v>0</v>
      </c>
      <c r="AM99" s="123">
        <f t="shared" si="114"/>
        <v>0</v>
      </c>
      <c r="AN99" s="123">
        <f t="shared" si="115"/>
        <v>0</v>
      </c>
      <c r="AO99" s="123">
        <f t="shared" si="116"/>
        <v>0</v>
      </c>
      <c r="AP99" s="123"/>
      <c r="AQ99" s="123">
        <f t="shared" si="117"/>
        <v>0</v>
      </c>
      <c r="AR99" s="123">
        <f t="shared" si="118"/>
        <v>0</v>
      </c>
      <c r="AS99" s="123">
        <f t="shared" si="119"/>
        <v>0</v>
      </c>
      <c r="AW99" t="str">
        <f t="shared" si="93"/>
        <v>26100</v>
      </c>
      <c r="AX99" t="str">
        <f t="shared" si="94"/>
        <v>0.001-187.241148474292i</v>
      </c>
      <c r="AY99" t="str">
        <f t="shared" si="120"/>
        <v>1.34419691112292-187.231498044985i</v>
      </c>
      <c r="AZ99">
        <f t="shared" si="95"/>
        <v>-28.531598002616686</v>
      </c>
      <c r="BA99">
        <f t="shared" si="96"/>
        <v>-89.588680335458335</v>
      </c>
      <c r="BB99">
        <f t="shared" si="97"/>
        <v>-5.4691394465189722E-5</v>
      </c>
      <c r="BC99">
        <f t="shared" si="98"/>
        <v>8.0842314736716908E-2</v>
      </c>
      <c r="BD99" s="123">
        <f t="shared" si="121"/>
        <v>0.78418346090873092</v>
      </c>
      <c r="BE99" s="123">
        <f t="shared" si="122"/>
        <v>-17.873992554723237</v>
      </c>
      <c r="BF99">
        <f t="shared" si="123"/>
        <v>-13.970029877602457</v>
      </c>
      <c r="BG99">
        <f t="shared" si="124"/>
        <v>-122.87051298171275</v>
      </c>
      <c r="BH99" s="123">
        <f t="shared" si="125"/>
        <v>-13.185846416693726</v>
      </c>
      <c r="BI99" s="123">
        <f t="shared" si="126"/>
        <v>-140.74450553643598</v>
      </c>
      <c r="BL99" s="123">
        <f t="shared" si="127"/>
        <v>0</v>
      </c>
      <c r="BM99" s="123">
        <f t="shared" si="128"/>
        <v>0</v>
      </c>
      <c r="BN99" s="123">
        <f t="shared" si="129"/>
        <v>0</v>
      </c>
      <c r="BO99" s="123">
        <f t="shared" si="130"/>
        <v>0</v>
      </c>
      <c r="BP99" s="123">
        <f t="shared" si="131"/>
        <v>0</v>
      </c>
      <c r="BQ99" s="123">
        <f t="shared" si="132"/>
        <v>0</v>
      </c>
      <c r="BR99" s="123">
        <f t="shared" si="133"/>
        <v>0</v>
      </c>
      <c r="BS99" s="123"/>
      <c r="BT99" s="123"/>
      <c r="BU99" s="123">
        <f t="shared" si="134"/>
        <v>0</v>
      </c>
      <c r="BV99" s="123">
        <f t="shared" si="135"/>
        <v>0</v>
      </c>
      <c r="BX99" s="123">
        <f t="shared" si="136"/>
        <v>0</v>
      </c>
      <c r="BY99" s="123"/>
    </row>
    <row r="100" spans="5:77" x14ac:dyDescent="0.25">
      <c r="E100">
        <v>89</v>
      </c>
      <c r="F100">
        <v>90000</v>
      </c>
      <c r="G100" s="58">
        <f t="shared" si="79"/>
        <v>0.87722917920807886</v>
      </c>
      <c r="H100" s="58">
        <f t="shared" si="80"/>
        <v>-19.26354217738194</v>
      </c>
      <c r="I100">
        <f t="shared" si="81"/>
        <v>-12.286183009466228</v>
      </c>
      <c r="J100">
        <f t="shared" si="82"/>
        <v>-58.781218104407621</v>
      </c>
      <c r="K100" t="str">
        <f t="shared" si="83"/>
        <v>5267.51487855774-314.929571992011i</v>
      </c>
      <c r="L100" t="str">
        <f t="shared" si="84"/>
        <v>1000000-1768388.62447942i</v>
      </c>
      <c r="M100" t="str">
        <f t="shared" si="85"/>
        <v>144184.999049958-8941.89698381859i</v>
      </c>
      <c r="N100">
        <f t="shared" si="99"/>
        <v>-29.059082058025737</v>
      </c>
      <c r="O100">
        <f t="shared" si="86"/>
        <v>0.12279524419738627</v>
      </c>
      <c r="P100" t="str">
        <f t="shared" si="87"/>
        <v>-37625.2898825409i</v>
      </c>
      <c r="Q100" t="str">
        <f t="shared" si="88"/>
        <v>5900-147.365718706618i</v>
      </c>
      <c r="R100" t="str">
        <f t="shared" si="100"/>
        <v>5714.62959506717-1039.40249556309i</v>
      </c>
      <c r="S100" t="str">
        <f t="shared" si="89"/>
        <v>7817.38465516514-884125.191369224i</v>
      </c>
      <c r="T100" t="str">
        <f t="shared" si="101"/>
        <v>5700.66672077529-1074.86221487936i</v>
      </c>
      <c r="U100" t="str">
        <f t="shared" si="102"/>
        <v>0.831600831600832-0.374220374220374i</v>
      </c>
      <c r="V100">
        <f t="shared" si="90"/>
        <v>14.469377950733156</v>
      </c>
      <c r="W100">
        <f t="shared" si="91"/>
        <v>-34.905528768179074</v>
      </c>
      <c r="X100">
        <f t="shared" si="103"/>
        <v>-0.80085085045869064</v>
      </c>
      <c r="Y100">
        <f t="shared" si="92"/>
        <v>-24.227750358394488</v>
      </c>
      <c r="AA100" s="123">
        <f t="shared" si="104"/>
        <v>-11.408953830258149</v>
      </c>
      <c r="AB100" s="123">
        <f t="shared" si="105"/>
        <v>-78.044760281789564</v>
      </c>
      <c r="AC100">
        <f t="shared" si="106"/>
        <v>-14.589704107292581</v>
      </c>
      <c r="AD100">
        <f t="shared" si="107"/>
        <v>-34.78273352398169</v>
      </c>
      <c r="AE100" s="123">
        <f t="shared" si="108"/>
        <v>-25.998657937550732</v>
      </c>
      <c r="AF100" s="123">
        <f t="shared" si="109"/>
        <v>-112.82749380577125</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26100</v>
      </c>
      <c r="AX100" t="str">
        <f t="shared" si="94"/>
        <v>0.001-176.838862447942i</v>
      </c>
      <c r="AY100" t="str">
        <f t="shared" si="120"/>
        <v>1.19910514002005-176.830731213473i</v>
      </c>
      <c r="AZ100">
        <f t="shared" si="95"/>
        <v>-29.028045533184393</v>
      </c>
      <c r="BA100">
        <f t="shared" si="96"/>
        <v>-89.611496748774357</v>
      </c>
      <c r="BB100">
        <f t="shared" si="97"/>
        <v>-4.8783481006250601E-5</v>
      </c>
      <c r="BC100">
        <f t="shared" si="98"/>
        <v>7.6351240648409174E-2</v>
      </c>
      <c r="BD100" s="123">
        <f t="shared" si="121"/>
        <v>0.87718039572707263</v>
      </c>
      <c r="BE100" s="123">
        <f t="shared" si="122"/>
        <v>-19.187190936733529</v>
      </c>
      <c r="BF100">
        <f t="shared" si="123"/>
        <v>-14.558667582451237</v>
      </c>
      <c r="BG100">
        <f t="shared" si="124"/>
        <v>-124.51702551695342</v>
      </c>
      <c r="BH100" s="123">
        <f t="shared" si="125"/>
        <v>-13.681487186724164</v>
      </c>
      <c r="BI100" s="123">
        <f t="shared" si="126"/>
        <v>-143.70421645368697</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c r="BU100" s="123">
        <f t="shared" si="134"/>
        <v>0</v>
      </c>
      <c r="BV100" s="123">
        <f t="shared" si="135"/>
        <v>0</v>
      </c>
      <c r="BX100" s="123">
        <f t="shared" si="136"/>
        <v>0</v>
      </c>
      <c r="BY100" s="123"/>
    </row>
    <row r="101" spans="5:77" x14ac:dyDescent="0.25">
      <c r="E101">
        <v>90</v>
      </c>
      <c r="F101">
        <v>95000</v>
      </c>
      <c r="G101" s="58">
        <f t="shared" si="79"/>
        <v>0.97477972317436801</v>
      </c>
      <c r="H101" s="58">
        <f t="shared" si="80"/>
        <v>-20.620433006958866</v>
      </c>
      <c r="I101">
        <f t="shared" si="81"/>
        <v>-12.626640119929728</v>
      </c>
      <c r="J101">
        <f t="shared" si="82"/>
        <v>-57.412855253179984</v>
      </c>
      <c r="K101" t="str">
        <f t="shared" si="83"/>
        <v>5265.37321326033-332.290501757251i</v>
      </c>
      <c r="L101" t="str">
        <f t="shared" si="84"/>
        <v>1000000-1675315.5389805i</v>
      </c>
      <c r="M101" t="str">
        <f t="shared" si="85"/>
        <v>143733.625926933-9128.82944145541i</v>
      </c>
      <c r="N101">
        <f t="shared" si="99"/>
        <v>-29.035296998723265</v>
      </c>
      <c r="O101">
        <f t="shared" si="86"/>
        <v>2.2213003528794746E-2</v>
      </c>
      <c r="P101" t="str">
        <f t="shared" si="87"/>
        <v>-35645.0114676703i</v>
      </c>
      <c r="Q101" t="str">
        <f t="shared" si="88"/>
        <v>5900-139.609628248375i</v>
      </c>
      <c r="R101" t="str">
        <f t="shared" si="100"/>
        <v>5699.12909900335-1078.71055503317i</v>
      </c>
      <c r="S101" t="str">
        <f t="shared" si="89"/>
        <v>7016.21308087257-837598.997636256i</v>
      </c>
      <c r="T101" t="str">
        <f t="shared" si="101"/>
        <v>5683.90599128449-1115.8200295046i</v>
      </c>
      <c r="U101" t="str">
        <f t="shared" si="102"/>
        <v>0.815910249872514-0.387557368689444i</v>
      </c>
      <c r="V101">
        <f t="shared" si="90"/>
        <v>14.373587525121803</v>
      </c>
      <c r="W101">
        <f t="shared" si="91"/>
        <v>-36.514345629867016</v>
      </c>
      <c r="X101">
        <f t="shared" si="103"/>
        <v>-0.88357611011859283</v>
      </c>
      <c r="Y101">
        <f t="shared" si="92"/>
        <v>-25.407723394875223</v>
      </c>
      <c r="AA101" s="123">
        <f t="shared" si="104"/>
        <v>-11.65186039675536</v>
      </c>
      <c r="AB101" s="123">
        <f t="shared" si="105"/>
        <v>-78.033288260138846</v>
      </c>
      <c r="AC101">
        <f t="shared" si="106"/>
        <v>-14.661709473601462</v>
      </c>
      <c r="AD101">
        <f t="shared" si="107"/>
        <v>-36.492132626338218</v>
      </c>
      <c r="AE101" s="123">
        <f t="shared" si="108"/>
        <v>-26.313569870356822</v>
      </c>
      <c r="AF101" s="123">
        <f t="shared" si="109"/>
        <v>-114.52542088647706</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26100</v>
      </c>
      <c r="AX101" t="str">
        <f t="shared" si="94"/>
        <v>0.001-167.53155389805i</v>
      </c>
      <c r="AY101" t="str">
        <f t="shared" si="120"/>
        <v>1.07631271951317-167.524638807359i</v>
      </c>
      <c r="AZ101">
        <f t="shared" si="95"/>
        <v>-29.497647017057389</v>
      </c>
      <c r="BA101">
        <f t="shared" si="96"/>
        <v>-89.63190964438175</v>
      </c>
      <c r="BB101">
        <f t="shared" si="97"/>
        <v>-4.3783593697143223E-5</v>
      </c>
      <c r="BC101">
        <f t="shared" si="98"/>
        <v>7.2332887085392261E-2</v>
      </c>
      <c r="BD101" s="123">
        <f t="shared" si="121"/>
        <v>0.97473593958067084</v>
      </c>
      <c r="BE101" s="123">
        <f t="shared" si="122"/>
        <v>-20.548100119873475</v>
      </c>
      <c r="BF101">
        <f t="shared" si="123"/>
        <v>-15.124059491935586</v>
      </c>
      <c r="BG101">
        <f t="shared" si="124"/>
        <v>-126.14625527424877</v>
      </c>
      <c r="BH101" s="123">
        <f t="shared" si="125"/>
        <v>-14.149323552354916</v>
      </c>
      <c r="BI101" s="123">
        <f t="shared" si="126"/>
        <v>-146.69435539412225</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c r="BU101" s="123">
        <f t="shared" si="134"/>
        <v>0</v>
      </c>
      <c r="BV101" s="123">
        <f t="shared" si="135"/>
        <v>0</v>
      </c>
      <c r="BX101" s="123">
        <f t="shared" si="136"/>
        <v>0</v>
      </c>
      <c r="BY101" s="123"/>
    </row>
    <row r="102" spans="5:77" x14ac:dyDescent="0.25">
      <c r="E102">
        <v>91</v>
      </c>
      <c r="F102">
        <v>100000</v>
      </c>
      <c r="G102" s="58">
        <f t="shared" si="79"/>
        <v>1.0766504644500354</v>
      </c>
      <c r="H102" s="58">
        <f t="shared" si="80"/>
        <v>-22.029529543437597</v>
      </c>
      <c r="I102">
        <f t="shared" si="81"/>
        <v>-12.940057415042947</v>
      </c>
      <c r="J102">
        <f t="shared" si="82"/>
        <v>-56.084009345082066</v>
      </c>
      <c r="K102" t="str">
        <f t="shared" si="83"/>
        <v>5263.11766672759-349.62963926379i</v>
      </c>
      <c r="L102" t="str">
        <f t="shared" si="84"/>
        <v>1000000-1591549.76203148i</v>
      </c>
      <c r="M102" t="str">
        <f t="shared" si="85"/>
        <v>143288.861538838-9287.92245288967i</v>
      </c>
      <c r="N102">
        <f t="shared" si="99"/>
        <v>-29.011825159511968</v>
      </c>
      <c r="O102">
        <f t="shared" si="86"/>
        <v>-8.8627389146772456E-2</v>
      </c>
      <c r="P102" t="str">
        <f t="shared" si="87"/>
        <v>-33862.7608942868i</v>
      </c>
      <c r="Q102" t="str">
        <f t="shared" si="88"/>
        <v>5900-132.629146835957i</v>
      </c>
      <c r="R102" t="str">
        <f t="shared" si="100"/>
        <v>5682.88150737403-1118.39252129288i</v>
      </c>
      <c r="S102" t="str">
        <f t="shared" si="89"/>
        <v>6332.1756226836-795724.491152713i</v>
      </c>
      <c r="T102" t="str">
        <f t="shared" si="101"/>
        <v>5666.34564369083-1157.10236194064i</v>
      </c>
      <c r="U102" t="str">
        <f t="shared" si="102"/>
        <v>0.8-0.4i</v>
      </c>
      <c r="V102">
        <f t="shared" si="90"/>
        <v>14.274388317801797</v>
      </c>
      <c r="W102">
        <f t="shared" si="91"/>
        <v>-38.106526064139238</v>
      </c>
      <c r="X102">
        <f t="shared" si="103"/>
        <v>-0.96910013008056328</v>
      </c>
      <c r="Y102">
        <f t="shared" si="92"/>
        <v>-26.565056703781107</v>
      </c>
      <c r="AA102" s="123">
        <f t="shared" si="104"/>
        <v>-11.863406950592912</v>
      </c>
      <c r="AB102" s="123">
        <f t="shared" si="105"/>
        <v>-78.113538888519656</v>
      </c>
      <c r="AC102">
        <f t="shared" si="106"/>
        <v>-14.737436841710171</v>
      </c>
      <c r="AD102">
        <f t="shared" si="107"/>
        <v>-38.195153453286011</v>
      </c>
      <c r="AE102" s="123">
        <f t="shared" si="108"/>
        <v>-26.600843792303081</v>
      </c>
      <c r="AF102" s="123">
        <f t="shared" si="109"/>
        <v>-116.30869234180567</v>
      </c>
      <c r="AI102" s="123">
        <f t="shared" si="110"/>
        <v>0</v>
      </c>
      <c r="AJ102" s="123">
        <f t="shared" si="111"/>
        <v>0</v>
      </c>
      <c r="AK102" s="123">
        <f t="shared" si="112"/>
        <v>0</v>
      </c>
      <c r="AL102" s="123">
        <f t="shared" si="113"/>
        <v>0</v>
      </c>
      <c r="AM102" s="123">
        <f t="shared" si="114"/>
        <v>0</v>
      </c>
      <c r="AN102" s="123">
        <f t="shared" si="115"/>
        <v>0</v>
      </c>
      <c r="AO102" s="123">
        <f t="shared" si="116"/>
        <v>149376.87847269714</v>
      </c>
      <c r="AP102" s="123"/>
      <c r="AQ102" s="123">
        <f t="shared" si="117"/>
        <v>0</v>
      </c>
      <c r="AR102" s="123">
        <f t="shared" si="118"/>
        <v>120818.18592749792</v>
      </c>
      <c r="AS102" s="123">
        <f t="shared" si="119"/>
        <v>-27.388318590299171</v>
      </c>
      <c r="AW102" t="str">
        <f t="shared" si="93"/>
        <v>26100</v>
      </c>
      <c r="AX102" t="str">
        <f t="shared" si="94"/>
        <v>0.001-159.154976203148i</v>
      </c>
      <c r="AY102" t="str">
        <f t="shared" si="120"/>
        <v>0.971473627723226-159.149046164407i</v>
      </c>
      <c r="AZ102">
        <f t="shared" si="95"/>
        <v>-29.943157465736711</v>
      </c>
      <c r="BA102">
        <f t="shared" si="96"/>
        <v>-89.650279530542605</v>
      </c>
      <c r="BB102">
        <f t="shared" si="97"/>
        <v>-3.9514756265488643E-5</v>
      </c>
      <c r="BC102">
        <f t="shared" si="98"/>
        <v>6.8716350434432624E-2</v>
      </c>
      <c r="BD102" s="123">
        <f t="shared" si="121"/>
        <v>1.0766109496937699</v>
      </c>
      <c r="BE102" s="123">
        <f t="shared" si="122"/>
        <v>-21.960813193003165</v>
      </c>
      <c r="BF102">
        <f t="shared" si="123"/>
        <v>-15.668769147934913</v>
      </c>
      <c r="BG102">
        <f t="shared" si="124"/>
        <v>-127.75680559468185</v>
      </c>
      <c r="BH102" s="123">
        <f t="shared" si="125"/>
        <v>-14.592158198241144</v>
      </c>
      <c r="BI102" s="123">
        <f t="shared" si="126"/>
        <v>-149.71761878768501</v>
      </c>
      <c r="BL102" s="123">
        <f t="shared" si="127"/>
        <v>0</v>
      </c>
      <c r="BM102" s="123">
        <f t="shared" si="128"/>
        <v>0</v>
      </c>
      <c r="BN102" s="123">
        <f t="shared" si="129"/>
        <v>146019.05547315525</v>
      </c>
      <c r="BO102" s="123">
        <f t="shared" si="130"/>
        <v>-17.818810577275986</v>
      </c>
      <c r="BP102" s="123">
        <f t="shared" si="131"/>
        <v>0</v>
      </c>
      <c r="BQ102" s="123">
        <f t="shared" si="132"/>
        <v>0</v>
      </c>
      <c r="BR102" s="123">
        <f t="shared" si="133"/>
        <v>0</v>
      </c>
      <c r="BS102" s="123"/>
      <c r="BT102" s="123"/>
      <c r="BU102" s="123">
        <f t="shared" si="134"/>
        <v>120818.18592749792</v>
      </c>
      <c r="BV102" s="123">
        <f t="shared" si="135"/>
        <v>-14.592158198241144</v>
      </c>
      <c r="BX102" s="123">
        <f t="shared" si="136"/>
        <v>0</v>
      </c>
      <c r="BY102" s="123"/>
    </row>
    <row r="103" spans="5:77" x14ac:dyDescent="0.25">
      <c r="E103">
        <v>92</v>
      </c>
      <c r="F103">
        <v>150000</v>
      </c>
      <c r="G103" s="58">
        <f t="shared" si="79"/>
        <v>2.2316035876892233</v>
      </c>
      <c r="H103" s="58">
        <f t="shared" si="80"/>
        <v>-39.988977769003917</v>
      </c>
      <c r="I103">
        <f t="shared" si="81"/>
        <v>-15.050171502342689</v>
      </c>
      <c r="J103">
        <f t="shared" si="82"/>
        <v>-44.860123097178658</v>
      </c>
      <c r="K103" t="str">
        <f t="shared" si="83"/>
        <v>5234.37066848328-521.579958252953i</v>
      </c>
      <c r="L103" t="str">
        <f t="shared" si="84"/>
        <v>1000000-1061033.17468765i</v>
      </c>
      <c r="M103" t="str">
        <f t="shared" si="85"/>
        <v>139431.405091984-9750.98244107882i</v>
      </c>
      <c r="N103">
        <f t="shared" si="99"/>
        <v>-28.80896065040087</v>
      </c>
      <c r="O103">
        <f t="shared" si="86"/>
        <v>-1.6287713864686184</v>
      </c>
      <c r="P103" t="str">
        <f t="shared" si="87"/>
        <v>-22575.1739295245i</v>
      </c>
      <c r="Q103" t="str">
        <f t="shared" si="88"/>
        <v>5900-88.4194312239711i</v>
      </c>
      <c r="R103" t="str">
        <f t="shared" si="100"/>
        <v>5482.49692933365-1515.32969088557i</v>
      </c>
      <c r="S103" t="str">
        <f t="shared" si="89"/>
        <v>2814.39928380681-530501.656488792i</v>
      </c>
      <c r="T103" t="str">
        <f t="shared" si="101"/>
        <v>5450.45964113114-1567.01175962993i</v>
      </c>
      <c r="U103" t="str">
        <f t="shared" si="102"/>
        <v>0.64-0.48i</v>
      </c>
      <c r="V103">
        <f t="shared" si="90"/>
        <v>13.135370129058057</v>
      </c>
      <c r="W103">
        <f t="shared" si="91"/>
        <v>-52.909896747714093</v>
      </c>
      <c r="X103">
        <f t="shared" si="103"/>
        <v>-1.9382002601611279</v>
      </c>
      <c r="Y103">
        <f t="shared" si="92"/>
        <v>-36.869905316410019</v>
      </c>
      <c r="AA103" s="123">
        <f t="shared" si="104"/>
        <v>-12.818567914653466</v>
      </c>
      <c r="AB103" s="123">
        <f t="shared" si="105"/>
        <v>-84.849100866182567</v>
      </c>
      <c r="AC103">
        <f t="shared" si="106"/>
        <v>-15.673590521342813</v>
      </c>
      <c r="AD103">
        <f t="shared" si="107"/>
        <v>-54.538668134182714</v>
      </c>
      <c r="AE103" s="123">
        <f t="shared" si="108"/>
        <v>-28.492158435996281</v>
      </c>
      <c r="AF103" s="123">
        <f t="shared" si="109"/>
        <v>-139.38776900036527</v>
      </c>
      <c r="AI103" s="123">
        <f t="shared" si="110"/>
        <v>0</v>
      </c>
      <c r="AJ103" s="123">
        <f t="shared" si="111"/>
        <v>0</v>
      </c>
      <c r="AK103" s="123">
        <f t="shared" si="112"/>
        <v>0</v>
      </c>
      <c r="AL103" s="123">
        <f t="shared" si="113"/>
        <v>0</v>
      </c>
      <c r="AM103" s="123">
        <f t="shared" si="114"/>
        <v>0</v>
      </c>
      <c r="AN103" s="123">
        <f t="shared" si="115"/>
        <v>0</v>
      </c>
      <c r="AO103" s="123">
        <f t="shared" si="116"/>
        <v>0</v>
      </c>
      <c r="AP103" s="123"/>
      <c r="AQ103" s="123">
        <f t="shared" si="117"/>
        <v>0</v>
      </c>
      <c r="AR103" s="123">
        <f t="shared" si="118"/>
        <v>0</v>
      </c>
      <c r="AS103" s="123">
        <f t="shared" si="119"/>
        <v>0</v>
      </c>
      <c r="AW103" t="str">
        <f t="shared" si="93"/>
        <v>26100</v>
      </c>
      <c r="AX103" t="str">
        <f t="shared" si="94"/>
        <v>0.001-106.103317468765i</v>
      </c>
      <c r="AY103" t="str">
        <f t="shared" si="120"/>
        <v>0.432330522366406-106.101555867071i</v>
      </c>
      <c r="AZ103">
        <f t="shared" si="95"/>
        <v>-33.464892932776785</v>
      </c>
      <c r="BA103">
        <f t="shared" si="96"/>
        <v>-89.766557657839314</v>
      </c>
      <c r="BB103">
        <f t="shared" si="97"/>
        <v>-1.7562257763991879E-5</v>
      </c>
      <c r="BC103">
        <f t="shared" si="98"/>
        <v>4.5811269532143511E-2</v>
      </c>
      <c r="BD103" s="123">
        <f t="shared" si="121"/>
        <v>2.2315860254314592</v>
      </c>
      <c r="BE103" s="123">
        <f t="shared" si="122"/>
        <v>-39.943166499471772</v>
      </c>
      <c r="BF103">
        <f t="shared" si="123"/>
        <v>-20.329522803718728</v>
      </c>
      <c r="BG103">
        <f t="shared" si="124"/>
        <v>-142.67645440555341</v>
      </c>
      <c r="BH103" s="123">
        <f t="shared" si="125"/>
        <v>-18.09793677828727</v>
      </c>
      <c r="BI103" s="123">
        <f t="shared" si="126"/>
        <v>-182.61962090502519</v>
      </c>
      <c r="BL103" s="123">
        <f t="shared" si="127"/>
        <v>0</v>
      </c>
      <c r="BM103" s="123">
        <f t="shared" si="128"/>
        <v>0</v>
      </c>
      <c r="BN103" s="123">
        <f t="shared" si="129"/>
        <v>0</v>
      </c>
      <c r="BO103" s="123">
        <f t="shared" si="130"/>
        <v>0</v>
      </c>
      <c r="BP103" s="123">
        <f t="shared" si="131"/>
        <v>159215.99526201957</v>
      </c>
      <c r="BQ103" s="123">
        <f t="shared" si="132"/>
        <v>-18.678225647325377</v>
      </c>
      <c r="BR103" s="123">
        <f t="shared" si="133"/>
        <v>0</v>
      </c>
      <c r="BS103" s="123"/>
      <c r="BT103" s="123"/>
      <c r="BU103" s="123">
        <f t="shared" si="134"/>
        <v>0</v>
      </c>
      <c r="BV103" s="123">
        <f t="shared" si="135"/>
        <v>0</v>
      </c>
      <c r="BX103" s="123">
        <f t="shared" si="136"/>
        <v>0</v>
      </c>
      <c r="BY103" s="123"/>
    </row>
    <row r="104" spans="5:77" x14ac:dyDescent="0.25">
      <c r="E104">
        <v>93</v>
      </c>
      <c r="F104">
        <v>200000</v>
      </c>
      <c r="G104" s="58">
        <f t="shared" si="79"/>
        <v>2.8802792402188926</v>
      </c>
      <c r="H104" s="58">
        <f t="shared" si="80"/>
        <v>-67.412616738363567</v>
      </c>
      <c r="I104">
        <f t="shared" si="81"/>
        <v>-16.123439737674218</v>
      </c>
      <c r="J104">
        <f t="shared" si="82"/>
        <v>-36.770855068917875</v>
      </c>
      <c r="K104" t="str">
        <f t="shared" si="83"/>
        <v>5194.64843869399-690.162437828236i</v>
      </c>
      <c r="L104" t="str">
        <f t="shared" si="84"/>
        <v>1000000-795774.88101574i</v>
      </c>
      <c r="M104" t="str">
        <f t="shared" si="85"/>
        <v>136769.833240286-9154.98641654765i</v>
      </c>
      <c r="N104">
        <f t="shared" si="99"/>
        <v>-28.67731514372187</v>
      </c>
      <c r="O104">
        <f t="shared" si="86"/>
        <v>-3.6009365698079825</v>
      </c>
      <c r="P104" t="str">
        <f t="shared" si="87"/>
        <v>-16931.3804471434i</v>
      </c>
      <c r="Q104" t="str">
        <f t="shared" si="88"/>
        <v>5900-66.3145734179783i</v>
      </c>
      <c r="R104" t="str">
        <f t="shared" si="100"/>
        <v>5224.58268066233-1879.53925805773i</v>
      </c>
      <c r="S104" t="str">
        <f t="shared" si="89"/>
        <v>1583.11909008173-397881.141475842i</v>
      </c>
      <c r="T104" t="str">
        <f t="shared" si="101"/>
        <v>5174.45647493727-1938.13019316926i</v>
      </c>
      <c r="U104" t="str">
        <f t="shared" si="102"/>
        <v>0.5-0.5i</v>
      </c>
      <c r="V104">
        <f t="shared" si="90"/>
        <v>11.837159902386393</v>
      </c>
      <c r="W104">
        <f t="shared" si="91"/>
        <v>-65.533815490978768</v>
      </c>
      <c r="X104">
        <f t="shared" si="103"/>
        <v>-3.0102999566398116</v>
      </c>
      <c r="Y104">
        <f t="shared" si="92"/>
        <v>-45.000009361986116</v>
      </c>
      <c r="AA104" s="123">
        <f t="shared" si="104"/>
        <v>-13.243160497455325</v>
      </c>
      <c r="AB104" s="123">
        <f t="shared" si="105"/>
        <v>-104.18347180728145</v>
      </c>
      <c r="AC104">
        <f t="shared" si="106"/>
        <v>-16.840155241335477</v>
      </c>
      <c r="AD104">
        <f t="shared" si="107"/>
        <v>-69.134752060786752</v>
      </c>
      <c r="AE104" s="123">
        <f t="shared" si="108"/>
        <v>-30.083315738790802</v>
      </c>
      <c r="AF104" s="123">
        <f t="shared" si="109"/>
        <v>-173.3182238680682</v>
      </c>
      <c r="AI104" s="123">
        <f t="shared" si="110"/>
        <v>0</v>
      </c>
      <c r="AJ104" s="123">
        <f t="shared" si="111"/>
        <v>0</v>
      </c>
      <c r="AK104" s="123">
        <f t="shared" si="112"/>
        <v>208679.48728805364</v>
      </c>
      <c r="AL104" s="123">
        <f t="shared" si="113"/>
        <v>-30.64518163205971</v>
      </c>
      <c r="AM104" s="123">
        <f t="shared" si="114"/>
        <v>0</v>
      </c>
      <c r="AN104" s="123">
        <f t="shared" si="115"/>
        <v>0</v>
      </c>
      <c r="AO104" s="123">
        <f t="shared" si="116"/>
        <v>0</v>
      </c>
      <c r="AP104" s="123"/>
      <c r="AQ104" s="123">
        <f t="shared" si="117"/>
        <v>0</v>
      </c>
      <c r="AR104" s="123">
        <f t="shared" si="118"/>
        <v>0</v>
      </c>
      <c r="AS104" s="123">
        <f t="shared" si="119"/>
        <v>0</v>
      </c>
      <c r="AW104" t="str">
        <f t="shared" si="93"/>
        <v>26100</v>
      </c>
      <c r="AX104" t="str">
        <f t="shared" si="94"/>
        <v>0.001-79.577488101574i</v>
      </c>
      <c r="AY104" t="str">
        <f t="shared" si="120"/>
        <v>0.243625173032557-79.5767422526831i</v>
      </c>
      <c r="AZ104">
        <f t="shared" si="95"/>
        <v>-35.963636264354186</v>
      </c>
      <c r="BA104">
        <f t="shared" si="96"/>
        <v>-89.824607503355821</v>
      </c>
      <c r="BB104">
        <f t="shared" si="97"/>
        <v>-9.8787983459369468E-6</v>
      </c>
      <c r="BC104">
        <f t="shared" si="98"/>
        <v>3.4358549076380078E-2</v>
      </c>
      <c r="BD104" s="123">
        <f t="shared" si="121"/>
        <v>2.8802693614205466</v>
      </c>
      <c r="BE104" s="123">
        <f t="shared" si="122"/>
        <v>-67.37825818928718</v>
      </c>
      <c r="BF104">
        <f t="shared" si="123"/>
        <v>-24.126476361967793</v>
      </c>
      <c r="BG104">
        <f t="shared" si="124"/>
        <v>-155.3584229943346</v>
      </c>
      <c r="BH104" s="123">
        <f t="shared" si="125"/>
        <v>-21.246207000547248</v>
      </c>
      <c r="BI104" s="123">
        <f t="shared" si="126"/>
        <v>-222.73668118362178</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c r="BU104" s="123">
        <f t="shared" si="134"/>
        <v>0</v>
      </c>
      <c r="BV104" s="123">
        <f t="shared" si="135"/>
        <v>0</v>
      </c>
      <c r="BX104" s="123">
        <f t="shared" si="136"/>
        <v>0</v>
      </c>
      <c r="BY104" s="123"/>
    </row>
    <row r="105" spans="5:77" x14ac:dyDescent="0.25">
      <c r="E105">
        <v>94</v>
      </c>
      <c r="F105">
        <v>250000</v>
      </c>
      <c r="G105" s="58">
        <f t="shared" si="79"/>
        <v>1.5268113700749095</v>
      </c>
      <c r="H105" s="58">
        <f t="shared" si="80"/>
        <v>-99.035727458967742</v>
      </c>
      <c r="I105">
        <f t="shared" si="81"/>
        <v>-16.727050040524503</v>
      </c>
      <c r="J105">
        <f t="shared" si="82"/>
        <v>-30.887716951146754</v>
      </c>
      <c r="K105" t="str">
        <f t="shared" si="83"/>
        <v>5144.4543088805-854.36703970808i</v>
      </c>
      <c r="L105" t="str">
        <f t="shared" si="84"/>
        <v>1000000-636619.904812592i</v>
      </c>
      <c r="M105" t="str">
        <f t="shared" si="85"/>
        <v>135024.177516528-8290.3536381898i</v>
      </c>
      <c r="N105">
        <f t="shared" si="99"/>
        <v>-28.606515598042147</v>
      </c>
      <c r="O105">
        <f t="shared" si="86"/>
        <v>-5.6966204635581095</v>
      </c>
      <c r="P105" t="str">
        <f t="shared" si="87"/>
        <v>-13545.1043577147i</v>
      </c>
      <c r="Q105" t="str">
        <f t="shared" si="88"/>
        <v>5900-53.0516587343827i</v>
      </c>
      <c r="R105" t="str">
        <f t="shared" si="100"/>
        <v>4926.60149598229-2190.41015886068i</v>
      </c>
      <c r="S105" t="str">
        <f t="shared" si="89"/>
        <v>1013.2019921222-318306.727283517i</v>
      </c>
      <c r="T105" t="str">
        <f t="shared" si="101"/>
        <v>4858.15805852541-2249.9020008777i</v>
      </c>
      <c r="U105" t="str">
        <f t="shared" si="102"/>
        <v>0.390243902439024-0.487804878048781i</v>
      </c>
      <c r="V105">
        <f t="shared" si="90"/>
        <v>10.486692656230662</v>
      </c>
      <c r="W105">
        <f t="shared" si="91"/>
        <v>-76.189926481217782</v>
      </c>
      <c r="X105">
        <f t="shared" si="103"/>
        <v>-4.0866387406381053</v>
      </c>
      <c r="Y105">
        <f t="shared" si="92"/>
        <v>-51.340202426935797</v>
      </c>
      <c r="AA105" s="123">
        <f t="shared" si="104"/>
        <v>-15.200238670449593</v>
      </c>
      <c r="AB105" s="123">
        <f t="shared" si="105"/>
        <v>-129.92344441011448</v>
      </c>
      <c r="AC105">
        <f t="shared" si="106"/>
        <v>-18.119822941811485</v>
      </c>
      <c r="AD105">
        <f t="shared" si="107"/>
        <v>-81.886546944775887</v>
      </c>
      <c r="AE105" s="123">
        <f t="shared" si="108"/>
        <v>-33.320061612261078</v>
      </c>
      <c r="AF105" s="123">
        <f t="shared" si="109"/>
        <v>-211.80999135489037</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26100</v>
      </c>
      <c r="AX105" t="str">
        <f t="shared" si="94"/>
        <v>0.001-63.6619904812592i</v>
      </c>
      <c r="AY105" t="str">
        <f t="shared" si="120"/>
        <v>0.156280630382096-63.661606849167i</v>
      </c>
      <c r="AZ105">
        <f t="shared" si="95"/>
        <v>-37.901821990204787</v>
      </c>
      <c r="BA105">
        <f t="shared" si="96"/>
        <v>-89.859365591581664</v>
      </c>
      <c r="BB105">
        <f t="shared" si="97"/>
        <v>-6.3224393177725271E-6</v>
      </c>
      <c r="BC105">
        <f t="shared" si="98"/>
        <v>2.7486875152157808E-2</v>
      </c>
      <c r="BD105" s="123">
        <f t="shared" si="121"/>
        <v>1.5268050476355917</v>
      </c>
      <c r="BE105" s="123">
        <f t="shared" si="122"/>
        <v>-99.008240583815578</v>
      </c>
      <c r="BF105">
        <f t="shared" si="123"/>
        <v>-27.415129333974125</v>
      </c>
      <c r="BG105">
        <f t="shared" si="124"/>
        <v>-166.04929207279946</v>
      </c>
      <c r="BH105" s="123">
        <f t="shared" si="125"/>
        <v>-25.888324286338534</v>
      </c>
      <c r="BI105" s="123">
        <f t="shared" si="126"/>
        <v>-265.05753265661502</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c r="BU105" s="123">
        <f t="shared" si="134"/>
        <v>0</v>
      </c>
      <c r="BV105" s="123">
        <f t="shared" si="135"/>
        <v>0</v>
      </c>
      <c r="BX105" s="123">
        <f t="shared" si="136"/>
        <v>0</v>
      </c>
      <c r="BY105" s="123"/>
    </row>
    <row r="106" spans="5:77" x14ac:dyDescent="0.25">
      <c r="E106">
        <v>95</v>
      </c>
      <c r="F106">
        <v>300000</v>
      </c>
      <c r="G106" s="58">
        <f t="shared" si="79"/>
        <v>-1.4135450137889309</v>
      </c>
      <c r="H106" s="58">
        <f t="shared" si="80"/>
        <v>-122.35232441655168</v>
      </c>
      <c r="I106">
        <f t="shared" si="81"/>
        <v>-17.093882720562853</v>
      </c>
      <c r="J106">
        <f t="shared" si="82"/>
        <v>-26.503492710356703</v>
      </c>
      <c r="K106" t="str">
        <f t="shared" si="83"/>
        <v>5084.40786037398-1013.27376585017i</v>
      </c>
      <c r="L106" t="str">
        <f t="shared" si="84"/>
        <v>1000000-530516.587343827i</v>
      </c>
      <c r="M106" t="str">
        <f t="shared" si="85"/>
        <v>133867.929366331-7442.02700814247i</v>
      </c>
      <c r="N106">
        <f t="shared" si="99"/>
        <v>-28.579410635100775</v>
      </c>
      <c r="O106">
        <f t="shared" si="86"/>
        <v>-7.7886608096578227</v>
      </c>
      <c r="P106" t="str">
        <f t="shared" si="87"/>
        <v>-11287.5869647623i</v>
      </c>
      <c r="Q106" t="str">
        <f t="shared" si="88"/>
        <v>5900-44.2097156119855i</v>
      </c>
      <c r="R106" t="str">
        <f t="shared" si="100"/>
        <v>4605.5539975607-2441.95959173808i</v>
      </c>
      <c r="S106" t="str">
        <f t="shared" si="89"/>
        <v>703.614672846435-265256.427275638i</v>
      </c>
      <c r="T106" t="str">
        <f t="shared" si="101"/>
        <v>4520.43358077751-2497.23090846102i</v>
      </c>
      <c r="U106" t="str">
        <f t="shared" si="102"/>
        <v>0.307692307692308-0.461538461538462i</v>
      </c>
      <c r="V106">
        <f t="shared" si="90"/>
        <v>9.1414750301706373</v>
      </c>
      <c r="W106">
        <f t="shared" si="91"/>
        <v>-85.227603328518711</v>
      </c>
      <c r="X106">
        <f t="shared" si="103"/>
        <v>-5.1188336097887346</v>
      </c>
      <c r="Y106">
        <f t="shared" si="92"/>
        <v>-56.309944188971457</v>
      </c>
      <c r="AA106" s="123">
        <f t="shared" si="104"/>
        <v>-18.507427734351783</v>
      </c>
      <c r="AB106" s="123">
        <f t="shared" si="105"/>
        <v>-148.85581712690839</v>
      </c>
      <c r="AC106">
        <f t="shared" si="106"/>
        <v>-19.437935604930139</v>
      </c>
      <c r="AD106">
        <f t="shared" si="107"/>
        <v>-93.016264138176538</v>
      </c>
      <c r="AE106" s="123">
        <f t="shared" si="108"/>
        <v>-37.945363339281926</v>
      </c>
      <c r="AF106" s="123">
        <f t="shared" si="109"/>
        <v>-241.87208126508494</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26100</v>
      </c>
      <c r="AX106" t="str">
        <f t="shared" si="94"/>
        <v>0.001-53.0516587343827i</v>
      </c>
      <c r="AY106" t="str">
        <f t="shared" si="120"/>
        <v>0.108833967116981-53.0514354825085i</v>
      </c>
      <c r="AZ106">
        <f t="shared" si="95"/>
        <v>-39.485439015693963</v>
      </c>
      <c r="BA106">
        <f t="shared" si="96"/>
        <v>-89.882477709742403</v>
      </c>
      <c r="BB106">
        <f t="shared" si="97"/>
        <v>-4.3905860764915119E-6</v>
      </c>
      <c r="BC106">
        <f t="shared" si="98"/>
        <v>2.2905745540402197E-2</v>
      </c>
      <c r="BD106" s="123">
        <f t="shared" si="121"/>
        <v>-1.4135494043750074</v>
      </c>
      <c r="BE106" s="123">
        <f t="shared" si="122"/>
        <v>-122.32941867101128</v>
      </c>
      <c r="BF106">
        <f t="shared" si="123"/>
        <v>-30.343963985523324</v>
      </c>
      <c r="BG106">
        <f t="shared" si="124"/>
        <v>-175.11008103826111</v>
      </c>
      <c r="BH106" s="123">
        <f t="shared" si="125"/>
        <v>-31.757513389898332</v>
      </c>
      <c r="BI106" s="123">
        <f t="shared" si="126"/>
        <v>-297.43949970927241</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c r="BU106" s="123">
        <f t="shared" si="134"/>
        <v>0</v>
      </c>
      <c r="BV106" s="123">
        <f t="shared" si="135"/>
        <v>0</v>
      </c>
      <c r="BX106" s="123">
        <f t="shared" si="136"/>
        <v>0</v>
      </c>
      <c r="BY106" s="123"/>
    </row>
    <row r="107" spans="5:77" x14ac:dyDescent="0.25">
      <c r="E107">
        <v>96</v>
      </c>
      <c r="F107">
        <v>350000</v>
      </c>
      <c r="G107" s="58">
        <f t="shared" si="79"/>
        <v>-4.5163716584692128</v>
      </c>
      <c r="H107" s="58">
        <f t="shared" si="80"/>
        <v>-136.40803053677391</v>
      </c>
      <c r="I107">
        <f t="shared" si="81"/>
        <v>-17.331040812051203</v>
      </c>
      <c r="J107">
        <f t="shared" si="82"/>
        <v>-23.14689976316394</v>
      </c>
      <c r="K107" t="str">
        <f t="shared" si="83"/>
        <v>5015.22647917051-1166.0676760816i</v>
      </c>
      <c r="L107" t="str">
        <f t="shared" si="84"/>
        <v>1000000-454728.503437566i</v>
      </c>
      <c r="M107" t="str">
        <f t="shared" si="85"/>
        <v>133080.251072928-6690.34096360582i</v>
      </c>
      <c r="N107">
        <f t="shared" si="99"/>
        <v>-28.583163420762578</v>
      </c>
      <c r="O107">
        <f t="shared" si="86"/>
        <v>-9.8329209885979818</v>
      </c>
      <c r="P107" t="str">
        <f t="shared" si="87"/>
        <v>-9675.0745412248i</v>
      </c>
      <c r="Q107" t="str">
        <f t="shared" si="88"/>
        <v>5900-37.8940419531305i</v>
      </c>
      <c r="R107" t="str">
        <f t="shared" si="100"/>
        <v>4276.22281802589-2635.27489950378i</v>
      </c>
      <c r="S107" t="str">
        <f t="shared" si="89"/>
        <v>516.942357288599-227363.076376661i</v>
      </c>
      <c r="T107" t="str">
        <f t="shared" si="101"/>
        <v>4177.24596297691-2682.52304418991i</v>
      </c>
      <c r="U107" t="str">
        <f t="shared" si="102"/>
        <v>0.246153846153846-0.430769230769231i</v>
      </c>
      <c r="V107">
        <f t="shared" si="90"/>
        <v>7.8294097680771007</v>
      </c>
      <c r="W107">
        <f t="shared" si="91"/>
        <v>-92.962701840352466</v>
      </c>
      <c r="X107">
        <f t="shared" si="103"/>
        <v>-6.0879337398693059</v>
      </c>
      <c r="Y107">
        <f t="shared" si="92"/>
        <v>-60.255131238781914</v>
      </c>
      <c r="AA107" s="123">
        <f t="shared" si="104"/>
        <v>-21.847412470520418</v>
      </c>
      <c r="AB107" s="123">
        <f t="shared" si="105"/>
        <v>-159.55493029993784</v>
      </c>
      <c r="AC107">
        <f t="shared" si="106"/>
        <v>-20.753753652685475</v>
      </c>
      <c r="AD107">
        <f t="shared" si="107"/>
        <v>-102.79562282895044</v>
      </c>
      <c r="AE107" s="123">
        <f t="shared" si="108"/>
        <v>-42.601166123205893</v>
      </c>
      <c r="AF107" s="123">
        <f t="shared" si="109"/>
        <v>-262.35055312888829</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26100</v>
      </c>
      <c r="AX107" t="str">
        <f t="shared" si="94"/>
        <v>0.001-45.4728503437566i</v>
      </c>
      <c r="AY107" t="str">
        <f t="shared" si="120"/>
        <v>0.0802250422637246-45.4727088290422i</v>
      </c>
      <c r="AZ107">
        <f t="shared" si="95"/>
        <v>-40.824370047310978</v>
      </c>
      <c r="BA107">
        <f t="shared" si="96"/>
        <v>-89.898934961016295</v>
      </c>
      <c r="BB107">
        <f t="shared" si="97"/>
        <v>-3.2257380531834972E-6</v>
      </c>
      <c r="BC107">
        <f t="shared" si="98"/>
        <v>1.9633504574274215E-2</v>
      </c>
      <c r="BD107" s="123">
        <f t="shared" si="121"/>
        <v>-4.5163748842072664</v>
      </c>
      <c r="BE107" s="123">
        <f t="shared" si="122"/>
        <v>-136.38839703219963</v>
      </c>
      <c r="BF107">
        <f t="shared" si="123"/>
        <v>-32.994960279233879</v>
      </c>
      <c r="BG107">
        <f t="shared" si="124"/>
        <v>-182.86163680136877</v>
      </c>
      <c r="BH107" s="123">
        <f t="shared" si="125"/>
        <v>-37.511335163441146</v>
      </c>
      <c r="BI107" s="123">
        <f t="shared" si="126"/>
        <v>-319.25003383356841</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c r="BU107" s="123">
        <f t="shared" si="134"/>
        <v>0</v>
      </c>
      <c r="BV107" s="123">
        <f t="shared" si="135"/>
        <v>0</v>
      </c>
      <c r="BX107" s="123">
        <f t="shared" si="136"/>
        <v>0</v>
      </c>
      <c r="BY107" s="123"/>
    </row>
    <row r="108" spans="5:77" x14ac:dyDescent="0.25">
      <c r="E108">
        <v>97</v>
      </c>
      <c r="F108">
        <v>400000</v>
      </c>
      <c r="G108" s="58">
        <f t="shared" ref="G108:G138" si="137">20*LOG(IMABS(IMDIV(1,IMSUM(0,IMSUM(COMPLEX(0,2*PI*F108/Wsh),COMPLEX(1-(F108/fsw_sh)^2,0))))))</f>
        <v>-7.2886291231854541</v>
      </c>
      <c r="H108" s="58">
        <f t="shared" ref="H108:H138" si="138">180/PI*IMARGUMENT(IMDIV(1,IMSUM(0,IMSUM(COMPLEX(0,2*PI*F108/Wsh),COMPLEX(1-(F108/fsw_sh)^2,0)))))</f>
        <v>-145.06151732781461</v>
      </c>
      <c r="I108">
        <f t="shared" ref="I108:I138" si="139">20*LOG(IMABS(IMPRODUCT(A_COMP2VOUT,IMDIV(COMPLEX(1, 2*PI*F108/Wesr_zero),COMPLEX(1, 2*PI*F108/Wload_pole)))))</f>
        <v>-17.492199479478749</v>
      </c>
      <c r="J108">
        <f t="shared" ref="J108:J138" si="140">180/PI*(IMARGUMENT(IMPRODUCT(A_COMP2VOUT,IMDIV(COMPLEX(1, 2*PI*F108/Wesr_zero),COMPLEX(1, 2*PI*F108/Wload_pole)))))</f>
        <v>-20.511484064272587</v>
      </c>
      <c r="K108" t="str">
        <f t="shared" ref="K108:K138" si="141">IMDIV(IMPRODUCT(COMPLEX(R.fbb,0),IMDIV(COMPLEX(1,0),COMPLEX(0,2*PI*F108*C.fbb))),IMSUM(COMPLEX(R.fbb,0),IMDIV(COMPLEX(1,0),COMPLEX(0,2*PI*F108*C.fbb))) )</f>
        <v>4937.70502765206-1312.04972940108i</v>
      </c>
      <c r="L108" t="str">
        <f t="shared" ref="L108:L138" si="142">IMSUM(COMPLEX(R.ff,0),IMDIV(COMPLEX(1,0),COMPLEX(0,2*PI*F108*C.ff)))</f>
        <v>1000000-397887.44050787i</v>
      </c>
      <c r="M108" t="str">
        <f t="shared" ref="M108:M138" si="143">IMDIV(IMPRODUCT(COMPLEX(R.fbt,0),L108),IMSUM(COMPLEX(R.fbt,0),L108))</f>
        <v>132526.507216291-6045.63766995024i</v>
      </c>
      <c r="N108">
        <f t="shared" si="99"/>
        <v>-28.609411782259318</v>
      </c>
      <c r="O108">
        <f t="shared" ref="O108:O138" si="144">180/PI*IMARGUMENT((IMDIV(K108,IMSUM(K108,M108))))</f>
        <v>-11.817000702379032</v>
      </c>
      <c r="P108" t="str">
        <f t="shared" ref="P108:P138" si="145">IMDIV(COMPLEX(1,0),COMPLEX(0,2*PI*F108*C.hf))</f>
        <v>-8465.6902235717i</v>
      </c>
      <c r="Q108" t="str">
        <f t="shared" ref="Q108:Q138" si="146">IMSUM(R.comp,0,IMDIV(COMPLEX(1,0),COMPLEX(0,2*PI*F108*C.comp)))</f>
        <v>5900-33.1572867089892i</v>
      </c>
      <c r="R108" t="str">
        <f t="shared" si="100"/>
        <v>3950.29016248293-2775.36586555401i</v>
      </c>
      <c r="S108" t="str">
        <f t="shared" ref="S108:S138" si="147">IMDIV(IMPRODUCT(COMPLEX(R.eaout,0),IMDIV(1,COMPLEX(0,2*PI*F108*C.eaout))),IMSUM(COMPLEX(R.eaout,0),IMDIV(1,COMPLEX(0,2*PI*F108*C.eaout))))</f>
        <v>395.784471825078-198942.932865583i</v>
      </c>
      <c r="T108" t="str">
        <f t="shared" si="101"/>
        <v>3840.79587275921-2812.18090103503i</v>
      </c>
      <c r="U108" t="str">
        <f t="shared" si="102"/>
        <v>0.2-0.4i</v>
      </c>
      <c r="V108">
        <f t="shared" ref="V108:V138" si="148">20*LOG(IMABS(IMPRODUCT(IMPRODUCT(COMPLEX(GM,0),T108),U108)))</f>
        <v>6.5629132627960676</v>
      </c>
      <c r="W108">
        <f t="shared" ref="W108:W138" si="149">180/PI*IMARGUMENT((IMPRODUCT(IMPRODUCT(COMPLEX(GM,0),T108),U108)))</f>
        <v>-99.646073821421282</v>
      </c>
      <c r="X108">
        <f t="shared" si="103"/>
        <v>-6.9897000433601875</v>
      </c>
      <c r="Y108">
        <f t="shared" ref="Y108:Y138" si="150">180/PI*IMARGUMENT((U108))</f>
        <v>-63.434962020191122</v>
      </c>
      <c r="AA108" s="123">
        <f t="shared" si="104"/>
        <v>-24.780828602664204</v>
      </c>
      <c r="AB108" s="123">
        <f t="shared" si="105"/>
        <v>-165.57300139208721</v>
      </c>
      <c r="AC108">
        <f t="shared" si="106"/>
        <v>-22.046498519463249</v>
      </c>
      <c r="AD108">
        <f t="shared" si="107"/>
        <v>-111.46307452380032</v>
      </c>
      <c r="AE108" s="123">
        <f t="shared" si="108"/>
        <v>-46.827327122127457</v>
      </c>
      <c r="AF108" s="123">
        <f t="shared" si="109"/>
        <v>-277.03607591588752</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1">COMPLEX(R.imon,0)</f>
        <v>26100</v>
      </c>
      <c r="AX108" t="str">
        <f t="shared" ref="AX108:AX138" si="152">IMSUM(R.imonhf,0,IMDIV(COMPLEX(1,0),COMPLEX(0,2*PI*F108*C.imon)))</f>
        <v>0.001-39.788744050787i</v>
      </c>
      <c r="AY108" t="str">
        <f t="shared" si="120"/>
        <v>0.0616567161273008-39.7886485323216i</v>
      </c>
      <c r="AZ108">
        <f t="shared" ref="AZ108:AZ138" si="153">20*LOG(IMABS(IMDIV(IMPRODUCT(IMPRODUCT(COMPLEX(-1,0),COMPLEX(GM.imon,0)),AY108),COMPLEX(A.s_typ,0))))</f>
        <v>-41.984205896511654</v>
      </c>
      <c r="BA108">
        <f t="shared" ref="BA108:BA138" si="154">180/PI*(IMARGUMENT(IMDIV(IMPRODUCT(IMPRODUCT(COMPLEX(1,0),COMPLEX(GM.imon,0)),AY108),COMPLEX(A.s_typ,0))))</f>
        <v>-89.911232910672368</v>
      </c>
      <c r="BB108">
        <f t="shared" ref="BB108:BB138" si="155">20*LOG(IMABS(IMPRODUCT(A_COMP2CS,IMPRODUCT(IMDIV(COMPLEX(1, 2*PI*F108/Wesr_zero),COMPLEX(1, 2*PI*F108/Wload_pole)),IMDIV(COMPLEX(1, 2*PI*F108/WloadZ),COMPLEX(1, 2*PI*F108/Wesr_zero))))))</f>
        <v>-2.4697064428098132E-6</v>
      </c>
      <c r="BC108">
        <f t="shared" ref="BC108:BC138" si="156">180/PI*(IMARGUMENT(IMPRODUCT(A_COMP2CS,IMPRODUCT(IMDIV(COMPLEX(1, 2*PI*F108/Wesr_zero),COMPLEX(1, 2*PI*F108/Wload_pole)),IMDIV(COMPLEX(1, 2*PI*F108/WloadZ),COMPLEX(1, 2*PI*F108/Wesr_zero))))))</f>
        <v>1.7179321271347577E-2</v>
      </c>
      <c r="BD108" s="123">
        <f t="shared" si="121"/>
        <v>-7.288631592891897</v>
      </c>
      <c r="BE108" s="123">
        <f t="shared" si="122"/>
        <v>-145.04433800654326</v>
      </c>
      <c r="BF108">
        <f t="shared" si="123"/>
        <v>-35.421292633715588</v>
      </c>
      <c r="BG108">
        <f t="shared" si="124"/>
        <v>-189.55730673209365</v>
      </c>
      <c r="BH108" s="123">
        <f t="shared" si="125"/>
        <v>-42.709924226607484</v>
      </c>
      <c r="BI108" s="123">
        <f t="shared" si="126"/>
        <v>-334.60164473863688</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c r="BU108" s="123">
        <f t="shared" si="134"/>
        <v>0</v>
      </c>
      <c r="BV108" s="123">
        <f t="shared" si="135"/>
        <v>0</v>
      </c>
      <c r="BX108" s="123">
        <f t="shared" si="136"/>
        <v>0</v>
      </c>
      <c r="BY108" s="123"/>
    </row>
    <row r="109" spans="5:77" x14ac:dyDescent="0.25">
      <c r="E109">
        <v>98</v>
      </c>
      <c r="F109">
        <v>450000</v>
      </c>
      <c r="G109" s="58">
        <f t="shared" si="137"/>
        <v>-9.7012907182370967</v>
      </c>
      <c r="H109" s="58">
        <f t="shared" si="138"/>
        <v>-150.78900840907772</v>
      </c>
      <c r="I109">
        <f t="shared" si="139"/>
        <v>-17.606249544260429</v>
      </c>
      <c r="J109">
        <f t="shared" si="140"/>
        <v>-18.395772770764431</v>
      </c>
      <c r="K109" t="str">
        <f t="shared" si="141"/>
        <v>4852.69464468726-1450.64331349143i</v>
      </c>
      <c r="L109" t="str">
        <f t="shared" si="142"/>
        <v>1000000-353677.724895884i</v>
      </c>
      <c r="M109" t="str">
        <f t="shared" si="143"/>
        <v>132125.438179903-5497.24726786337i</v>
      </c>
      <c r="N109">
        <f t="shared" si="99"/>
        <v>-28.652800421756638</v>
      </c>
      <c r="O109">
        <f t="shared" si="144"/>
        <v>-13.739578095968266</v>
      </c>
      <c r="P109" t="str">
        <f t="shared" si="145"/>
        <v>-7525.05797650818i</v>
      </c>
      <c r="Q109" t="str">
        <f t="shared" si="146"/>
        <v>5900-29.4731437413237i</v>
      </c>
      <c r="R109" t="str">
        <f t="shared" si="100"/>
        <v>3636.18759145434-2869.17792249007i</v>
      </c>
      <c r="S109" t="str">
        <f t="shared" si="147"/>
        <v>312.718854784942-176838.309439477i</v>
      </c>
      <c r="T109" t="str">
        <f t="shared" si="101"/>
        <v>3519.52434652768-2894.37991087629i</v>
      </c>
      <c r="U109" t="str">
        <f t="shared" si="102"/>
        <v>0.164948453608247-0.371134020618557i</v>
      </c>
      <c r="V109">
        <f t="shared" si="148"/>
        <v>5.3466944804965078</v>
      </c>
      <c r="W109">
        <f t="shared" si="149"/>
        <v>-105.47066505218559</v>
      </c>
      <c r="X109">
        <f t="shared" si="103"/>
        <v>-7.8265175161032001</v>
      </c>
      <c r="Y109">
        <f t="shared" si="150"/>
        <v>-66.037524764138809</v>
      </c>
      <c r="AA109" s="123">
        <f t="shared" si="104"/>
        <v>-27.307540262497525</v>
      </c>
      <c r="AB109" s="123">
        <f t="shared" si="105"/>
        <v>-169.18478117984216</v>
      </c>
      <c r="AC109">
        <f t="shared" si="106"/>
        <v>-23.306105941260128</v>
      </c>
      <c r="AD109">
        <f t="shared" si="107"/>
        <v>-119.21024314815386</v>
      </c>
      <c r="AE109" s="123">
        <f t="shared" si="108"/>
        <v>-50.613646203757654</v>
      </c>
      <c r="AF109" s="123">
        <f t="shared" si="109"/>
        <v>-288.395024327996</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1"/>
        <v>26100</v>
      </c>
      <c r="AX109" t="str">
        <f t="shared" si="152"/>
        <v>0.001-35.3677724895884i</v>
      </c>
      <c r="AY109" t="str">
        <f t="shared" si="120"/>
        <v>0.0489263175923309-35.3677048350836i</v>
      </c>
      <c r="AZ109">
        <f t="shared" si="153"/>
        <v>-43.007254226434242</v>
      </c>
      <c r="BA109">
        <f t="shared" si="154"/>
        <v>-89.920757988415929</v>
      </c>
      <c r="BB109">
        <f t="shared" si="155"/>
        <v>-1.9513733390357994E-6</v>
      </c>
      <c r="BC109">
        <f t="shared" si="156"/>
        <v>1.5270510702831214E-2</v>
      </c>
      <c r="BD109" s="123">
        <f t="shared" si="121"/>
        <v>-9.7012926696104351</v>
      </c>
      <c r="BE109" s="123">
        <f t="shared" si="122"/>
        <v>-150.77373789837489</v>
      </c>
      <c r="BF109">
        <f t="shared" si="123"/>
        <v>-37.660559745937732</v>
      </c>
      <c r="BG109">
        <f t="shared" si="124"/>
        <v>-195.39142304060152</v>
      </c>
      <c r="BH109" s="123">
        <f t="shared" si="125"/>
        <v>-47.361852415548171</v>
      </c>
      <c r="BI109" s="123">
        <f t="shared" si="126"/>
        <v>-346.16516093897644</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c r="BU109" s="123">
        <f t="shared" si="134"/>
        <v>0</v>
      </c>
      <c r="BV109" s="123">
        <f t="shared" si="135"/>
        <v>0</v>
      </c>
      <c r="BX109" s="123">
        <f t="shared" si="136"/>
        <v>0</v>
      </c>
      <c r="BY109" s="123"/>
    </row>
    <row r="110" spans="5:77" x14ac:dyDescent="0.25">
      <c r="E110">
        <v>99</v>
      </c>
      <c r="F110">
        <v>500000</v>
      </c>
      <c r="G110" s="58">
        <f t="shared" si="137"/>
        <v>-11.813922591250064</v>
      </c>
      <c r="H110" s="58">
        <f t="shared" si="138"/>
        <v>-154.8381333031723</v>
      </c>
      <c r="I110">
        <f t="shared" si="139"/>
        <v>-17.68970630356845</v>
      </c>
      <c r="J110">
        <f t="shared" si="140"/>
        <v>-16.664278076871447</v>
      </c>
      <c r="K110" t="str">
        <f t="shared" si="141"/>
        <v>4761.08163763904-1581.39657982242i</v>
      </c>
      <c r="L110" t="str">
        <f t="shared" si="142"/>
        <v>1000000-318309.952406296i</v>
      </c>
      <c r="M110" t="str">
        <f t="shared" si="143"/>
        <v>131827.072436397-5030.10757204652i</v>
      </c>
      <c r="N110">
        <f t="shared" si="99"/>
        <v>-28.709814212588697</v>
      </c>
      <c r="O110">
        <f t="shared" si="144"/>
        <v>-15.602726173990806</v>
      </c>
      <c r="P110" t="str">
        <f t="shared" si="145"/>
        <v>-6772.55217885736i</v>
      </c>
      <c r="Q110" t="str">
        <f t="shared" si="146"/>
        <v>5900-26.5258293671913i</v>
      </c>
      <c r="R110" t="str">
        <f t="shared" si="100"/>
        <v>3339.41890462436-2924.25224077586i</v>
      </c>
      <c r="S110" t="str">
        <f t="shared" si="147"/>
        <v>253.302422879446-159154.573059737i</v>
      </c>
      <c r="T110" t="str">
        <f t="shared" si="101"/>
        <v>3218.62194281526-2937.61905552093i</v>
      </c>
      <c r="U110" t="str">
        <f t="shared" si="102"/>
        <v>0.137931034482759-0.344827586206897i</v>
      </c>
      <c r="V110">
        <f t="shared" si="148"/>
        <v>4.1816712804524609</v>
      </c>
      <c r="W110">
        <f t="shared" si="149"/>
        <v>-110.58514990308306</v>
      </c>
      <c r="X110">
        <f t="shared" si="103"/>
        <v>-8.6033800657099242</v>
      </c>
      <c r="Y110">
        <f t="shared" si="150"/>
        <v>-68.198604701964996</v>
      </c>
      <c r="AA110" s="123">
        <f t="shared" si="104"/>
        <v>-29.503628894818512</v>
      </c>
      <c r="AB110" s="123">
        <f t="shared" si="105"/>
        <v>-171.50241138004375</v>
      </c>
      <c r="AC110">
        <f t="shared" si="106"/>
        <v>-24.528142932136234</v>
      </c>
      <c r="AD110">
        <f t="shared" si="107"/>
        <v>-126.18787607707387</v>
      </c>
      <c r="AE110" s="123">
        <f t="shared" si="108"/>
        <v>-54.031771826954746</v>
      </c>
      <c r="AF110" s="123">
        <f t="shared" si="109"/>
        <v>-297.69028745711762</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1"/>
        <v>26100</v>
      </c>
      <c r="AX110" t="str">
        <f t="shared" si="152"/>
        <v>0.001-31.8309952406296i</v>
      </c>
      <c r="AY110" t="str">
        <f t="shared" si="120"/>
        <v>0.0398203307864916-31.8309454570394i</v>
      </c>
      <c r="AZ110">
        <f t="shared" si="153"/>
        <v>-43.922402521627745</v>
      </c>
      <c r="BA110">
        <f t="shared" si="154"/>
        <v>-89.928342053845356</v>
      </c>
      <c r="BB110">
        <f t="shared" si="155"/>
        <v>-1.5806126248786938E-6</v>
      </c>
      <c r="BC110">
        <f t="shared" si="156"/>
        <v>1.3743461503370096E-2</v>
      </c>
      <c r="BD110" s="123">
        <f t="shared" si="121"/>
        <v>-11.81392417186269</v>
      </c>
      <c r="BE110" s="123">
        <f t="shared" si="122"/>
        <v>-154.82438984166893</v>
      </c>
      <c r="BF110">
        <f t="shared" si="123"/>
        <v>-39.740731241175283</v>
      </c>
      <c r="BG110">
        <f t="shared" si="124"/>
        <v>-200.51349195692842</v>
      </c>
      <c r="BH110" s="123">
        <f t="shared" si="125"/>
        <v>-51.55465541303797</v>
      </c>
      <c r="BI110" s="123">
        <f t="shared" si="126"/>
        <v>-355.33788179859732</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c r="BU110" s="123">
        <f t="shared" si="134"/>
        <v>0</v>
      </c>
      <c r="BV110" s="123">
        <f t="shared" si="135"/>
        <v>0</v>
      </c>
      <c r="BX110" s="123">
        <f t="shared" si="136"/>
        <v>0</v>
      </c>
      <c r="BY110" s="123"/>
    </row>
    <row r="111" spans="5:77" x14ac:dyDescent="0.25">
      <c r="E111">
        <v>100</v>
      </c>
      <c r="F111">
        <v>550000</v>
      </c>
      <c r="G111" s="58">
        <f t="shared" si="137"/>
        <v>-13.6866250613012</v>
      </c>
      <c r="H111" s="58">
        <f t="shared" si="138"/>
        <v>-157.8527796120828</v>
      </c>
      <c r="I111">
        <f t="shared" si="139"/>
        <v>-17.752503840428528</v>
      </c>
      <c r="J111">
        <f t="shared" si="140"/>
        <v>-15.223534616149619</v>
      </c>
      <c r="K111" t="str">
        <f t="shared" si="141"/>
        <v>4663.76731976182-1703.98091754583i</v>
      </c>
      <c r="L111" t="str">
        <f t="shared" si="142"/>
        <v>1000000-289372.684005724i</v>
      </c>
      <c r="M111" t="str">
        <f t="shared" si="143"/>
        <v>131599.824015793-4630.00722671973i</v>
      </c>
      <c r="N111">
        <f t="shared" si="99"/>
        <v>-28.778047666626453</v>
      </c>
      <c r="O111">
        <f t="shared" si="144"/>
        <v>-17.409192645117688</v>
      </c>
      <c r="P111" t="str">
        <f t="shared" si="145"/>
        <v>-6156.86561714305i</v>
      </c>
      <c r="Q111" t="str">
        <f t="shared" si="146"/>
        <v>5900-24.1143903338103i</v>
      </c>
      <c r="R111" t="str">
        <f t="shared" si="100"/>
        <v>3063.10696519045-2947.88207263368i</v>
      </c>
      <c r="S111" t="str">
        <f t="shared" si="147"/>
        <v>209.340937384493-144686.039115117i</v>
      </c>
      <c r="T111" t="str">
        <f t="shared" si="101"/>
        <v>2940.73784920187-2949.86108265208i</v>
      </c>
      <c r="U111" t="str">
        <f t="shared" si="102"/>
        <v>0.116788321167883-0.321167883211679i</v>
      </c>
      <c r="V111">
        <f t="shared" si="148"/>
        <v>3.0668937019801916</v>
      </c>
      <c r="W111">
        <f t="shared" si="149"/>
        <v>-115.1056558302449</v>
      </c>
      <c r="X111">
        <f t="shared" si="103"/>
        <v>-9.3260058450048167</v>
      </c>
      <c r="Y111">
        <f t="shared" si="150"/>
        <v>-70.016908044704167</v>
      </c>
      <c r="AA111" s="123">
        <f t="shared" si="104"/>
        <v>-31.439128901729728</v>
      </c>
      <c r="AB111" s="123">
        <f t="shared" si="105"/>
        <v>-173.07631422823241</v>
      </c>
      <c r="AC111">
        <f t="shared" si="106"/>
        <v>-25.711153964646261</v>
      </c>
      <c r="AD111">
        <f t="shared" si="107"/>
        <v>-132.51484847536258</v>
      </c>
      <c r="AE111" s="123">
        <f t="shared" si="108"/>
        <v>-57.150282866375989</v>
      </c>
      <c r="AF111" s="123">
        <f t="shared" si="109"/>
        <v>-305.59116270359499</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1"/>
        <v>26100</v>
      </c>
      <c r="AX111" t="str">
        <f t="shared" si="152"/>
        <v>0.001-28.9372684005724i</v>
      </c>
      <c r="AY111" t="str">
        <f t="shared" si="120"/>
        <v>0.0330829262805517-28.9372306125744i</v>
      </c>
      <c r="AZ111">
        <f t="shared" si="153"/>
        <v>-44.75025510281101</v>
      </c>
      <c r="BA111">
        <f t="shared" si="154"/>
        <v>-89.934514472936584</v>
      </c>
      <c r="BB111">
        <f t="shared" si="155"/>
        <v>-1.3062915821127747E-6</v>
      </c>
      <c r="BC111">
        <f t="shared" si="156"/>
        <v>1.2494057170568193E-2</v>
      </c>
      <c r="BD111" s="123">
        <f t="shared" si="121"/>
        <v>-13.686626367592782</v>
      </c>
      <c r="BE111" s="123">
        <f t="shared" si="122"/>
        <v>-157.84028555491224</v>
      </c>
      <c r="BF111">
        <f t="shared" si="123"/>
        <v>-41.683361400830819</v>
      </c>
      <c r="BG111">
        <f t="shared" si="124"/>
        <v>-205.04017030318147</v>
      </c>
      <c r="BH111" s="123">
        <f t="shared" si="125"/>
        <v>-55.369987768423599</v>
      </c>
      <c r="BI111" s="123">
        <f t="shared" si="126"/>
        <v>-362.88045585809368</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c r="BU111" s="123">
        <f t="shared" si="134"/>
        <v>0</v>
      </c>
      <c r="BV111" s="123">
        <f t="shared" si="135"/>
        <v>0</v>
      </c>
      <c r="BX111" s="123">
        <f t="shared" si="136"/>
        <v>0</v>
      </c>
      <c r="BY111" s="123"/>
    </row>
    <row r="112" spans="5:77" x14ac:dyDescent="0.25">
      <c r="E112">
        <v>101</v>
      </c>
      <c r="F112">
        <v>600000</v>
      </c>
      <c r="G112" s="58">
        <f t="shared" si="137"/>
        <v>-15.366811467347132</v>
      </c>
      <c r="H112" s="58">
        <f t="shared" si="138"/>
        <v>-160.18847568327681</v>
      </c>
      <c r="I112">
        <f t="shared" si="139"/>
        <v>-17.800881971020981</v>
      </c>
      <c r="J112">
        <f t="shared" si="140"/>
        <v>-14.007436821432014</v>
      </c>
      <c r="K112" t="str">
        <f t="shared" si="141"/>
        <v>4561.64949206824-1818.18606463112i</v>
      </c>
      <c r="L112" t="str">
        <f t="shared" si="142"/>
        <v>1000000-265258.293671913i</v>
      </c>
      <c r="M112" t="str">
        <f t="shared" si="143"/>
        <v>131423.141201928-4284.92684048757i</v>
      </c>
      <c r="N112">
        <f t="shared" si="99"/>
        <v>-28.855772889619754</v>
      </c>
      <c r="O112">
        <f t="shared" si="144"/>
        <v>-19.161523745165205</v>
      </c>
      <c r="P112" t="str">
        <f t="shared" si="145"/>
        <v>-5643.79348238113i</v>
      </c>
      <c r="Q112" t="str">
        <f t="shared" si="146"/>
        <v>5900-22.1048578059928i</v>
      </c>
      <c r="R112" t="str">
        <f t="shared" si="100"/>
        <v>2808.58521746849-2946.64800408812i</v>
      </c>
      <c r="S112" t="str">
        <f t="shared" si="147"/>
        <v>175.904596479524-132628.913535191i</v>
      </c>
      <c r="T112" t="str">
        <f t="shared" si="101"/>
        <v>2686.68770312647-2938.10379882752i</v>
      </c>
      <c r="U112" t="str">
        <f t="shared" si="102"/>
        <v>0.1-0.3i</v>
      </c>
      <c r="V112">
        <f t="shared" si="148"/>
        <v>2.0004967234770872</v>
      </c>
      <c r="W112">
        <f t="shared" si="149"/>
        <v>-119.12437071269088</v>
      </c>
      <c r="X112">
        <f t="shared" si="103"/>
        <v>-10</v>
      </c>
      <c r="Y112">
        <f t="shared" si="150"/>
        <v>-71.565066065767226</v>
      </c>
      <c r="AA112" s="123">
        <f t="shared" si="104"/>
        <v>-33.167693438368111</v>
      </c>
      <c r="AB112" s="123">
        <f t="shared" si="105"/>
        <v>-174.19591250470882</v>
      </c>
      <c r="AC112">
        <f t="shared" si="106"/>
        <v>-26.855276166142666</v>
      </c>
      <c r="AD112">
        <f t="shared" si="107"/>
        <v>-138.28589445785607</v>
      </c>
      <c r="AE112" s="123">
        <f t="shared" si="108"/>
        <v>-60.022969604510777</v>
      </c>
      <c r="AF112" s="123">
        <f t="shared" si="109"/>
        <v>-312.48180696256486</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1"/>
        <v>26100</v>
      </c>
      <c r="AX112" t="str">
        <f t="shared" si="152"/>
        <v>0.001-26.5258293671913i</v>
      </c>
      <c r="AY112" t="str">
        <f t="shared" si="120"/>
        <v>0.0279585752864358-26.5257999361493i</v>
      </c>
      <c r="AZ112">
        <f t="shared" si="153"/>
        <v>-45.506025466938844</v>
      </c>
      <c r="BA112">
        <f t="shared" si="154"/>
        <v>-89.939628156712274</v>
      </c>
      <c r="BB112">
        <f t="shared" si="155"/>
        <v>-1.097647849641159E-6</v>
      </c>
      <c r="BC112">
        <f t="shared" si="156"/>
        <v>1.1452886617035932E-2</v>
      </c>
      <c r="BD112" s="123">
        <f t="shared" si="121"/>
        <v>-15.366812564994982</v>
      </c>
      <c r="BE112" s="123">
        <f t="shared" si="122"/>
        <v>-160.17702279665977</v>
      </c>
      <c r="BF112">
        <f t="shared" si="123"/>
        <v>-43.50552874346176</v>
      </c>
      <c r="BG112">
        <f t="shared" si="124"/>
        <v>-209.06399886940315</v>
      </c>
      <c r="BH112" s="123">
        <f t="shared" si="125"/>
        <v>-58.87234130845674</v>
      </c>
      <c r="BI112" s="123">
        <f t="shared" si="126"/>
        <v>-369.24102166606292</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c r="BU112" s="123">
        <f t="shared" si="134"/>
        <v>0</v>
      </c>
      <c r="BV112" s="123">
        <f t="shared" si="135"/>
        <v>0</v>
      </c>
      <c r="BX112" s="123">
        <f t="shared" si="136"/>
        <v>0</v>
      </c>
      <c r="BY112" s="123"/>
    </row>
    <row r="113" spans="5:77" x14ac:dyDescent="0.25">
      <c r="E113">
        <v>102</v>
      </c>
      <c r="F113">
        <v>650000</v>
      </c>
      <c r="G113" s="58">
        <f t="shared" si="137"/>
        <v>-16.890278732533694</v>
      </c>
      <c r="H113" s="58">
        <f t="shared" si="138"/>
        <v>-162.05509286140793</v>
      </c>
      <c r="I113">
        <f t="shared" si="139"/>
        <v>-17.838908007991698</v>
      </c>
      <c r="J113">
        <f t="shared" si="140"/>
        <v>-12.968132613676477</v>
      </c>
      <c r="K113" t="str">
        <f t="shared" si="141"/>
        <v>4455.60608950593-1923.91246305474i</v>
      </c>
      <c r="L113" t="str">
        <f t="shared" si="142"/>
        <v>1000000-244853.809543305i</v>
      </c>
      <c r="M113" t="str">
        <f t="shared" si="143"/>
        <v>131283.274920005-3985.09690261879i</v>
      </c>
      <c r="N113">
        <f t="shared" si="99"/>
        <v>-28.94168582883637</v>
      </c>
      <c r="O113">
        <f t="shared" si="144"/>
        <v>-20.861857001995052</v>
      </c>
      <c r="P113" t="str">
        <f t="shared" si="145"/>
        <v>-5209.65552219797i</v>
      </c>
      <c r="Q113" t="str">
        <f t="shared" si="146"/>
        <v>5900-20.4044841286087i</v>
      </c>
      <c r="R113" t="str">
        <f t="shared" si="100"/>
        <v>2575.93188315249-2926.21851862215i</v>
      </c>
      <c r="S113" t="str">
        <f t="shared" si="147"/>
        <v>149.883245469462-122426.721274234i</v>
      </c>
      <c r="T113" t="str">
        <f t="shared" si="101"/>
        <v>2456.05863653444-2908.23663431247i</v>
      </c>
      <c r="U113" t="str">
        <f t="shared" si="102"/>
        <v>0.0864864864864865-0.281081081081081i</v>
      </c>
      <c r="V113">
        <f t="shared" si="148"/>
        <v>0.98018568336552092</v>
      </c>
      <c r="W113">
        <f t="shared" si="149"/>
        <v>-122.71559741236722</v>
      </c>
      <c r="X113">
        <f t="shared" si="103"/>
        <v>-10.630517457470891</v>
      </c>
      <c r="Y113">
        <f t="shared" si="150"/>
        <v>-72.897286196797381</v>
      </c>
      <c r="AA113" s="123">
        <f t="shared" si="104"/>
        <v>-34.729186740525392</v>
      </c>
      <c r="AB113" s="123">
        <f t="shared" si="105"/>
        <v>-175.02322547508442</v>
      </c>
      <c r="AC113">
        <f t="shared" si="106"/>
        <v>-27.96150014547085</v>
      </c>
      <c r="AD113">
        <f t="shared" si="107"/>
        <v>-143.57745441436228</v>
      </c>
      <c r="AE113" s="123">
        <f t="shared" si="108"/>
        <v>-62.690686885996243</v>
      </c>
      <c r="AF113" s="123">
        <f t="shared" si="109"/>
        <v>-318.60067988944672</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1"/>
        <v>26100</v>
      </c>
      <c r="AX113" t="str">
        <f t="shared" si="152"/>
        <v>0.001-24.4853809543305i</v>
      </c>
      <c r="AY113" t="str">
        <f t="shared" si="120"/>
        <v>0.0239706238665406-24.4853575284602i</v>
      </c>
      <c r="AZ113">
        <f t="shared" si="153"/>
        <v>-46.201266927470272</v>
      </c>
      <c r="BA113">
        <f t="shared" si="154"/>
        <v>-89.943927428379595</v>
      </c>
      <c r="BB113">
        <f t="shared" si="155"/>
        <v>-9.3527394558847106E-7</v>
      </c>
      <c r="BC113">
        <f t="shared" si="156"/>
        <v>1.0571895969092611E-2</v>
      </c>
      <c r="BD113" s="123">
        <f t="shared" si="121"/>
        <v>-16.89027966780764</v>
      </c>
      <c r="BE113" s="123">
        <f t="shared" si="122"/>
        <v>-162.04452096543883</v>
      </c>
      <c r="BF113">
        <f t="shared" si="123"/>
        <v>-45.221081244104752</v>
      </c>
      <c r="BG113">
        <f t="shared" si="124"/>
        <v>-212.65952484074683</v>
      </c>
      <c r="BH113" s="123">
        <f t="shared" si="125"/>
        <v>-62.111360911912392</v>
      </c>
      <c r="BI113" s="123">
        <f t="shared" si="126"/>
        <v>-374.70404580618566</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c r="BU113" s="123">
        <f t="shared" si="134"/>
        <v>0</v>
      </c>
      <c r="BV113" s="123">
        <f t="shared" si="135"/>
        <v>0</v>
      </c>
      <c r="BX113" s="123">
        <f t="shared" si="136"/>
        <v>0</v>
      </c>
      <c r="BY113" s="123"/>
    </row>
    <row r="114" spans="5:77" x14ac:dyDescent="0.25">
      <c r="E114">
        <v>103</v>
      </c>
      <c r="F114">
        <v>700000</v>
      </c>
      <c r="G114" s="58">
        <f t="shared" si="137"/>
        <v>-18.284082241749378</v>
      </c>
      <c r="H114" s="58">
        <f t="shared" si="138"/>
        <v>-163.58388562554862</v>
      </c>
      <c r="I114">
        <f t="shared" si="139"/>
        <v>-17.869319215619935</v>
      </c>
      <c r="J114">
        <f t="shared" si="140"/>
        <v>-12.070244393558925</v>
      </c>
      <c r="K114" t="str">
        <f t="shared" si="141"/>
        <v>4346.48132589688-2021.16151678117i</v>
      </c>
      <c r="L114" t="str">
        <f t="shared" si="142"/>
        <v>1000000-227364.251718783i</v>
      </c>
      <c r="M114" t="str">
        <f t="shared" si="143"/>
        <v>131170.787727449-3722.68674678493i</v>
      </c>
      <c r="N114">
        <f t="shared" si="99"/>
        <v>-29.034755664655123</v>
      </c>
      <c r="O114">
        <f t="shared" si="144"/>
        <v>-22.511942005843029</v>
      </c>
      <c r="P114" t="str">
        <f t="shared" si="145"/>
        <v>-4837.5372706124i</v>
      </c>
      <c r="Q114" t="str">
        <f t="shared" si="146"/>
        <v>5900-18.9470209765652i</v>
      </c>
      <c r="R114" t="str">
        <f t="shared" si="100"/>
        <v>2364.40422664268-2891.31828999262i</v>
      </c>
      <c r="S114" t="str">
        <f t="shared" si="147"/>
        <v>129.236090379218-113681.978941056i</v>
      </c>
      <c r="T114" t="str">
        <f t="shared" si="101"/>
        <v>2247.67916642939-2865.06541308231i</v>
      </c>
      <c r="U114" t="str">
        <f t="shared" si="102"/>
        <v>0.0754716981132075-0.264150943396226i</v>
      </c>
      <c r="V114">
        <f t="shared" si="148"/>
        <v>3.493094247146381E-3</v>
      </c>
      <c r="W114">
        <f t="shared" si="149"/>
        <v>-125.94000851112628</v>
      </c>
      <c r="X114">
        <f t="shared" si="103"/>
        <v>-11.222158782728279</v>
      </c>
      <c r="Y114">
        <f t="shared" si="150"/>
        <v>-74.054619505703258</v>
      </c>
      <c r="AA114" s="123">
        <f t="shared" si="104"/>
        <v>-36.153401457369313</v>
      </c>
      <c r="AB114" s="123">
        <f t="shared" si="105"/>
        <v>-175.65413001910755</v>
      </c>
      <c r="AC114">
        <f t="shared" si="106"/>
        <v>-29.031262570407975</v>
      </c>
      <c r="AD114">
        <f t="shared" si="107"/>
        <v>-148.4519505169693</v>
      </c>
      <c r="AE114" s="123">
        <f t="shared" si="108"/>
        <v>-65.184664027777288</v>
      </c>
      <c r="AF114" s="123">
        <f t="shared" si="109"/>
        <v>-324.10608053607689</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1"/>
        <v>26100</v>
      </c>
      <c r="AX114" t="str">
        <f t="shared" si="152"/>
        <v>0.001-22.7364251718783i</v>
      </c>
      <c r="AY114" t="str">
        <f t="shared" si="120"/>
        <v>0.0208063056278697-22.7364061758087i</v>
      </c>
      <c r="AZ114">
        <f t="shared" si="153"/>
        <v>-46.84496006720952</v>
      </c>
      <c r="BA114">
        <f t="shared" si="154"/>
        <v>-89.947586804619547</v>
      </c>
      <c r="BB114">
        <f t="shared" si="155"/>
        <v>-8.0643525369336645E-7</v>
      </c>
      <c r="BC114">
        <f t="shared" si="156"/>
        <v>9.8167610070694165E-3</v>
      </c>
      <c r="BD114" s="123">
        <f t="shared" si="121"/>
        <v>-18.28408304818463</v>
      </c>
      <c r="BE114" s="123">
        <f t="shared" si="122"/>
        <v>-163.57406886454154</v>
      </c>
      <c r="BF114">
        <f t="shared" si="123"/>
        <v>-46.841466972962372</v>
      </c>
      <c r="BG114">
        <f t="shared" si="124"/>
        <v>-215.88759531574584</v>
      </c>
      <c r="BH114" s="123">
        <f t="shared" si="125"/>
        <v>-65.125550021147006</v>
      </c>
      <c r="BI114" s="123">
        <f t="shared" si="126"/>
        <v>-379.46166418028736</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c r="BU114" s="123">
        <f t="shared" si="134"/>
        <v>0</v>
      </c>
      <c r="BV114" s="123">
        <f t="shared" si="135"/>
        <v>0</v>
      </c>
      <c r="BX114" s="123">
        <f t="shared" si="136"/>
        <v>0</v>
      </c>
      <c r="BY114" s="123"/>
    </row>
    <row r="115" spans="5:77" x14ac:dyDescent="0.25">
      <c r="E115">
        <v>104</v>
      </c>
      <c r="F115">
        <v>750000</v>
      </c>
      <c r="G115" s="58">
        <f t="shared" si="137"/>
        <v>-19.568953679005922</v>
      </c>
      <c r="H115" s="58">
        <f t="shared" si="138"/>
        <v>-164.86101238133074</v>
      </c>
      <c r="I115">
        <f t="shared" si="139"/>
        <v>-17.894009581006944</v>
      </c>
      <c r="J115">
        <f t="shared" si="140"/>
        <v>-11.287114798035645</v>
      </c>
      <c r="K115" t="str">
        <f t="shared" si="141"/>
        <v>4235.07449638788-2110.02441260451i</v>
      </c>
      <c r="L115" t="str">
        <f t="shared" si="142"/>
        <v>1000000-212206.634937531i</v>
      </c>
      <c r="M115" t="str">
        <f t="shared" si="143"/>
        <v>131079.048599607-3491.43602303818i</v>
      </c>
      <c r="N115">
        <f t="shared" si="99"/>
        <v>-29.134133937105695</v>
      </c>
      <c r="O115">
        <f t="shared" si="144"/>
        <v>-24.113224952656751</v>
      </c>
      <c r="P115" t="str">
        <f t="shared" si="145"/>
        <v>-4515.03478590491i</v>
      </c>
      <c r="Q115" t="str">
        <f t="shared" si="146"/>
        <v>5900-17.6838862447942i</v>
      </c>
      <c r="R115" t="str">
        <f t="shared" si="100"/>
        <v>2172.76687975084-2845.79054758711i</v>
      </c>
      <c r="S115" t="str">
        <f t="shared" si="147"/>
        <v>112.579013038291-106103.198018697i</v>
      </c>
      <c r="T115" t="str">
        <f t="shared" si="101"/>
        <v>2059.95976140636-2812.42253509411i</v>
      </c>
      <c r="U115" t="str">
        <f t="shared" si="102"/>
        <v>0.0663900414937759-0.24896265560166i</v>
      </c>
      <c r="V115">
        <f t="shared" si="148"/>
        <v>-0.93208032523405349</v>
      </c>
      <c r="W115">
        <f t="shared" si="149"/>
        <v>-128.84768610146705</v>
      </c>
      <c r="X115">
        <f t="shared" si="103"/>
        <v>-11.778970599189426</v>
      </c>
      <c r="Y115">
        <f t="shared" si="150"/>
        <v>-75.068598439440919</v>
      </c>
      <c r="AA115" s="123">
        <f t="shared" si="104"/>
        <v>-37.46296326001287</v>
      </c>
      <c r="AB115" s="123">
        <f t="shared" si="105"/>
        <v>-176.14812717936638</v>
      </c>
      <c r="AC115">
        <f t="shared" si="106"/>
        <v>-30.066214262339749</v>
      </c>
      <c r="AD115">
        <f t="shared" si="107"/>
        <v>-152.96091105412381</v>
      </c>
      <c r="AE115" s="123">
        <f t="shared" si="108"/>
        <v>-67.529177522352626</v>
      </c>
      <c r="AF115" s="123">
        <f t="shared" si="109"/>
        <v>-329.1090382334902</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1"/>
        <v>26100</v>
      </c>
      <c r="AX115" t="str">
        <f t="shared" si="152"/>
        <v>0.001-21.2206634937531i</v>
      </c>
      <c r="AY115" t="str">
        <f t="shared" si="120"/>
        <v>0.0182534945851073-21.2206478396568i</v>
      </c>
      <c r="AZ115">
        <f t="shared" si="153"/>
        <v>-47.444224108736577</v>
      </c>
      <c r="BA115">
        <f t="shared" si="154"/>
        <v>-89.950734264391428</v>
      </c>
      <c r="BB115">
        <f t="shared" si="155"/>
        <v>-7.0249474001939581E-7</v>
      </c>
      <c r="BC115">
        <f t="shared" si="156"/>
        <v>9.1623106229106986E-3</v>
      </c>
      <c r="BD115" s="123">
        <f t="shared" si="121"/>
        <v>-19.568954381500664</v>
      </c>
      <c r="BE115" s="123">
        <f t="shared" si="122"/>
        <v>-164.85185007070783</v>
      </c>
      <c r="BF115">
        <f t="shared" si="123"/>
        <v>-48.376304433970631</v>
      </c>
      <c r="BG115">
        <f t="shared" si="124"/>
        <v>-218.79842036585848</v>
      </c>
      <c r="BH115" s="123">
        <f t="shared" si="125"/>
        <v>-67.945258815471291</v>
      </c>
      <c r="BI115" s="123">
        <f t="shared" si="126"/>
        <v>-383.6502704365663</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c r="BU115" s="123">
        <f t="shared" si="134"/>
        <v>0</v>
      </c>
      <c r="BV115" s="123">
        <f t="shared" si="135"/>
        <v>0</v>
      </c>
      <c r="BX115" s="123">
        <f t="shared" si="136"/>
        <v>0</v>
      </c>
      <c r="BY115" s="123"/>
    </row>
    <row r="116" spans="5:77" x14ac:dyDescent="0.25">
      <c r="E116">
        <v>105</v>
      </c>
      <c r="F116">
        <v>800000</v>
      </c>
      <c r="G116" s="58">
        <f t="shared" si="137"/>
        <v>-20.761049748456443</v>
      </c>
      <c r="H116" s="58">
        <f t="shared" si="138"/>
        <v>-165.94536270301154</v>
      </c>
      <c r="I116">
        <f t="shared" si="139"/>
        <v>-17.914321814399216</v>
      </c>
      <c r="J116">
        <f t="shared" si="140"/>
        <v>-10.598310862845869</v>
      </c>
      <c r="K116" t="str">
        <f t="shared" si="141"/>
        <v>4122.13144191401-2190.67012412879i</v>
      </c>
      <c r="L116" t="str">
        <f t="shared" si="142"/>
        <v>1000000-198943.720253935i</v>
      </c>
      <c r="M116" t="str">
        <f t="shared" si="143"/>
        <v>131003.298981959-3286.32554180931i</v>
      </c>
      <c r="N116">
        <f t="shared" si="99"/>
        <v>-29.239098719784366</v>
      </c>
      <c r="O116">
        <f t="shared" si="144"/>
        <v>-25.666938006272446</v>
      </c>
      <c r="P116" t="str">
        <f t="shared" si="145"/>
        <v>-4232.84511178585i</v>
      </c>
      <c r="Q116" t="str">
        <f t="shared" si="146"/>
        <v>5900-16.5786433544946i</v>
      </c>
      <c r="R116" t="str">
        <f t="shared" si="100"/>
        <v>1999.52644280699-2792.70355837987i</v>
      </c>
      <c r="S116" t="str">
        <f t="shared" si="147"/>
        <v>98.9464116671692-99471.7617031313i</v>
      </c>
      <c r="T116" t="str">
        <f t="shared" si="101"/>
        <v>1891.12610199694-2753.30998866035i</v>
      </c>
      <c r="U116" t="str">
        <f t="shared" si="102"/>
        <v>0.0588235294117647-0.235294117647059i</v>
      </c>
      <c r="V116">
        <f t="shared" si="148"/>
        <v>-1.8289861452642866</v>
      </c>
      <c r="W116">
        <f t="shared" si="149"/>
        <v>-131.4803437276037</v>
      </c>
      <c r="X116">
        <f t="shared" si="103"/>
        <v>-12.304489213782734</v>
      </c>
      <c r="Y116">
        <f t="shared" si="150"/>
        <v>-75.963772335887626</v>
      </c>
      <c r="AA116" s="123">
        <f t="shared" si="104"/>
        <v>-38.675371562855659</v>
      </c>
      <c r="AB116" s="123">
        <f t="shared" si="105"/>
        <v>-176.5436735658574</v>
      </c>
      <c r="AC116">
        <f t="shared" si="106"/>
        <v>-31.068084865048654</v>
      </c>
      <c r="AD116">
        <f t="shared" si="107"/>
        <v>-157.14728173387613</v>
      </c>
      <c r="AE116" s="123">
        <f t="shared" si="108"/>
        <v>-69.743456427904306</v>
      </c>
      <c r="AF116" s="123">
        <f t="shared" si="109"/>
        <v>-333.69095529973356</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1"/>
        <v>26100</v>
      </c>
      <c r="AX116" t="str">
        <f t="shared" si="152"/>
        <v>0.001-19.8943720253935i</v>
      </c>
      <c r="AY116" t="str">
        <f t="shared" si="120"/>
        <v>0.0161642054344385-19.8943589422105i</v>
      </c>
      <c r="AZ116">
        <f t="shared" si="153"/>
        <v>-48.0047982317624</v>
      </c>
      <c r="BA116">
        <f t="shared" si="154"/>
        <v>-89.953465791950435</v>
      </c>
      <c r="BB116">
        <f t="shared" si="155"/>
        <v>-6.1742704414943235E-7</v>
      </c>
      <c r="BC116">
        <f t="shared" si="156"/>
        <v>8.5896664772619445E-3</v>
      </c>
      <c r="BD116" s="123">
        <f t="shared" si="121"/>
        <v>-20.761050365883488</v>
      </c>
      <c r="BE116" s="123">
        <f t="shared" si="122"/>
        <v>-165.93677303653428</v>
      </c>
      <c r="BF116">
        <f t="shared" si="123"/>
        <v>-49.833784377026689</v>
      </c>
      <c r="BG116">
        <f t="shared" si="124"/>
        <v>-221.43380951955413</v>
      </c>
      <c r="BH116" s="123">
        <f t="shared" si="125"/>
        <v>-70.59483474291018</v>
      </c>
      <c r="BI116" s="123">
        <f t="shared" si="126"/>
        <v>-387.37058255608838</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c r="BU116" s="123">
        <f t="shared" si="134"/>
        <v>0</v>
      </c>
      <c r="BV116" s="123">
        <f t="shared" si="135"/>
        <v>0</v>
      </c>
      <c r="BX116" s="123">
        <f t="shared" si="136"/>
        <v>0</v>
      </c>
      <c r="BY116" s="123"/>
    </row>
    <row r="117" spans="5:77" x14ac:dyDescent="0.25">
      <c r="E117">
        <v>106</v>
      </c>
      <c r="F117">
        <v>850000</v>
      </c>
      <c r="G117" s="58">
        <f t="shared" si="137"/>
        <v>-21.873175377505262</v>
      </c>
      <c r="H117" s="58">
        <f t="shared" si="138"/>
        <v>-166.87857748817032</v>
      </c>
      <c r="I117">
        <f t="shared" si="139"/>
        <v>-17.931228391701527</v>
      </c>
      <c r="J117">
        <f t="shared" si="140"/>
        <v>-9.9879280424639454</v>
      </c>
      <c r="K117" t="str">
        <f t="shared" si="141"/>
        <v>4008.33855468983-2263.33314950471i</v>
      </c>
      <c r="L117" t="str">
        <f t="shared" si="142"/>
        <v>1000000-187241.148474292i</v>
      </c>
      <c r="M117" t="str">
        <f t="shared" si="143"/>
        <v>130940.058384795-3103.3090068556i</v>
      </c>
      <c r="N117">
        <f t="shared" si="99"/>
        <v>-29.349019700772139</v>
      </c>
      <c r="O117">
        <f t="shared" si="144"/>
        <v>-27.174174691732798</v>
      </c>
      <c r="P117" t="str">
        <f t="shared" si="145"/>
        <v>-3983.85422285727i</v>
      </c>
      <c r="Q117" t="str">
        <f t="shared" si="146"/>
        <v>5900-15.6034290395243i</v>
      </c>
      <c r="R117" t="str">
        <f t="shared" si="100"/>
        <v>1843.0909978369-2734.47042718933i</v>
      </c>
      <c r="S117" t="str">
        <f t="shared" si="147"/>
        <v>87.6480423830688-93620.4921805453i</v>
      </c>
      <c r="T117" t="str">
        <f t="shared" si="101"/>
        <v>1739.37052862455-2690.04509470832i</v>
      </c>
      <c r="U117" t="str">
        <f t="shared" si="102"/>
        <v>0.0524590163934426-0.222950819672131i</v>
      </c>
      <c r="V117">
        <f t="shared" si="148"/>
        <v>-2.6895832308361283</v>
      </c>
      <c r="W117">
        <f t="shared" si="149"/>
        <v>-133.87298887719021</v>
      </c>
      <c r="X117">
        <f t="shared" si="103"/>
        <v>-12.801798566908616</v>
      </c>
      <c r="Y117">
        <f t="shared" si="150"/>
        <v>-76.759496054172502</v>
      </c>
      <c r="AA117" s="123">
        <f t="shared" si="104"/>
        <v>-39.804403769206786</v>
      </c>
      <c r="AB117" s="123">
        <f t="shared" si="105"/>
        <v>-176.86650553063427</v>
      </c>
      <c r="AC117">
        <f t="shared" si="106"/>
        <v>-32.038602931608267</v>
      </c>
      <c r="AD117">
        <f t="shared" si="107"/>
        <v>-161.047163568923</v>
      </c>
      <c r="AE117" s="123">
        <f t="shared" si="108"/>
        <v>-71.843006700815053</v>
      </c>
      <c r="AF117" s="123">
        <f t="shared" si="109"/>
        <v>-337.9136690995573</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1"/>
        <v>26100</v>
      </c>
      <c r="AX117" t="str">
        <f t="shared" si="152"/>
        <v>0.001-18.7241148474292i</v>
      </c>
      <c r="AY117" t="str">
        <f t="shared" si="120"/>
        <v>0.01443265345155-18.7241037760589i</v>
      </c>
      <c r="AZ117">
        <f t="shared" si="153"/>
        <v>-48.531376716670778</v>
      </c>
      <c r="BA117">
        <f t="shared" si="154"/>
        <v>-89.955854787043364</v>
      </c>
      <c r="BB117">
        <f t="shared" si="155"/>
        <v>-5.4692501205657005E-7</v>
      </c>
      <c r="BC117">
        <f t="shared" si="156"/>
        <v>8.0843921878827642E-3</v>
      </c>
      <c r="BD117" s="123">
        <f t="shared" si="121"/>
        <v>-21.873175924430274</v>
      </c>
      <c r="BE117" s="123">
        <f t="shared" si="122"/>
        <v>-166.87049309598243</v>
      </c>
      <c r="BF117">
        <f t="shared" si="123"/>
        <v>-51.220959947506906</v>
      </c>
      <c r="BG117">
        <f t="shared" si="124"/>
        <v>-223.82884366423357</v>
      </c>
      <c r="BH117" s="123">
        <f t="shared" si="125"/>
        <v>-73.094135871937183</v>
      </c>
      <c r="BI117" s="123">
        <f t="shared" si="126"/>
        <v>-390.699336760216</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c r="BU117" s="123">
        <f t="shared" si="134"/>
        <v>0</v>
      </c>
      <c r="BV117" s="123">
        <f t="shared" si="135"/>
        <v>0</v>
      </c>
      <c r="BX117" s="123">
        <f t="shared" si="136"/>
        <v>0</v>
      </c>
      <c r="BY117" s="123"/>
    </row>
    <row r="118" spans="5:77" x14ac:dyDescent="0.25">
      <c r="E118">
        <v>107</v>
      </c>
      <c r="F118">
        <v>900000</v>
      </c>
      <c r="G118" s="58">
        <f t="shared" si="137"/>
        <v>-22.915639300394265</v>
      </c>
      <c r="H118" s="58">
        <f t="shared" si="138"/>
        <v>-167.69095935066289</v>
      </c>
      <c r="I118">
        <f t="shared" si="139"/>
        <v>-17.945447132189052</v>
      </c>
      <c r="J118">
        <f t="shared" si="140"/>
        <v>-9.4434140100661139</v>
      </c>
      <c r="K118" t="str">
        <f t="shared" si="141"/>
        <v>3894.31911011949-2328.30144541716i</v>
      </c>
      <c r="L118" t="str">
        <f t="shared" si="142"/>
        <v>1000000-176838.862447942i</v>
      </c>
      <c r="M118" t="str">
        <f t="shared" si="143"/>
        <v>130886.736969202-2939.10234089961i</v>
      </c>
      <c r="N118">
        <f t="shared" si="99"/>
        <v>-29.463335942546884</v>
      </c>
      <c r="O118">
        <f t="shared" si="144"/>
        <v>-28.635947566063695</v>
      </c>
      <c r="P118" t="str">
        <f t="shared" si="145"/>
        <v>-3762.52898825409i</v>
      </c>
      <c r="Q118" t="str">
        <f t="shared" si="146"/>
        <v>5900-14.7365718706618i</v>
      </c>
      <c r="R118" t="str">
        <f t="shared" si="100"/>
        <v>1701.87323632319-2672.96506227754i</v>
      </c>
      <c r="S118" t="str">
        <f t="shared" si="147"/>
        <v>78.1798970586947-88419.3620977508i</v>
      </c>
      <c r="T118" t="str">
        <f t="shared" si="101"/>
        <v>1602.94464064638-2624.39381586964i</v>
      </c>
      <c r="U118" t="str">
        <f t="shared" si="102"/>
        <v>0.0470588235294118-0.211764705882353i</v>
      </c>
      <c r="V118">
        <f t="shared" si="148"/>
        <v>-3.5161131232713458</v>
      </c>
      <c r="W118">
        <f t="shared" si="149"/>
        <v>-136.05519336651969</v>
      </c>
      <c r="X118">
        <f t="shared" si="103"/>
        <v>-13.273589343863302</v>
      </c>
      <c r="Y118">
        <f t="shared" si="150"/>
        <v>-77.471208408275743</v>
      </c>
      <c r="AA118" s="123">
        <f t="shared" si="104"/>
        <v>-40.861086432583321</v>
      </c>
      <c r="AB118" s="123">
        <f t="shared" si="105"/>
        <v>-177.134373360729</v>
      </c>
      <c r="AC118">
        <f t="shared" si="106"/>
        <v>-32.97944906581823</v>
      </c>
      <c r="AD118">
        <f t="shared" si="107"/>
        <v>-164.69114093258338</v>
      </c>
      <c r="AE118" s="123">
        <f t="shared" si="108"/>
        <v>-73.84053549840155</v>
      </c>
      <c r="AF118" s="123">
        <f t="shared" si="109"/>
        <v>-341.82551429331238</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1"/>
        <v>26100</v>
      </c>
      <c r="AX118" t="str">
        <f t="shared" si="152"/>
        <v>0.001-17.6838862447942i</v>
      </c>
      <c r="AY118" t="str">
        <f t="shared" si="120"/>
        <v>0.0129815958703182-17.6838767716547i</v>
      </c>
      <c r="AZ118">
        <f t="shared" si="153"/>
        <v>-49.027848148220407</v>
      </c>
      <c r="BA118">
        <f t="shared" si="154"/>
        <v>-89.957958338376258</v>
      </c>
      <c r="BB118">
        <f t="shared" si="155"/>
        <v>-4.8784359525277324E-7</v>
      </c>
      <c r="BC118">
        <f t="shared" si="156"/>
        <v>7.6352594541873806E-3</v>
      </c>
      <c r="BD118" s="123">
        <f t="shared" si="121"/>
        <v>-22.915639788237861</v>
      </c>
      <c r="BE118" s="123">
        <f t="shared" si="122"/>
        <v>-167.6833240912087</v>
      </c>
      <c r="BF118">
        <f t="shared" si="123"/>
        <v>-52.543961271491753</v>
      </c>
      <c r="BG118">
        <f t="shared" si="124"/>
        <v>-226.01315170489596</v>
      </c>
      <c r="BH118" s="123">
        <f t="shared" si="125"/>
        <v>-75.459601059729607</v>
      </c>
      <c r="BI118" s="123">
        <f t="shared" si="126"/>
        <v>-393.69647579610466</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c r="BU118" s="123">
        <f t="shared" si="134"/>
        <v>0</v>
      </c>
      <c r="BV118" s="123">
        <f t="shared" si="135"/>
        <v>0</v>
      </c>
      <c r="BX118" s="123">
        <f t="shared" si="136"/>
        <v>0</v>
      </c>
      <c r="BY118" s="123"/>
    </row>
    <row r="119" spans="5:77" x14ac:dyDescent="0.25">
      <c r="E119">
        <v>108</v>
      </c>
      <c r="F119">
        <v>950000</v>
      </c>
      <c r="G119" s="58">
        <f t="shared" si="137"/>
        <v>-23.896859462400002</v>
      </c>
      <c r="H119" s="58">
        <f t="shared" si="138"/>
        <v>-168.40510774704015</v>
      </c>
      <c r="I119">
        <f t="shared" si="139"/>
        <v>-17.95751692881997</v>
      </c>
      <c r="J119">
        <f t="shared" si="140"/>
        <v>-8.95473744059111</v>
      </c>
      <c r="K119" t="str">
        <f t="shared" si="141"/>
        <v>3780.63164836422-2385.90492356838i</v>
      </c>
      <c r="L119" t="str">
        <f t="shared" si="142"/>
        <v>1000000-167531.55389805i</v>
      </c>
      <c r="M119" t="str">
        <f t="shared" si="143"/>
        <v>130841.377422351-2791.02070519981i</v>
      </c>
      <c r="N119">
        <f t="shared" si="99"/>
        <v>-29.581541443889595</v>
      </c>
      <c r="O119">
        <f t="shared" si="144"/>
        <v>-30.05322965909658</v>
      </c>
      <c r="P119" t="str">
        <f t="shared" si="145"/>
        <v>-3564.50114676703i</v>
      </c>
      <c r="Q119" t="str">
        <f t="shared" si="146"/>
        <v>5900-13.9609628248375i</v>
      </c>
      <c r="R119" t="str">
        <f t="shared" si="100"/>
        <v>1574.35320859646-2609.62601048283i</v>
      </c>
      <c r="S119" t="str">
        <f t="shared" si="147"/>
        <v>70.1670046446184-83765.7181730886i</v>
      </c>
      <c r="T119" t="str">
        <f t="shared" si="101"/>
        <v>1480.21142482701-2557.68551753434i</v>
      </c>
      <c r="U119" t="str">
        <f t="shared" si="102"/>
        <v>0.0424403183023873-0.20159151193634i</v>
      </c>
      <c r="V119">
        <f t="shared" si="148"/>
        <v>-4.3106879503673898</v>
      </c>
      <c r="W119">
        <f t="shared" si="149"/>
        <v>-138.05208154627474</v>
      </c>
      <c r="X119">
        <f t="shared" si="103"/>
        <v>-13.72221367549866</v>
      </c>
      <c r="Y119">
        <f t="shared" si="150"/>
        <v>-78.111358210978679</v>
      </c>
      <c r="AA119" s="123">
        <f t="shared" si="104"/>
        <v>-41.854376391219972</v>
      </c>
      <c r="AB119" s="123">
        <f t="shared" si="105"/>
        <v>-177.35984518763127</v>
      </c>
      <c r="AC119">
        <f t="shared" si="106"/>
        <v>-33.892229394256987</v>
      </c>
      <c r="AD119">
        <f t="shared" si="107"/>
        <v>-168.10531120537132</v>
      </c>
      <c r="AE119" s="123">
        <f t="shared" si="108"/>
        <v>-75.746605785476959</v>
      </c>
      <c r="AF119" s="123">
        <f t="shared" si="109"/>
        <v>-345.46515639300259</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1"/>
        <v>26100</v>
      </c>
      <c r="AX119" t="str">
        <f t="shared" si="152"/>
        <v>0.001-16.753155389805i</v>
      </c>
      <c r="AY119" t="str">
        <f t="shared" si="120"/>
        <v>0.0117535657706901-16.7531472035038i</v>
      </c>
      <c r="AZ119">
        <f t="shared" si="153"/>
        <v>-49.497469859285133</v>
      </c>
      <c r="BA119">
        <f t="shared" si="154"/>
        <v>-89.959821515989503</v>
      </c>
      <c r="BB119">
        <f t="shared" si="155"/>
        <v>-4.3784297043709048E-7</v>
      </c>
      <c r="BC119">
        <f t="shared" si="156"/>
        <v>7.2334038262397921E-3</v>
      </c>
      <c r="BD119" s="123">
        <f t="shared" si="121"/>
        <v>-23.896859900242973</v>
      </c>
      <c r="BE119" s="123">
        <f t="shared" si="122"/>
        <v>-168.39787434321391</v>
      </c>
      <c r="BF119">
        <f t="shared" si="123"/>
        <v>-53.808157809652521</v>
      </c>
      <c r="BG119">
        <f t="shared" si="124"/>
        <v>-228.01190306226425</v>
      </c>
      <c r="BH119" s="123">
        <f t="shared" si="125"/>
        <v>-77.705017709895486</v>
      </c>
      <c r="BI119" s="123">
        <f t="shared" si="126"/>
        <v>-396.40977740547817</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c r="BU119" s="123">
        <f t="shared" si="134"/>
        <v>0</v>
      </c>
      <c r="BV119" s="123">
        <f t="shared" si="135"/>
        <v>0</v>
      </c>
      <c r="BX119" s="123">
        <f t="shared" si="136"/>
        <v>0</v>
      </c>
      <c r="BY119" s="123"/>
    </row>
    <row r="120" spans="5:77" x14ac:dyDescent="0.25">
      <c r="E120">
        <v>109</v>
      </c>
      <c r="F120">
        <v>1000000</v>
      </c>
      <c r="G120" s="58">
        <f t="shared" si="137"/>
        <v>-24.823798112888817</v>
      </c>
      <c r="H120" s="58">
        <f t="shared" si="138"/>
        <v>-169.03823737805885</v>
      </c>
      <c r="I120">
        <f t="shared" si="139"/>
        <v>-17.967848538290539</v>
      </c>
      <c r="J120">
        <f t="shared" si="140"/>
        <v>-8.513790343261439</v>
      </c>
      <c r="K120" t="str">
        <f t="shared" si="141"/>
        <v>3667.7700951796-2436.5047800223i</v>
      </c>
      <c r="L120" t="str">
        <f t="shared" si="142"/>
        <v>1000000-159154.976203148i</v>
      </c>
      <c r="M120" t="str">
        <f t="shared" si="143"/>
        <v>130802.479454445-2656.85297877153i</v>
      </c>
      <c r="N120">
        <f t="shared" si="99"/>
        <v>-29.703175559822586</v>
      </c>
      <c r="O120">
        <f t="shared" si="144"/>
        <v>-31.426982640244034</v>
      </c>
      <c r="P120" t="str">
        <f t="shared" si="145"/>
        <v>-3386.27608942868i</v>
      </c>
      <c r="Q120" t="str">
        <f t="shared" si="146"/>
        <v>5900-13.2629146835957i</v>
      </c>
      <c r="R120" t="str">
        <f t="shared" si="100"/>
        <v>1459.11325479787-2545.54517059773i</v>
      </c>
      <c r="S120" t="str">
        <f t="shared" si="147"/>
        <v>63.3257260240604-79577.4377085519i</v>
      </c>
      <c r="T120" t="str">
        <f t="shared" si="101"/>
        <v>1369.67062222358-2490.90809437015i</v>
      </c>
      <c r="U120" t="str">
        <f t="shared" si="102"/>
        <v>0.0384615384615385-0.192307692307692i</v>
      </c>
      <c r="V120">
        <f t="shared" si="148"/>
        <v>-5.0752862369774334</v>
      </c>
      <c r="W120">
        <f t="shared" si="149"/>
        <v>-139.88511029429876</v>
      </c>
      <c r="X120">
        <f t="shared" si="103"/>
        <v>-14.149733479708193</v>
      </c>
      <c r="Y120">
        <f t="shared" si="150"/>
        <v>-78.690083896986863</v>
      </c>
      <c r="AA120" s="123">
        <f t="shared" si="104"/>
        <v>-42.791646651179356</v>
      </c>
      <c r="AB120" s="123">
        <f t="shared" si="105"/>
        <v>-177.55202772132029</v>
      </c>
      <c r="AC120">
        <f t="shared" si="106"/>
        <v>-34.778461796800016</v>
      </c>
      <c r="AD120">
        <f t="shared" si="107"/>
        <v>-171.31209293454279</v>
      </c>
      <c r="AE120" s="123">
        <f t="shared" si="108"/>
        <v>-77.570108447979379</v>
      </c>
      <c r="AF120" s="123">
        <f t="shared" si="109"/>
        <v>-348.86412065586308</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1"/>
        <v>26100</v>
      </c>
      <c r="AX120" t="str">
        <f t="shared" si="152"/>
        <v>0.001-15.9154976203148i</v>
      </c>
      <c r="AY120" t="str">
        <f t="shared" si="120"/>
        <v>0.0107050934941791-15.9154904826757i</v>
      </c>
      <c r="AZ120">
        <f t="shared" si="153"/>
        <v>-49.942997577374442</v>
      </c>
      <c r="BA120">
        <f t="shared" si="154"/>
        <v>-89.961480375921681</v>
      </c>
      <c r="BB120">
        <f t="shared" si="155"/>
        <v>-3.9515332453053329E-7</v>
      </c>
      <c r="BC120">
        <f t="shared" si="156"/>
        <v>6.8717337426350356E-3</v>
      </c>
      <c r="BD120" s="123">
        <f t="shared" si="121"/>
        <v>-24.823798508042142</v>
      </c>
      <c r="BE120" s="123">
        <f t="shared" si="122"/>
        <v>-169.03136564431622</v>
      </c>
      <c r="BF120">
        <f t="shared" si="123"/>
        <v>-55.018283814351875</v>
      </c>
      <c r="BG120">
        <f t="shared" si="124"/>
        <v>-229.84659067022045</v>
      </c>
      <c r="BH120" s="123">
        <f t="shared" si="125"/>
        <v>-79.84208232239402</v>
      </c>
      <c r="BI120" s="123">
        <f t="shared" si="126"/>
        <v>-398.87795631453668</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c r="BU120" s="123">
        <f t="shared" si="134"/>
        <v>0</v>
      </c>
      <c r="BV120" s="123">
        <f t="shared" si="135"/>
        <v>0</v>
      </c>
      <c r="BX120" s="123">
        <f t="shared" si="136"/>
        <v>0</v>
      </c>
      <c r="BY120" s="123"/>
    </row>
    <row r="121" spans="5:77" x14ac:dyDescent="0.25">
      <c r="E121">
        <v>110</v>
      </c>
      <c r="F121">
        <v>1500000</v>
      </c>
      <c r="G121" s="58">
        <f t="shared" si="137"/>
        <v>-32.052488190114879</v>
      </c>
      <c r="H121" s="58">
        <f t="shared" si="138"/>
        <v>-172.87139190467039</v>
      </c>
      <c r="I121">
        <f t="shared" si="139"/>
        <v>-18.021370020953455</v>
      </c>
      <c r="J121">
        <f t="shared" si="140"/>
        <v>-5.6993439563268522</v>
      </c>
      <c r="K121" t="str">
        <f t="shared" si="141"/>
        <v>2652.5661824509-2643.15511134184i</v>
      </c>
      <c r="L121" t="str">
        <f t="shared" si="142"/>
        <v>1000000-106103.317468765i</v>
      </c>
      <c r="M121" t="str">
        <f t="shared" si="143"/>
        <v>130599.92767141-1789.9235071282i</v>
      </c>
      <c r="N121">
        <f t="shared" si="99"/>
        <v>-31.030094754473403</v>
      </c>
      <c r="O121">
        <f t="shared" si="144"/>
        <v>-42.992760098320161</v>
      </c>
      <c r="P121" t="str">
        <f t="shared" si="145"/>
        <v>-2257.51739295245i</v>
      </c>
      <c r="Q121" t="str">
        <f t="shared" si="146"/>
        <v>5900-8.84194312239711i</v>
      </c>
      <c r="R121" t="str">
        <f t="shared" si="100"/>
        <v>752.72569644961-1968.37384894364i</v>
      </c>
      <c r="S121" t="str">
        <f t="shared" si="147"/>
        <v>28.1447770234071-53051.6438031116i</v>
      </c>
      <c r="T121" t="str">
        <f t="shared" si="101"/>
        <v>699.731228823212-1907.49997806781i</v>
      </c>
      <c r="U121" t="str">
        <f t="shared" si="102"/>
        <v>0.0174672489082969-0.131004366812227i</v>
      </c>
      <c r="V121">
        <f t="shared" si="148"/>
        <v>-11.42016869868055</v>
      </c>
      <c r="W121">
        <f t="shared" si="149"/>
        <v>-152.26075633229982</v>
      </c>
      <c r="X121">
        <f t="shared" si="103"/>
        <v>-17.577754910119261</v>
      </c>
      <c r="Y121">
        <f t="shared" si="150"/>
        <v>-82.405373775359777</v>
      </c>
      <c r="AA121" s="123">
        <f t="shared" si="104"/>
        <v>-50.073858211068334</v>
      </c>
      <c r="AB121" s="123">
        <f t="shared" si="105"/>
        <v>-178.57073586099725</v>
      </c>
      <c r="AC121">
        <f t="shared" si="106"/>
        <v>-42.450263453153951</v>
      </c>
      <c r="AD121">
        <f t="shared" si="107"/>
        <v>-195.25351643061998</v>
      </c>
      <c r="AE121" s="123">
        <f t="shared" si="108"/>
        <v>-92.524121664222292</v>
      </c>
      <c r="AF121" s="123">
        <f t="shared" si="109"/>
        <v>-373.8242522916172</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1"/>
        <v>26100</v>
      </c>
      <c r="AX121" t="str">
        <f t="shared" si="152"/>
        <v>0.001-10.6103317468765i</v>
      </c>
      <c r="AY121" t="str">
        <f t="shared" si="120"/>
        <v>0.00531337575607015-10.6103291803245i</v>
      </c>
      <c r="AZ121">
        <f t="shared" si="153"/>
        <v>-53.464821839894043</v>
      </c>
      <c r="BA121">
        <f t="shared" si="154"/>
        <v>-89.971326490347451</v>
      </c>
      <c r="BB121">
        <f t="shared" si="155"/>
        <v>-1.7562369317891923E-7</v>
      </c>
      <c r="BC121">
        <f t="shared" si="156"/>
        <v>4.5811561976597057E-3</v>
      </c>
      <c r="BD121" s="123">
        <f t="shared" si="121"/>
        <v>-32.052488365738569</v>
      </c>
      <c r="BE121" s="123">
        <f t="shared" si="122"/>
        <v>-172.86681074847272</v>
      </c>
      <c r="BF121">
        <f t="shared" si="123"/>
        <v>-64.884990538574598</v>
      </c>
      <c r="BG121">
        <f t="shared" si="124"/>
        <v>-242.23208282264727</v>
      </c>
      <c r="BH121" s="123">
        <f t="shared" si="125"/>
        <v>-96.937478904313167</v>
      </c>
      <c r="BI121" s="123">
        <f t="shared" si="126"/>
        <v>-415.09889357112002</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c r="BU121" s="123">
        <f t="shared" si="134"/>
        <v>0</v>
      </c>
      <c r="BV121" s="123">
        <f t="shared" si="135"/>
        <v>0</v>
      </c>
      <c r="BX121" s="123">
        <f t="shared" si="136"/>
        <v>0</v>
      </c>
      <c r="BY121" s="123"/>
    </row>
    <row r="122" spans="5:77" x14ac:dyDescent="0.25">
      <c r="E122">
        <v>111</v>
      </c>
      <c r="F122">
        <v>2000000</v>
      </c>
      <c r="G122" s="58">
        <f t="shared" si="137"/>
        <v>-37.11495241815507</v>
      </c>
      <c r="H122" s="58">
        <f t="shared" si="138"/>
        <v>-174.69948477863329</v>
      </c>
      <c r="I122">
        <f t="shared" si="139"/>
        <v>-18.040259465843789</v>
      </c>
      <c r="J122">
        <f t="shared" si="140"/>
        <v>-4.2807345028854584</v>
      </c>
      <c r="K122" t="str">
        <f t="shared" si="141"/>
        <v>1911.75018231198-2539.9566148017i</v>
      </c>
      <c r="L122" t="str">
        <f t="shared" si="142"/>
        <v>1000000-79577.488101574i</v>
      </c>
      <c r="M122" t="str">
        <f t="shared" si="143"/>
        <v>130528.021019804-1347.41841357451i</v>
      </c>
      <c r="N122">
        <f t="shared" si="99"/>
        <v>-32.398243159806498</v>
      </c>
      <c r="O122">
        <f t="shared" si="144"/>
        <v>-51.351052243809683</v>
      </c>
      <c r="P122" t="str">
        <f t="shared" si="145"/>
        <v>-1693.13804471434i</v>
      </c>
      <c r="Q122" t="str">
        <f t="shared" si="146"/>
        <v>5900-6.63145734179783i</v>
      </c>
      <c r="R122" t="str">
        <f t="shared" si="100"/>
        <v>448.646646268241-1563.8845046251i</v>
      </c>
      <c r="S122" t="str">
        <f t="shared" si="147"/>
        <v>15.8314390250454-39788.7377516562i</v>
      </c>
      <c r="T122" t="str">
        <f t="shared" si="101"/>
        <v>415.326406846414-1509.23434392668i</v>
      </c>
      <c r="U122" t="str">
        <f t="shared" si="102"/>
        <v>0.0099009900990099-0.099009900990099i</v>
      </c>
      <c r="V122">
        <f t="shared" si="148"/>
        <v>-16.151048912958284</v>
      </c>
      <c r="W122">
        <f t="shared" si="149"/>
        <v>-158.90306102113342</v>
      </c>
      <c r="X122">
        <f t="shared" si="103"/>
        <v>-20.043213737826427</v>
      </c>
      <c r="Y122">
        <f t="shared" si="150"/>
        <v>-84.289424398417182</v>
      </c>
      <c r="AA122" s="123">
        <f t="shared" si="104"/>
        <v>-55.155211883998859</v>
      </c>
      <c r="AB122" s="123">
        <f t="shared" si="105"/>
        <v>-178.98021928151874</v>
      </c>
      <c r="AC122">
        <f t="shared" si="106"/>
        <v>-48.549292072764786</v>
      </c>
      <c r="AD122">
        <f t="shared" si="107"/>
        <v>-210.2541132649431</v>
      </c>
      <c r="AE122" s="123">
        <f t="shared" si="108"/>
        <v>-103.70450395676365</v>
      </c>
      <c r="AF122" s="123">
        <f t="shared" si="109"/>
        <v>-389.23433254646181</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1"/>
        <v>26100</v>
      </c>
      <c r="AX122" t="str">
        <f t="shared" si="152"/>
        <v>0.001-7.9577488101574i</v>
      </c>
      <c r="AY122" t="str">
        <f t="shared" si="120"/>
        <v>0.00342627402145333-7.95774746061044i</v>
      </c>
      <c r="AZ122">
        <f t="shared" si="153"/>
        <v>-55.963596228048964</v>
      </c>
      <c r="BA122">
        <f t="shared" si="154"/>
        <v>-89.975349548358537</v>
      </c>
      <c r="BB122">
        <f t="shared" si="155"/>
        <v>-9.8788328241881186E-8</v>
      </c>
      <c r="BC122">
        <f t="shared" si="156"/>
        <v>3.4358672451766967E-3</v>
      </c>
      <c r="BD122" s="123">
        <f t="shared" si="121"/>
        <v>-37.114952516943397</v>
      </c>
      <c r="BE122" s="123">
        <f t="shared" si="122"/>
        <v>-174.69604891138812</v>
      </c>
      <c r="BF122">
        <f t="shared" si="123"/>
        <v>-72.114645141007244</v>
      </c>
      <c r="BG122">
        <f t="shared" si="124"/>
        <v>-248.87841056949196</v>
      </c>
      <c r="BH122" s="123">
        <f t="shared" si="125"/>
        <v>-109.22959765795065</v>
      </c>
      <c r="BI122" s="123">
        <f t="shared" si="126"/>
        <v>-423.57445948088008</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c r="BU122" s="123">
        <f t="shared" si="134"/>
        <v>0</v>
      </c>
      <c r="BV122" s="123">
        <f t="shared" si="135"/>
        <v>0</v>
      </c>
      <c r="BX122" s="123">
        <f t="shared" si="136"/>
        <v>0</v>
      </c>
      <c r="BY122" s="123"/>
    </row>
    <row r="123" spans="5:77" x14ac:dyDescent="0.25">
      <c r="E123">
        <v>112</v>
      </c>
      <c r="F123">
        <v>2500000</v>
      </c>
      <c r="G123" s="58">
        <f t="shared" si="137"/>
        <v>-41.021417121004035</v>
      </c>
      <c r="H123" s="58">
        <f t="shared" si="138"/>
        <v>-175.77644828116499</v>
      </c>
      <c r="I123">
        <f t="shared" si="139"/>
        <v>-18.049030473306857</v>
      </c>
      <c r="J123">
        <f t="shared" si="140"/>
        <v>-3.4269020317297549</v>
      </c>
      <c r="K123" t="str">
        <f t="shared" si="141"/>
        <v>1406.65246468547-2336.10297612484i</v>
      </c>
      <c r="L123" t="str">
        <f t="shared" si="142"/>
        <v>1000000-63661.9904812592i</v>
      </c>
      <c r="M123" t="str">
        <f t="shared" si="143"/>
        <v>130494.557741231-1079.7871994874i</v>
      </c>
      <c r="N123">
        <f t="shared" si="99"/>
        <v>-33.694465317229593</v>
      </c>
      <c r="O123">
        <f t="shared" si="144"/>
        <v>-57.462861840529783</v>
      </c>
      <c r="P123" t="str">
        <f t="shared" si="145"/>
        <v>-1354.51043577147i</v>
      </c>
      <c r="Q123" t="str">
        <f t="shared" si="146"/>
        <v>5900-5.30516587343827i</v>
      </c>
      <c r="R123" t="str">
        <f t="shared" si="100"/>
        <v>295.280618543828-1286.45497950719i</v>
      </c>
      <c r="S123" t="str">
        <f t="shared" si="147"/>
        <v>10.1321215534909-31830.9920154745i</v>
      </c>
      <c r="T123" t="str">
        <f t="shared" si="101"/>
        <v>272.778616333406-1238.90758948638i</v>
      </c>
      <c r="U123" t="str">
        <f t="shared" si="102"/>
        <v>0.00635930047694754-0.0794912559618442i</v>
      </c>
      <c r="V123">
        <f t="shared" si="148"/>
        <v>-19.899535918789329</v>
      </c>
      <c r="W123">
        <f t="shared" si="149"/>
        <v>-163.00903631048331</v>
      </c>
      <c r="X123">
        <f t="shared" si="103"/>
        <v>-21.965906541173066</v>
      </c>
      <c r="Y123">
        <f t="shared" si="150"/>
        <v>-85.426096512493871</v>
      </c>
      <c r="AA123" s="123">
        <f t="shared" si="104"/>
        <v>-59.070447594310892</v>
      </c>
      <c r="AB123" s="123">
        <f t="shared" si="105"/>
        <v>-179.20335031289474</v>
      </c>
      <c r="AC123">
        <f t="shared" si="106"/>
        <v>-53.594001236018926</v>
      </c>
      <c r="AD123">
        <f t="shared" si="107"/>
        <v>-220.47189815101308</v>
      </c>
      <c r="AE123" s="123">
        <f t="shared" si="108"/>
        <v>-112.66444883032982</v>
      </c>
      <c r="AF123" s="123">
        <f t="shared" si="109"/>
        <v>-399.67524846390779</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1"/>
        <v>26100</v>
      </c>
      <c r="AX123" t="str">
        <f t="shared" si="152"/>
        <v>0.001-6.36619904812592i</v>
      </c>
      <c r="AY123" t="str">
        <f t="shared" si="120"/>
        <v>0.00255281541190332-6.36619818153861i</v>
      </c>
      <c r="AZ123">
        <f t="shared" si="153"/>
        <v>-57.901796304292922</v>
      </c>
      <c r="BA123">
        <f t="shared" si="154"/>
        <v>-89.977043383369079</v>
      </c>
      <c r="BB123">
        <f t="shared" si="155"/>
        <v>-6.322453750569704E-8</v>
      </c>
      <c r="BC123">
        <f t="shared" si="156"/>
        <v>2.7486938320327196E-3</v>
      </c>
      <c r="BD123" s="123">
        <f t="shared" si="121"/>
        <v>-41.021417184228575</v>
      </c>
      <c r="BE123" s="123">
        <f t="shared" si="122"/>
        <v>-175.77369958733294</v>
      </c>
      <c r="BF123">
        <f t="shared" si="123"/>
        <v>-77.801332223082255</v>
      </c>
      <c r="BG123">
        <f t="shared" si="124"/>
        <v>-252.98607969385239</v>
      </c>
      <c r="BH123" s="123">
        <f t="shared" si="125"/>
        <v>-118.82274940731082</v>
      </c>
      <c r="BI123" s="123">
        <f t="shared" si="126"/>
        <v>-428.75977928118533</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c r="BU123" s="123">
        <f t="shared" si="134"/>
        <v>0</v>
      </c>
      <c r="BV123" s="123">
        <f t="shared" si="135"/>
        <v>0</v>
      </c>
      <c r="BX123" s="123">
        <f t="shared" si="136"/>
        <v>0</v>
      </c>
      <c r="BY123" s="123"/>
    </row>
    <row r="124" spans="5:77" x14ac:dyDescent="0.25">
      <c r="E124">
        <v>113</v>
      </c>
      <c r="F124">
        <v>3000000</v>
      </c>
      <c r="G124" s="58">
        <f t="shared" si="137"/>
        <v>-44.205002018608141</v>
      </c>
      <c r="H124" s="58">
        <f t="shared" si="138"/>
        <v>-176.48797466229448</v>
      </c>
      <c r="I124">
        <f t="shared" si="139"/>
        <v>-18.053802406432311</v>
      </c>
      <c r="J124">
        <f t="shared" si="140"/>
        <v>-2.8568013398639649</v>
      </c>
      <c r="K124" t="str">
        <f t="shared" si="141"/>
        <v>1063.29397227471-2119.04299788673i</v>
      </c>
      <c r="L124" t="str">
        <f t="shared" si="142"/>
        <v>1000000-53051.6587343827i</v>
      </c>
      <c r="M124" t="str">
        <f t="shared" si="143"/>
        <v>130476.331904716-900.663458290731i</v>
      </c>
      <c r="N124">
        <f t="shared" si="99"/>
        <v>-34.885332797365372</v>
      </c>
      <c r="O124">
        <f t="shared" si="144"/>
        <v>-62.038331191173206</v>
      </c>
      <c r="P124" t="str">
        <f t="shared" si="145"/>
        <v>-1128.75869647623i</v>
      </c>
      <c r="Q124" t="str">
        <f t="shared" si="146"/>
        <v>5900-4.42097156119855i</v>
      </c>
      <c r="R124" t="str">
        <f t="shared" si="100"/>
        <v>208.265848143242-1088.75825161818i</v>
      </c>
      <c r="S124" t="str">
        <f t="shared" si="147"/>
        <v>7.03619574109294-26525.827500782i</v>
      </c>
      <c r="T124" t="str">
        <f t="shared" si="101"/>
        <v>192.166698980676-1047.27705552297i</v>
      </c>
      <c r="U124" t="str">
        <f t="shared" si="102"/>
        <v>0.00442477876106195-0.0663716814159292i</v>
      </c>
      <c r="V124">
        <f t="shared" si="148"/>
        <v>-22.99603676351888</v>
      </c>
      <c r="W124">
        <f t="shared" si="149"/>
        <v>-165.78832067185664</v>
      </c>
      <c r="X124">
        <f t="shared" si="103"/>
        <v>-23.541084391474008</v>
      </c>
      <c r="Y124">
        <f t="shared" si="150"/>
        <v>-86.18594309618598</v>
      </c>
      <c r="AA124" s="123">
        <f t="shared" si="104"/>
        <v>-62.258804425040452</v>
      </c>
      <c r="AB124" s="123">
        <f t="shared" si="105"/>
        <v>-179.34477600215845</v>
      </c>
      <c r="AC124">
        <f t="shared" si="106"/>
        <v>-57.881369560884252</v>
      </c>
      <c r="AD124">
        <f t="shared" si="107"/>
        <v>-227.82665186302984</v>
      </c>
      <c r="AE124" s="123">
        <f t="shared" si="108"/>
        <v>-120.1401739859247</v>
      </c>
      <c r="AF124" s="123">
        <f t="shared" si="109"/>
        <v>-407.17142786518832</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1"/>
        <v>26100</v>
      </c>
      <c r="AX124" t="str">
        <f t="shared" si="152"/>
        <v>0.001-5.30516587343827i</v>
      </c>
      <c r="AY124" t="str">
        <f t="shared" si="120"/>
        <v>0.00207834404394006-5.30516524772467i</v>
      </c>
      <c r="AZ124">
        <f t="shared" si="153"/>
        <v>-59.485421099145697</v>
      </c>
      <c r="BA124">
        <f t="shared" si="154"/>
        <v>-89.977572606798589</v>
      </c>
      <c r="BB124">
        <f t="shared" si="155"/>
        <v>-4.3905945382436324E-8</v>
      </c>
      <c r="BC124">
        <f t="shared" si="156"/>
        <v>2.2905782096025069E-3</v>
      </c>
      <c r="BD124" s="123">
        <f t="shared" si="121"/>
        <v>-44.205002062514083</v>
      </c>
      <c r="BE124" s="123">
        <f t="shared" si="122"/>
        <v>-176.48568408408488</v>
      </c>
      <c r="BF124">
        <f t="shared" si="123"/>
        <v>-82.48145786266457</v>
      </c>
      <c r="BG124">
        <f t="shared" si="124"/>
        <v>-255.76589327865523</v>
      </c>
      <c r="BH124" s="123">
        <f t="shared" si="125"/>
        <v>-126.68645992517865</v>
      </c>
      <c r="BI124" s="123">
        <f t="shared" si="126"/>
        <v>-432.25157736274014</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c r="BU124" s="123">
        <f t="shared" si="134"/>
        <v>0</v>
      </c>
      <c r="BV124" s="123">
        <f t="shared" si="135"/>
        <v>0</v>
      </c>
      <c r="BX124" s="123">
        <f t="shared" si="136"/>
        <v>0</v>
      </c>
      <c r="BY124" s="123"/>
    </row>
    <row r="125" spans="5:77" x14ac:dyDescent="0.25">
      <c r="E125">
        <v>114</v>
      </c>
      <c r="F125">
        <v>3500000</v>
      </c>
      <c r="G125" s="58">
        <f t="shared" si="137"/>
        <v>-46.892724307736245</v>
      </c>
      <c r="H125" s="58">
        <f t="shared" si="138"/>
        <v>-176.99361325629263</v>
      </c>
      <c r="I125">
        <f t="shared" si="139"/>
        <v>-18.056682267619525</v>
      </c>
      <c r="J125">
        <f t="shared" si="140"/>
        <v>-2.4492299256829786</v>
      </c>
      <c r="K125" t="str">
        <f t="shared" si="141"/>
        <v>825.232986124833-1918.71197512823i</v>
      </c>
      <c r="L125" t="str">
        <f t="shared" si="142"/>
        <v>1000000-45472.8503437566i</v>
      </c>
      <c r="M125" t="str">
        <f t="shared" si="143"/>
        <v>130465.325830523-772.4324478458i</v>
      </c>
      <c r="N125">
        <f t="shared" si="99"/>
        <v>-35.969174572102489</v>
      </c>
      <c r="O125">
        <f t="shared" si="144"/>
        <v>-65.55333750520451</v>
      </c>
      <c r="P125" t="str">
        <f t="shared" si="145"/>
        <v>-967.50745412248i</v>
      </c>
      <c r="Q125" t="str">
        <f t="shared" si="146"/>
        <v>5900-3.78940419531305i</v>
      </c>
      <c r="R125" t="str">
        <f t="shared" si="100"/>
        <v>154.469624110245-942.077647240478i</v>
      </c>
      <c r="S125" t="str">
        <f t="shared" si="147"/>
        <v>5.16945002873206-22736.4239965302i</v>
      </c>
      <c r="T125" t="str">
        <f t="shared" si="101"/>
        <v>142.424557805248-905.522450255789i</v>
      </c>
      <c r="U125" t="str">
        <f t="shared" si="102"/>
        <v>0.0032546786004882-0.0569568755085435i</v>
      </c>
      <c r="V125">
        <f t="shared" si="148"/>
        <v>-25.63080443644731</v>
      </c>
      <c r="W125">
        <f t="shared" si="149"/>
        <v>-167.79104252813326</v>
      </c>
      <c r="X125">
        <f t="shared" si="103"/>
        <v>-24.874918915584921</v>
      </c>
      <c r="Y125">
        <f t="shared" si="150"/>
        <v>-86.729530120382833</v>
      </c>
      <c r="AA125" s="123">
        <f t="shared" si="104"/>
        <v>-64.949406575355766</v>
      </c>
      <c r="AB125" s="123">
        <f t="shared" si="105"/>
        <v>-179.4428431819756</v>
      </c>
      <c r="AC125">
        <f t="shared" si="106"/>
        <v>-61.599979008549795</v>
      </c>
      <c r="AD125">
        <f t="shared" si="107"/>
        <v>-233.34438003333776</v>
      </c>
      <c r="AE125" s="123">
        <f t="shared" si="108"/>
        <v>-126.54938558390556</v>
      </c>
      <c r="AF125" s="123">
        <f t="shared" si="109"/>
        <v>-412.78722321531336</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1"/>
        <v>26100</v>
      </c>
      <c r="AX125" t="str">
        <f t="shared" si="152"/>
        <v>0.001-4.54728503437566i</v>
      </c>
      <c r="AY125" t="str">
        <f t="shared" si="120"/>
        <v>0.00179225276549555-4.54728454789411i</v>
      </c>
      <c r="AZ125">
        <f t="shared" si="153"/>
        <v>-60.824356788431302</v>
      </c>
      <c r="BA125">
        <f t="shared" si="154"/>
        <v>-89.977436337880405</v>
      </c>
      <c r="BB125">
        <f t="shared" si="155"/>
        <v>-3.2257410523110502E-8</v>
      </c>
      <c r="BC125">
        <f t="shared" si="156"/>
        <v>1.9633527594877312E-3</v>
      </c>
      <c r="BD125" s="123">
        <f t="shared" si="121"/>
        <v>-46.892724339993656</v>
      </c>
      <c r="BE125" s="123">
        <f t="shared" si="122"/>
        <v>-176.99164990353316</v>
      </c>
      <c r="BF125">
        <f t="shared" si="123"/>
        <v>-86.455161224878609</v>
      </c>
      <c r="BG125">
        <f t="shared" si="124"/>
        <v>-257.76847886601365</v>
      </c>
      <c r="BH125" s="123">
        <f t="shared" si="125"/>
        <v>-133.34788556487226</v>
      </c>
      <c r="BI125" s="123">
        <f t="shared" si="126"/>
        <v>-434.76012876954678</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c r="BU125" s="123">
        <f t="shared" si="134"/>
        <v>0</v>
      </c>
      <c r="BV125" s="123">
        <f t="shared" si="135"/>
        <v>0</v>
      </c>
      <c r="BX125" s="123">
        <f t="shared" si="136"/>
        <v>0</v>
      </c>
      <c r="BY125" s="123"/>
    </row>
    <row r="126" spans="5:77" x14ac:dyDescent="0.25">
      <c r="E126">
        <v>115</v>
      </c>
      <c r="F126">
        <v>4000000</v>
      </c>
      <c r="G126" s="58">
        <f t="shared" si="137"/>
        <v>-49.218796114467594</v>
      </c>
      <c r="H126" s="58">
        <f t="shared" si="138"/>
        <v>-177.37163634889529</v>
      </c>
      <c r="I126">
        <f t="shared" si="139"/>
        <v>-18.058552430781653</v>
      </c>
      <c r="J126">
        <f t="shared" si="140"/>
        <v>-2.1433847976017613</v>
      </c>
      <c r="K126" t="str">
        <f t="shared" si="141"/>
        <v>655.813569615021-1742.63146893589i</v>
      </c>
      <c r="L126" t="str">
        <f t="shared" si="142"/>
        <v>1000000-39788.744050787i</v>
      </c>
      <c r="M126" t="str">
        <f t="shared" si="143"/>
        <v>130458.175822071-676.125774348779i</v>
      </c>
      <c r="N126">
        <f t="shared" si="99"/>
        <v>-36.955100498862869</v>
      </c>
      <c r="O126">
        <f t="shared" si="144"/>
        <v>-68.320070626207809</v>
      </c>
      <c r="P126" t="str">
        <f t="shared" si="145"/>
        <v>-846.56902235717i</v>
      </c>
      <c r="Q126" t="str">
        <f t="shared" si="146"/>
        <v>5900-3.31572867089892i</v>
      </c>
      <c r="R126" t="str">
        <f t="shared" si="100"/>
        <v>119.001760651756-829.427025454895i</v>
      </c>
      <c r="S126" t="str">
        <f t="shared" si="147"/>
        <v>3.95786022620101-19894.3712380021i</v>
      </c>
      <c r="T126" t="str">
        <f t="shared" si="101"/>
        <v>109.66939860956-796.858899350065i</v>
      </c>
      <c r="U126" t="str">
        <f t="shared" si="102"/>
        <v>0.00249376558603491-0.0498753117206982i</v>
      </c>
      <c r="V126">
        <f t="shared" si="148"/>
        <v>-27.922323844911393</v>
      </c>
      <c r="W126">
        <f t="shared" si="149"/>
        <v>-169.30140508752305</v>
      </c>
      <c r="X126">
        <f t="shared" si="103"/>
        <v>-26.031443726201829</v>
      </c>
      <c r="Y126">
        <f t="shared" si="150"/>
        <v>-87.137612902353865</v>
      </c>
      <c r="AA126" s="123">
        <f t="shared" si="104"/>
        <v>-67.277348545249254</v>
      </c>
      <c r="AB126" s="123">
        <f t="shared" si="105"/>
        <v>-179.51502114649705</v>
      </c>
      <c r="AC126">
        <f t="shared" si="106"/>
        <v>-64.877424343774265</v>
      </c>
      <c r="AD126">
        <f t="shared" si="107"/>
        <v>-237.62147571373086</v>
      </c>
      <c r="AE126" s="123">
        <f t="shared" si="108"/>
        <v>-132.15477288902352</v>
      </c>
      <c r="AF126" s="123">
        <f t="shared" si="109"/>
        <v>-417.13649686022791</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1"/>
        <v>26100</v>
      </c>
      <c r="AX126" t="str">
        <f t="shared" si="152"/>
        <v>0.001-3.9788744050787i</v>
      </c>
      <c r="AY126" t="str">
        <f t="shared" si="120"/>
        <v>0.00160656851891798-3.97887400771439i</v>
      </c>
      <c r="AZ126">
        <f t="shared" si="153"/>
        <v>-61.984195632793195</v>
      </c>
      <c r="BA126">
        <f t="shared" si="154"/>
        <v>-89.976884136246639</v>
      </c>
      <c r="BB126">
        <f t="shared" si="155"/>
        <v>-2.4697043623119473E-8</v>
      </c>
      <c r="BC126">
        <f t="shared" si="156"/>
        <v>1.7179336693328088E-3</v>
      </c>
      <c r="BD126" s="123">
        <f t="shared" si="121"/>
        <v>-49.218796139164638</v>
      </c>
      <c r="BE126" s="123">
        <f t="shared" si="122"/>
        <v>-177.36991841522595</v>
      </c>
      <c r="BF126">
        <f t="shared" si="123"/>
        <v>-89.906519477704592</v>
      </c>
      <c r="BG126">
        <f t="shared" si="124"/>
        <v>-259.27828922376966</v>
      </c>
      <c r="BH126" s="123">
        <f t="shared" si="125"/>
        <v>-139.12531561686922</v>
      </c>
      <c r="BI126" s="123">
        <f t="shared" si="126"/>
        <v>-436.64820763899559</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c r="BU126" s="123">
        <f t="shared" si="134"/>
        <v>0</v>
      </c>
      <c r="BV126" s="123">
        <f t="shared" si="135"/>
        <v>0</v>
      </c>
      <c r="BX126" s="123">
        <f t="shared" si="136"/>
        <v>0</v>
      </c>
      <c r="BY126" s="123"/>
    </row>
    <row r="127" spans="5:77" x14ac:dyDescent="0.25">
      <c r="E127">
        <v>116</v>
      </c>
      <c r="F127">
        <v>4500000</v>
      </c>
      <c r="G127" s="58">
        <f t="shared" si="137"/>
        <v>-51.269280859548012</v>
      </c>
      <c r="H127" s="58">
        <f t="shared" si="138"/>
        <v>-177.66503245987693</v>
      </c>
      <c r="I127">
        <f t="shared" si="139"/>
        <v>-18.059835073991611</v>
      </c>
      <c r="J127">
        <f t="shared" si="140"/>
        <v>-1.9054190876396098</v>
      </c>
      <c r="K127" t="str">
        <f t="shared" si="141"/>
        <v>532.025980304993-1590.41519700422i</v>
      </c>
      <c r="L127" t="str">
        <f t="shared" si="142"/>
        <v>1000000-35367.7724895884i</v>
      </c>
      <c r="M127" t="str">
        <f t="shared" si="143"/>
        <v>130453.270774725-601.15154100444i</v>
      </c>
      <c r="N127">
        <f t="shared" si="99"/>
        <v>-37.854784264361506</v>
      </c>
      <c r="O127">
        <f t="shared" si="144"/>
        <v>-70.545337530395898</v>
      </c>
      <c r="P127" t="str">
        <f t="shared" si="145"/>
        <v>-752.505797650818i</v>
      </c>
      <c r="Q127" t="str">
        <f t="shared" si="146"/>
        <v>5900-2.94731437413237i</v>
      </c>
      <c r="R127" t="str">
        <f t="shared" si="100"/>
        <v>94.428953282006-740.414840596217i</v>
      </c>
      <c r="S127" t="str">
        <f t="shared" si="147"/>
        <v>3.12719822939452-17683.885691784i</v>
      </c>
      <c r="T127" t="str">
        <f t="shared" si="101"/>
        <v>86.994543915375-711.10449688061i</v>
      </c>
      <c r="U127" t="str">
        <f t="shared" si="102"/>
        <v>0.0019714144898965-0.0443568260226713i</v>
      </c>
      <c r="V127">
        <f t="shared" si="148"/>
        <v>-29.949035427251832</v>
      </c>
      <c r="W127">
        <f t="shared" si="149"/>
        <v>-170.48048279371221</v>
      </c>
      <c r="X127">
        <f t="shared" si="103"/>
        <v>-27.052220557053829</v>
      </c>
      <c r="Y127">
        <f t="shared" si="150"/>
        <v>-87.4552138147275</v>
      </c>
      <c r="AA127" s="123">
        <f t="shared" si="104"/>
        <v>-69.329115933539626</v>
      </c>
      <c r="AB127" s="123">
        <f t="shared" si="105"/>
        <v>-179.57045154751654</v>
      </c>
      <c r="AC127">
        <f t="shared" si="106"/>
        <v>-67.803819691613342</v>
      </c>
      <c r="AD127">
        <f t="shared" si="107"/>
        <v>-241.02582032410811</v>
      </c>
      <c r="AE127" s="123">
        <f t="shared" si="108"/>
        <v>-137.13293562515298</v>
      </c>
      <c r="AF127" s="123">
        <f t="shared" si="109"/>
        <v>-420.59627187162465</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1"/>
        <v>26100</v>
      </c>
      <c r="AX127" t="str">
        <f t="shared" si="152"/>
        <v>0.001-3.53677724895884i</v>
      </c>
      <c r="AY127" t="str">
        <f t="shared" si="120"/>
        <v>0.00147926400924393-3.53677691299699i</v>
      </c>
      <c r="AZ127">
        <f t="shared" si="153"/>
        <v>-63.00724598769051</v>
      </c>
      <c r="BA127">
        <f t="shared" si="154"/>
        <v>-89.976054646143496</v>
      </c>
      <c r="BB127">
        <f t="shared" si="155"/>
        <v>-1.9513747797087921E-8</v>
      </c>
      <c r="BC127">
        <f t="shared" si="156"/>
        <v>1.5270521534165467E-3</v>
      </c>
      <c r="BD127" s="123">
        <f t="shared" si="121"/>
        <v>-51.26928087906176</v>
      </c>
      <c r="BE127" s="123">
        <f t="shared" si="122"/>
        <v>-177.66350540772351</v>
      </c>
      <c r="BF127">
        <f t="shared" si="123"/>
        <v>-92.956281414942339</v>
      </c>
      <c r="BG127">
        <f t="shared" si="124"/>
        <v>-260.45653743985571</v>
      </c>
      <c r="BH127" s="123">
        <f t="shared" si="125"/>
        <v>-144.22556229400411</v>
      </c>
      <c r="BI127" s="123">
        <f t="shared" si="126"/>
        <v>-438.12004284757921</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c r="BU127" s="123">
        <f t="shared" si="134"/>
        <v>0</v>
      </c>
      <c r="BV127" s="123">
        <f t="shared" si="135"/>
        <v>0</v>
      </c>
      <c r="BX127" s="123">
        <f t="shared" si="136"/>
        <v>0</v>
      </c>
      <c r="BY127" s="123"/>
    </row>
    <row r="128" spans="5:77" x14ac:dyDescent="0.25">
      <c r="E128">
        <v>117</v>
      </c>
      <c r="F128">
        <v>5000000</v>
      </c>
      <c r="G128" s="58">
        <f t="shared" si="137"/>
        <v>-53.102716314423546</v>
      </c>
      <c r="H128" s="58">
        <f t="shared" si="138"/>
        <v>-177.89940240315687</v>
      </c>
      <c r="I128">
        <f t="shared" si="139"/>
        <v>-18.060752773586117</v>
      </c>
      <c r="J128">
        <f t="shared" si="140"/>
        <v>-1.7149983441798546</v>
      </c>
      <c r="K128" t="str">
        <f t="shared" si="141"/>
        <v>439.342099942175-1459.27784293378i</v>
      </c>
      <c r="L128" t="str">
        <f t="shared" si="142"/>
        <v>1000000-31830.9952406296i</v>
      </c>
      <c r="M128" t="str">
        <f t="shared" si="143"/>
        <v>130449.760712358-541.133542363572i</v>
      </c>
      <c r="N128">
        <f t="shared" si="99"/>
        <v>-38.67950200991978</v>
      </c>
      <c r="O128">
        <f t="shared" si="144"/>
        <v>-72.369041632253087</v>
      </c>
      <c r="P128" t="str">
        <f t="shared" si="145"/>
        <v>-677.255217885736i</v>
      </c>
      <c r="Q128" t="str">
        <f t="shared" si="146"/>
        <v>5900-2.65258293671913i</v>
      </c>
      <c r="R128" t="str">
        <f t="shared" si="100"/>
        <v>76.7225915323758-668.413813058248i</v>
      </c>
      <c r="S128" t="str">
        <f t="shared" si="147"/>
        <v>2.53303058086002-15915.4972171704i</v>
      </c>
      <c r="T128" t="str">
        <f t="shared" si="101"/>
        <v>70.6651820757913-641.799418396702i</v>
      </c>
      <c r="U128" t="str">
        <f t="shared" si="102"/>
        <v>0.00159744408945687-0.0399361022364217i</v>
      </c>
      <c r="V128">
        <f t="shared" si="148"/>
        <v>-31.765423741096651</v>
      </c>
      <c r="W128">
        <f t="shared" si="149"/>
        <v>-171.42619567021896</v>
      </c>
      <c r="X128">
        <f t="shared" si="103"/>
        <v>-27.965743332104299</v>
      </c>
      <c r="Y128">
        <f t="shared" si="150"/>
        <v>-87.709408204785703</v>
      </c>
      <c r="AA128" s="123">
        <f t="shared" si="104"/>
        <v>-71.163469088009663</v>
      </c>
      <c r="AB128" s="123">
        <f t="shared" si="105"/>
        <v>-179.61440074733673</v>
      </c>
      <c r="AC128">
        <f t="shared" si="106"/>
        <v>-70.444925751016427</v>
      </c>
      <c r="AD128">
        <f t="shared" si="107"/>
        <v>-243.79523730247206</v>
      </c>
      <c r="AE128" s="123">
        <f t="shared" si="108"/>
        <v>-141.60839483902609</v>
      </c>
      <c r="AF128" s="123">
        <f t="shared" si="109"/>
        <v>-423.40963804980879</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1"/>
        <v>26100</v>
      </c>
      <c r="AX128" t="str">
        <f t="shared" si="152"/>
        <v>0.001-3.18309952406296i</v>
      </c>
      <c r="AY128" t="str">
        <f t="shared" si="120"/>
        <v>0.0013882038415623-3.1830992328028i</v>
      </c>
      <c r="AZ128">
        <f t="shared" si="153"/>
        <v>-63.922395702311974</v>
      </c>
      <c r="BA128">
        <f t="shared" si="154"/>
        <v>-89.975031054121885</v>
      </c>
      <c r="BB128">
        <f t="shared" si="155"/>
        <v>-1.5806113118075171E-8</v>
      </c>
      <c r="BC128">
        <f t="shared" si="156"/>
        <v>1.374346939937742E-3</v>
      </c>
      <c r="BD128" s="123">
        <f t="shared" si="121"/>
        <v>-53.102716330229661</v>
      </c>
      <c r="BE128" s="123">
        <f t="shared" si="122"/>
        <v>-177.89802805621693</v>
      </c>
      <c r="BF128">
        <f t="shared" si="123"/>
        <v>-95.687819443408628</v>
      </c>
      <c r="BG128">
        <f t="shared" si="124"/>
        <v>-261.40122672434086</v>
      </c>
      <c r="BH128" s="123">
        <f t="shared" si="125"/>
        <v>-148.79053577363828</v>
      </c>
      <c r="BI128" s="123">
        <f t="shared" si="126"/>
        <v>-439.29925478055782</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c r="BU128" s="123">
        <f t="shared" si="134"/>
        <v>0</v>
      </c>
      <c r="BV128" s="123">
        <f t="shared" si="135"/>
        <v>0</v>
      </c>
      <c r="BX128" s="123">
        <f t="shared" si="136"/>
        <v>0</v>
      </c>
      <c r="BY128" s="123"/>
    </row>
    <row r="129" spans="5:77" x14ac:dyDescent="0.25">
      <c r="E129">
        <v>118</v>
      </c>
      <c r="F129">
        <v>5500000</v>
      </c>
      <c r="G129" s="58">
        <f t="shared" si="137"/>
        <v>-54.760743930485873</v>
      </c>
      <c r="H129" s="58">
        <f t="shared" si="138"/>
        <v>-178.09095372667082</v>
      </c>
      <c r="I129">
        <f t="shared" si="139"/>
        <v>-18.061431892341741</v>
      </c>
      <c r="J129">
        <f t="shared" si="140"/>
        <v>-1.5591709205297972</v>
      </c>
      <c r="K129" t="str">
        <f t="shared" si="141"/>
        <v>368.406486434415-1346.03117982398i</v>
      </c>
      <c r="L129" t="str">
        <f t="shared" si="142"/>
        <v>1000000-28937.2684005724i</v>
      </c>
      <c r="M129" t="str">
        <f t="shared" si="143"/>
        <v>130447.162851647-492.004953525704i</v>
      </c>
      <c r="N129">
        <f t="shared" si="99"/>
        <v>-39.43921944009972</v>
      </c>
      <c r="O129">
        <f t="shared" si="144"/>
        <v>-73.888137146886294</v>
      </c>
      <c r="P129" t="str">
        <f t="shared" si="145"/>
        <v>-615.686561714305i</v>
      </c>
      <c r="Q129" t="str">
        <f t="shared" si="146"/>
        <v>5900-2.41143903338103i</v>
      </c>
      <c r="R129" t="str">
        <f t="shared" si="100"/>
        <v>63.5516535234664-609.028739682599i</v>
      </c>
      <c r="S129" t="str">
        <f t="shared" si="147"/>
        <v>2.0934137123931-14468.6338973978i</v>
      </c>
      <c r="T129" t="str">
        <f t="shared" si="101"/>
        <v>58.5236313932938-584.674350890165i</v>
      </c>
      <c r="U129" t="str">
        <f t="shared" si="102"/>
        <v>0.00132056784417299-0.0363156157147573i</v>
      </c>
      <c r="V129">
        <f t="shared" si="148"/>
        <v>-33.410815541598105</v>
      </c>
      <c r="W129">
        <f t="shared" si="149"/>
        <v>-172.20142496898183</v>
      </c>
      <c r="X129">
        <f t="shared" si="103"/>
        <v>-28.792392820048946</v>
      </c>
      <c r="Y129">
        <f t="shared" si="150"/>
        <v>-87.917453010975848</v>
      </c>
      <c r="AA129" s="123">
        <f t="shared" si="104"/>
        <v>-72.822175822827617</v>
      </c>
      <c r="AB129" s="123">
        <f t="shared" si="105"/>
        <v>-179.65012464720061</v>
      </c>
      <c r="AC129">
        <f t="shared" si="106"/>
        <v>-72.850034981697831</v>
      </c>
      <c r="AD129">
        <f t="shared" si="107"/>
        <v>-246.08956211586812</v>
      </c>
      <c r="AE129" s="123">
        <f t="shared" si="108"/>
        <v>-145.67221080452543</v>
      </c>
      <c r="AF129" s="123">
        <f t="shared" si="109"/>
        <v>-425.73968676306873</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1"/>
        <v>26100</v>
      </c>
      <c r="AX129" t="str">
        <f t="shared" si="152"/>
        <v>0.001-2.89372684005724i</v>
      </c>
      <c r="AY129" t="str">
        <f t="shared" si="120"/>
        <v>0.00132082961530448-2.89372658274511i</v>
      </c>
      <c r="AZ129">
        <f t="shared" si="153"/>
        <v>-64.75024930425306</v>
      </c>
      <c r="BA129">
        <f t="shared" si="154"/>
        <v>-89.973866297079937</v>
      </c>
      <c r="BB129">
        <f t="shared" si="155"/>
        <v>-1.3062907162979215E-8</v>
      </c>
      <c r="BC129">
        <f t="shared" si="156"/>
        <v>1.2494063102915117E-3</v>
      </c>
      <c r="BD129" s="123">
        <f t="shared" si="121"/>
        <v>-54.760743943548782</v>
      </c>
      <c r="BE129" s="123">
        <f t="shared" si="122"/>
        <v>-178.08970432036054</v>
      </c>
      <c r="BF129">
        <f t="shared" si="123"/>
        <v>-98.161064845851172</v>
      </c>
      <c r="BG129">
        <f t="shared" si="124"/>
        <v>-262.17529126606178</v>
      </c>
      <c r="BH129" s="123">
        <f t="shared" si="125"/>
        <v>-152.92180878939996</v>
      </c>
      <c r="BI129" s="123">
        <f t="shared" si="126"/>
        <v>-440.26499558642229</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c r="BU129" s="123">
        <f t="shared" si="134"/>
        <v>0</v>
      </c>
      <c r="BV129" s="123">
        <f t="shared" si="135"/>
        <v>0</v>
      </c>
      <c r="BX129" s="123">
        <f t="shared" si="136"/>
        <v>0</v>
      </c>
      <c r="BY129" s="123"/>
    </row>
    <row r="130" spans="5:77" x14ac:dyDescent="0.25">
      <c r="E130">
        <v>119</v>
      </c>
      <c r="F130">
        <v>6000000</v>
      </c>
      <c r="G130" s="58">
        <f t="shared" si="137"/>
        <v>-56.274051102878957</v>
      </c>
      <c r="H130" s="58">
        <f t="shared" si="138"/>
        <v>-178.25045139024979</v>
      </c>
      <c r="I130">
        <f t="shared" si="139"/>
        <v>-18.061948488962468</v>
      </c>
      <c r="J130">
        <f t="shared" si="140"/>
        <v>-1.4292968533539721</v>
      </c>
      <c r="K130" t="str">
        <f t="shared" si="141"/>
        <v>313.048349310927-1247.75072539569i</v>
      </c>
      <c r="L130" t="str">
        <f t="shared" si="142"/>
        <v>1000000-26525.8293671913i</v>
      </c>
      <c r="M130" t="str">
        <f t="shared" si="143"/>
        <v>130445.186503223-451.050127063269i</v>
      </c>
      <c r="N130">
        <f t="shared" si="99"/>
        <v>-40.142445899680183</v>
      </c>
      <c r="O130">
        <f t="shared" si="144"/>
        <v>-75.171440803956671</v>
      </c>
      <c r="P130" t="str">
        <f t="shared" si="145"/>
        <v>-564.379348238113i</v>
      </c>
      <c r="Q130" t="str">
        <f t="shared" si="146"/>
        <v>5900-2.21048578059928i</v>
      </c>
      <c r="R130" t="str">
        <f t="shared" si="100"/>
        <v>53.4937975418488-559.24222249739i</v>
      </c>
      <c r="S130" t="str">
        <f t="shared" si="147"/>
        <v>1.75904902810085-13262.9144502945i</v>
      </c>
      <c r="T130" t="str">
        <f t="shared" si="101"/>
        <v>49.254785739752-536.805456523846i</v>
      </c>
      <c r="U130" t="str">
        <f t="shared" si="102"/>
        <v>0.00110987791342952-0.0332963374028857i</v>
      </c>
      <c r="V130">
        <f t="shared" si="148"/>
        <v>-34.914499067854699</v>
      </c>
      <c r="W130">
        <f t="shared" si="149"/>
        <v>-172.84836726389665</v>
      </c>
      <c r="X130">
        <f t="shared" si="103"/>
        <v>-29.547247909790624</v>
      </c>
      <c r="Y130">
        <f t="shared" si="150"/>
        <v>-88.090865893787893</v>
      </c>
      <c r="AA130" s="123">
        <f t="shared" si="104"/>
        <v>-74.335999591841428</v>
      </c>
      <c r="AB130" s="123">
        <f t="shared" si="105"/>
        <v>-179.67974824360377</v>
      </c>
      <c r="AC130">
        <f t="shared" si="106"/>
        <v>-75.056944967534889</v>
      </c>
      <c r="AD130">
        <f t="shared" si="107"/>
        <v>-248.01980806785332</v>
      </c>
      <c r="AE130" s="123">
        <f t="shared" si="108"/>
        <v>-149.3929445593763</v>
      </c>
      <c r="AF130" s="123">
        <f t="shared" si="109"/>
        <v>-427.69955631145706</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1"/>
        <v>26100</v>
      </c>
      <c r="AX130" t="str">
        <f t="shared" si="152"/>
        <v>0.001-2.65258293671913i</v>
      </c>
      <c r="AY130" t="str">
        <f t="shared" si="120"/>
        <v>0.00126958599060302-2.65258270605764i</v>
      </c>
      <c r="AZ130">
        <f t="shared" si="153"/>
        <v>-65.506020414929168</v>
      </c>
      <c r="BA130">
        <f t="shared" si="154"/>
        <v>-89.97259566628459</v>
      </c>
      <c r="BB130">
        <f t="shared" si="155"/>
        <v>-1.0976460287960732E-8</v>
      </c>
      <c r="BC130">
        <f t="shared" si="156"/>
        <v>1.1452891186529543E-3</v>
      </c>
      <c r="BD130" s="123">
        <f t="shared" si="121"/>
        <v>-56.274051113855414</v>
      </c>
      <c r="BE130" s="123">
        <f t="shared" si="122"/>
        <v>-178.24930610113114</v>
      </c>
      <c r="BF130">
        <f t="shared" si="123"/>
        <v>-100.42051948278387</v>
      </c>
      <c r="BG130">
        <f t="shared" si="124"/>
        <v>-262.82096293018122</v>
      </c>
      <c r="BH130" s="123">
        <f t="shared" si="125"/>
        <v>-156.69457059663929</v>
      </c>
      <c r="BI130" s="123">
        <f t="shared" si="126"/>
        <v>-441.07026903131236</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c r="BU130" s="123">
        <f t="shared" si="134"/>
        <v>0</v>
      </c>
      <c r="BV130" s="123">
        <f t="shared" si="135"/>
        <v>0</v>
      </c>
      <c r="BX130" s="123">
        <f t="shared" si="136"/>
        <v>0</v>
      </c>
      <c r="BY130" s="123"/>
    </row>
    <row r="131" spans="5:77" x14ac:dyDescent="0.25">
      <c r="E131">
        <v>120</v>
      </c>
      <c r="F131">
        <v>6500000</v>
      </c>
      <c r="G131" s="58">
        <f t="shared" si="137"/>
        <v>-57.665908749389999</v>
      </c>
      <c r="H131" s="58">
        <f t="shared" si="138"/>
        <v>-178.38532747525255</v>
      </c>
      <c r="I131">
        <f t="shared" si="139"/>
        <v>-18.062350565131965</v>
      </c>
      <c r="J131">
        <f t="shared" si="140"/>
        <v>-1.3193917810032803</v>
      </c>
      <c r="K131" t="str">
        <f t="shared" si="141"/>
        <v>269.096737692628-1161.94869343046i</v>
      </c>
      <c r="L131" t="str">
        <f t="shared" si="142"/>
        <v>1000000-24485.3809543305i</v>
      </c>
      <c r="M131" t="str">
        <f t="shared" si="143"/>
        <v>130443.648162953-416.386717223496i</v>
      </c>
      <c r="N131">
        <f t="shared" si="99"/>
        <v>-40.796353640830304</v>
      </c>
      <c r="O131">
        <f t="shared" si="144"/>
        <v>-76.268905868833428</v>
      </c>
      <c r="P131" t="str">
        <f t="shared" si="145"/>
        <v>-520.965552219797i</v>
      </c>
      <c r="Q131" t="str">
        <f t="shared" si="146"/>
        <v>5900-2.04044841286087i</v>
      </c>
      <c r="R131" t="str">
        <f t="shared" si="100"/>
        <v>45.6422112626052-516.919594529545i</v>
      </c>
      <c r="S131" t="str">
        <f t="shared" si="147"/>
        <v>1.49883467873166-12242.6902936675i</v>
      </c>
      <c r="T131" t="str">
        <f t="shared" si="101"/>
        <v>42.0208962802691-496.127942538603i</v>
      </c>
      <c r="U131" t="str">
        <f t="shared" si="102"/>
        <v>0.000945850082761882-0.0307401276897612i</v>
      </c>
      <c r="V131">
        <f t="shared" si="148"/>
        <v>-36.298859414478891</v>
      </c>
      <c r="W131">
        <f t="shared" si="149"/>
        <v>-173.39637876711916</v>
      </c>
      <c r="X131">
        <f t="shared" si="103"/>
        <v>-30.241776938189375</v>
      </c>
      <c r="Y131">
        <f t="shared" si="150"/>
        <v>-88.237627333656604</v>
      </c>
      <c r="AA131" s="123">
        <f t="shared" si="104"/>
        <v>-75.728259314521964</v>
      </c>
      <c r="AB131" s="123">
        <f t="shared" si="105"/>
        <v>-179.70471925625583</v>
      </c>
      <c r="AC131">
        <f t="shared" si="106"/>
        <v>-77.095213055309188</v>
      </c>
      <c r="AD131">
        <f t="shared" si="107"/>
        <v>-249.66528463595259</v>
      </c>
      <c r="AE131" s="123">
        <f t="shared" si="108"/>
        <v>-152.82347236983117</v>
      </c>
      <c r="AF131" s="123">
        <f t="shared" si="109"/>
        <v>-429.37000389220839</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1"/>
        <v>26100</v>
      </c>
      <c r="AX131" t="str">
        <f t="shared" si="152"/>
        <v>0.001-2.44853809543305i</v>
      </c>
      <c r="AY131" t="str">
        <f t="shared" si="120"/>
        <v>0.00122970640087749-2.44853788625601i</v>
      </c>
      <c r="AZ131">
        <f t="shared" si="153"/>
        <v>-66.20126242631973</v>
      </c>
      <c r="BA131">
        <f t="shared" si="154"/>
        <v>-89.971243594152725</v>
      </c>
      <c r="BB131">
        <f t="shared" si="155"/>
        <v>-9.3527064113287929E-9</v>
      </c>
      <c r="BC131">
        <f t="shared" si="156"/>
        <v>1.0571899563107099E-3</v>
      </c>
      <c r="BD131" s="123">
        <f t="shared" si="121"/>
        <v>-57.665908758742702</v>
      </c>
      <c r="BE131" s="123">
        <f t="shared" si="122"/>
        <v>-178.38427028529625</v>
      </c>
      <c r="BF131">
        <f t="shared" si="123"/>
        <v>-102.50012184079861</v>
      </c>
      <c r="BG131">
        <f t="shared" si="124"/>
        <v>-263.36762236127186</v>
      </c>
      <c r="BH131" s="123">
        <f t="shared" si="125"/>
        <v>-160.16603059954133</v>
      </c>
      <c r="BI131" s="123">
        <f t="shared" si="126"/>
        <v>-441.75189264656808</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c r="BU131" s="123">
        <f t="shared" si="134"/>
        <v>0</v>
      </c>
      <c r="BV131" s="123">
        <f t="shared" si="135"/>
        <v>0</v>
      </c>
      <c r="BX131" s="123">
        <f t="shared" si="136"/>
        <v>0</v>
      </c>
      <c r="BY131" s="123"/>
    </row>
    <row r="132" spans="5:77" x14ac:dyDescent="0.25">
      <c r="E132">
        <v>121</v>
      </c>
      <c r="F132">
        <v>7000000</v>
      </c>
      <c r="G132" s="58">
        <f t="shared" si="137"/>
        <v>-58.954385841855924</v>
      </c>
      <c r="H132" s="58">
        <f t="shared" si="138"/>
        <v>-178.5008793935161</v>
      </c>
      <c r="I132">
        <f t="shared" si="139"/>
        <v>-18.06266962675322</v>
      </c>
      <c r="J132">
        <f t="shared" si="140"/>
        <v>-1.2251796041476235</v>
      </c>
      <c r="K132" t="str">
        <f t="shared" si="141"/>
        <v>233.665824936281-1086.57172949129i</v>
      </c>
      <c r="L132" t="str">
        <f t="shared" si="142"/>
        <v>1000000-22736.4251718783i</v>
      </c>
      <c r="M132" t="str">
        <f t="shared" si="143"/>
        <v>130442.427364813-386.668945011754i</v>
      </c>
      <c r="N132">
        <f t="shared" si="99"/>
        <v>-41.4069689276064</v>
      </c>
      <c r="O132">
        <f t="shared" si="144"/>
        <v>-77.217545000570226</v>
      </c>
      <c r="P132" t="str">
        <f t="shared" si="145"/>
        <v>-483.75372706124i</v>
      </c>
      <c r="Q132" t="str">
        <f t="shared" si="146"/>
        <v>5900-1.89470209765652i</v>
      </c>
      <c r="R132" t="str">
        <f t="shared" si="100"/>
        <v>39.3970775601219-480.510823869626i</v>
      </c>
      <c r="S132" t="str">
        <f t="shared" si="147"/>
        <v>1.29236255728903-11368.2124390206i</v>
      </c>
      <c r="T132" t="str">
        <f t="shared" si="101"/>
        <v>36.26818004185-461.144531811606i</v>
      </c>
      <c r="U132" t="str">
        <f t="shared" si="102"/>
        <v>0.000815660685154975-0.0285481239804241i</v>
      </c>
      <c r="V132">
        <f t="shared" si="148"/>
        <v>-37.581382733932841</v>
      </c>
      <c r="W132">
        <f t="shared" si="149"/>
        <v>-173.86650689074722</v>
      </c>
      <c r="X132">
        <f t="shared" si="103"/>
        <v>-30.884904701823977</v>
      </c>
      <c r="Y132">
        <f t="shared" si="150"/>
        <v>-88.363441341875244</v>
      </c>
      <c r="AA132" s="123">
        <f t="shared" si="104"/>
        <v>-77.017055468609144</v>
      </c>
      <c r="AB132" s="123">
        <f t="shared" si="105"/>
        <v>-179.72605899766373</v>
      </c>
      <c r="AC132">
        <f t="shared" si="106"/>
        <v>-78.988351661539241</v>
      </c>
      <c r="AD132">
        <f t="shared" si="107"/>
        <v>-251.08405189131744</v>
      </c>
      <c r="AE132" s="123">
        <f t="shared" si="108"/>
        <v>-156.0054071301484</v>
      </c>
      <c r="AF132" s="123">
        <f t="shared" si="109"/>
        <v>-430.81011088898117</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1"/>
        <v>26100</v>
      </c>
      <c r="AX132" t="str">
        <f t="shared" si="152"/>
        <v>0.001-2.27364251718783i</v>
      </c>
      <c r="AY132" t="str">
        <f t="shared" si="120"/>
        <v>0.00119806316714734-2.27364232570853i</v>
      </c>
      <c r="AZ132">
        <f t="shared" si="153"/>
        <v>-66.844955972752032</v>
      </c>
      <c r="BA132">
        <f t="shared" si="154"/>
        <v>-89.969827532411813</v>
      </c>
      <c r="BB132">
        <f t="shared" si="155"/>
        <v>-8.064404452148065E-9</v>
      </c>
      <c r="BC132">
        <f t="shared" si="156"/>
        <v>9.8167638845642166E-4</v>
      </c>
      <c r="BD132" s="123">
        <f t="shared" si="121"/>
        <v>-58.954385849920328</v>
      </c>
      <c r="BE132" s="123">
        <f t="shared" si="122"/>
        <v>-178.49989771712765</v>
      </c>
      <c r="BF132">
        <f t="shared" si="123"/>
        <v>-104.42633870668487</v>
      </c>
      <c r="BG132">
        <f t="shared" si="124"/>
        <v>-263.83633442315903</v>
      </c>
      <c r="BH132" s="123">
        <f t="shared" si="125"/>
        <v>-163.3807245566052</v>
      </c>
      <c r="BI132" s="123">
        <f t="shared" si="126"/>
        <v>-442.33623214028671</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c r="BU132" s="123">
        <f t="shared" si="134"/>
        <v>0</v>
      </c>
      <c r="BV132" s="123">
        <f t="shared" si="135"/>
        <v>0</v>
      </c>
      <c r="BX132" s="123">
        <f t="shared" si="136"/>
        <v>0</v>
      </c>
      <c r="BY132" s="123"/>
    </row>
    <row r="133" spans="5:77" x14ac:dyDescent="0.25">
      <c r="E133">
        <v>122</v>
      </c>
      <c r="F133">
        <v>7500000</v>
      </c>
      <c r="G133" s="58">
        <f t="shared" si="137"/>
        <v>-60.153793944056765</v>
      </c>
      <c r="H133" s="58">
        <f t="shared" si="138"/>
        <v>-178.60098549073717</v>
      </c>
      <c r="I133">
        <f t="shared" si="139"/>
        <v>-18.062927046472584</v>
      </c>
      <c r="J133">
        <f t="shared" si="140"/>
        <v>-1.1435236248355696</v>
      </c>
      <c r="K133" t="str">
        <f t="shared" si="141"/>
        <v>204.715183145053-1019.94435855918i</v>
      </c>
      <c r="L133" t="str">
        <f t="shared" si="142"/>
        <v>1000000-21220.6634937531i</v>
      </c>
      <c r="M133" t="str">
        <f t="shared" si="143"/>
        <v>130441.442376084-360.909191095927i</v>
      </c>
      <c r="N133">
        <f t="shared" si="99"/>
        <v>-41.979363527191836</v>
      </c>
      <c r="O133">
        <f t="shared" si="144"/>
        <v>-78.045297207306604</v>
      </c>
      <c r="P133" t="str">
        <f t="shared" si="145"/>
        <v>-451.503478590491i</v>
      </c>
      <c r="Q133" t="str">
        <f t="shared" si="146"/>
        <v>5900-1.76838862447942i</v>
      </c>
      <c r="R133" t="str">
        <f t="shared" si="100"/>
        <v>34.3490265859083-448.864589197676i</v>
      </c>
      <c r="S133" t="str">
        <f t="shared" si="147"/>
        <v>1.12579138511369-10610.3316274263i</v>
      </c>
      <c r="T133" t="str">
        <f t="shared" si="101"/>
        <v>31.6188726943262-430.744247393874i</v>
      </c>
      <c r="U133" t="str">
        <f t="shared" si="102"/>
        <v>0.0007106057914372-0.026647717178895i</v>
      </c>
      <c r="V133">
        <f t="shared" si="148"/>
        <v>-38.775984472971686</v>
      </c>
      <c r="W133">
        <f t="shared" si="149"/>
        <v>-174.27423174612002</v>
      </c>
      <c r="X133">
        <f t="shared" si="103"/>
        <v>-31.4837125733224</v>
      </c>
      <c r="Y133">
        <f t="shared" si="150"/>
        <v>-88.472492963966587</v>
      </c>
      <c r="AA133" s="123">
        <f t="shared" si="104"/>
        <v>-78.216720990529353</v>
      </c>
      <c r="AB133" s="123">
        <f t="shared" si="105"/>
        <v>-179.74450911557275</v>
      </c>
      <c r="AC133">
        <f t="shared" si="106"/>
        <v>-80.755348000163522</v>
      </c>
      <c r="AD133">
        <f t="shared" si="107"/>
        <v>-252.31952895342664</v>
      </c>
      <c r="AE133" s="123">
        <f t="shared" si="108"/>
        <v>-158.97206899069289</v>
      </c>
      <c r="AF133" s="123">
        <f t="shared" si="109"/>
        <v>-432.06403806899937</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1"/>
        <v>26100</v>
      </c>
      <c r="AX133" t="str">
        <f t="shared" si="152"/>
        <v>0.001-2.12206634937531i</v>
      </c>
      <c r="AY133" t="str">
        <f t="shared" si="120"/>
        <v>0.00117253502083439-2.12206617273687i</v>
      </c>
      <c r="AZ133">
        <f t="shared" si="153"/>
        <v>-67.444220311750044</v>
      </c>
      <c r="BA133">
        <f t="shared" si="154"/>
        <v>-89.968360278996315</v>
      </c>
      <c r="BB133">
        <f t="shared" si="155"/>
        <v>-7.0250002341108954E-9</v>
      </c>
      <c r="BC133">
        <f t="shared" si="156"/>
        <v>9.1623129624810958E-4</v>
      </c>
      <c r="BD133" s="123">
        <f t="shared" si="121"/>
        <v>-60.153793951081767</v>
      </c>
      <c r="BE133" s="123">
        <f t="shared" si="122"/>
        <v>-178.60006925944091</v>
      </c>
      <c r="BF133">
        <f t="shared" si="123"/>
        <v>-106.22020478472173</v>
      </c>
      <c r="BG133">
        <f t="shared" si="124"/>
        <v>-264.24259202511632</v>
      </c>
      <c r="BH133" s="123">
        <f t="shared" si="125"/>
        <v>-166.3739987358035</v>
      </c>
      <c r="BI133" s="123">
        <f t="shared" si="126"/>
        <v>-442.84266128455727</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c r="BU133" s="123">
        <f t="shared" si="134"/>
        <v>0</v>
      </c>
      <c r="BV133" s="123">
        <f t="shared" si="135"/>
        <v>0</v>
      </c>
      <c r="BX133" s="123">
        <f t="shared" si="136"/>
        <v>0</v>
      </c>
      <c r="BY133" s="123"/>
    </row>
    <row r="134" spans="5:77" x14ac:dyDescent="0.25">
      <c r="E134">
        <v>123</v>
      </c>
      <c r="F134">
        <v>8000000</v>
      </c>
      <c r="G134" s="58">
        <f t="shared" si="137"/>
        <v>-61.275662426056968</v>
      </c>
      <c r="H134" s="58">
        <f t="shared" si="138"/>
        <v>-178.68855069149299</v>
      </c>
      <c r="I134">
        <f t="shared" si="139"/>
        <v>-18.063137737004883</v>
      </c>
      <c r="J134">
        <f t="shared" si="140"/>
        <v>-1.0720707866005998</v>
      </c>
      <c r="K134" t="str">
        <f t="shared" si="141"/>
        <v>180.77316991124-960.702947368248i</v>
      </c>
      <c r="L134" t="str">
        <f t="shared" si="142"/>
        <v>1000000-19894.3720253935i</v>
      </c>
      <c r="M134" t="str">
        <f t="shared" si="143"/>
        <v>130440.636161153-338.366313730471i</v>
      </c>
      <c r="N134">
        <f t="shared" si="99"/>
        <v>-42.517823215724022</v>
      </c>
      <c r="O134">
        <f t="shared" si="144"/>
        <v>-78.773608887197909</v>
      </c>
      <c r="P134" t="str">
        <f t="shared" si="145"/>
        <v>-423.284511178585i</v>
      </c>
      <c r="Q134" t="str">
        <f t="shared" si="146"/>
        <v>5900-1.65786433544946i</v>
      </c>
      <c r="R134" t="str">
        <f t="shared" si="100"/>
        <v>30.211039852611-421.108587273209i</v>
      </c>
      <c r="S134" t="str">
        <f t="shared" si="147"/>
        <v>0.989465085921487-9947.18591427282i</v>
      </c>
      <c r="T134" t="str">
        <f t="shared" si="101"/>
        <v>27.8082199107409-404.086047595599i</v>
      </c>
      <c r="U134" t="str">
        <f t="shared" si="102"/>
        <v>0.000624609618988132-0.0249843847595253i</v>
      </c>
      <c r="V134">
        <f t="shared" si="148"/>
        <v>-39.893917193718558</v>
      </c>
      <c r="W134">
        <f t="shared" si="149"/>
        <v>-174.63119062302854</v>
      </c>
      <c r="X134">
        <f t="shared" si="103"/>
        <v>-32.043913319192995</v>
      </c>
      <c r="Y134">
        <f t="shared" si="150"/>
        <v>-88.567922241868374</v>
      </c>
      <c r="AA134" s="123">
        <f t="shared" si="104"/>
        <v>-79.338800163061848</v>
      </c>
      <c r="AB134" s="123">
        <f t="shared" si="105"/>
        <v>-179.76062147809358</v>
      </c>
      <c r="AC134">
        <f t="shared" si="106"/>
        <v>-82.411740409442586</v>
      </c>
      <c r="AD134">
        <f t="shared" si="107"/>
        <v>-253.40479951022644</v>
      </c>
      <c r="AE134" s="123">
        <f t="shared" si="108"/>
        <v>-161.75054057250443</v>
      </c>
      <c r="AF134" s="123">
        <f t="shared" si="109"/>
        <v>-433.16542098832002</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1"/>
        <v>26100</v>
      </c>
      <c r="AX134" t="str">
        <f t="shared" si="152"/>
        <v>0.001-1.98943720253935i</v>
      </c>
      <c r="AY134" t="str">
        <f t="shared" si="120"/>
        <v>0.00115164210363701-1.98943703853335i</v>
      </c>
      <c r="AZ134">
        <f t="shared" si="153"/>
        <v>-68.004794647402747</v>
      </c>
      <c r="BA134">
        <f t="shared" si="154"/>
        <v>-89.966851432358013</v>
      </c>
      <c r="BB134">
        <f t="shared" si="155"/>
        <v>-6.1742348623549036E-9</v>
      </c>
      <c r="BC134">
        <f t="shared" si="156"/>
        <v>8.5896684050234488E-4</v>
      </c>
      <c r="BD134" s="123">
        <f t="shared" si="121"/>
        <v>-61.275662432231201</v>
      </c>
      <c r="BE134" s="123">
        <f t="shared" si="122"/>
        <v>-178.6876917246525</v>
      </c>
      <c r="BF134">
        <f t="shared" si="123"/>
        <v>-107.8987118411213</v>
      </c>
      <c r="BG134">
        <f t="shared" si="124"/>
        <v>-264.59804205538654</v>
      </c>
      <c r="BH134" s="123">
        <f t="shared" si="125"/>
        <v>-169.1743742733525</v>
      </c>
      <c r="BI134" s="123">
        <f t="shared" si="126"/>
        <v>-443.28573378003904</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c r="BU134" s="123">
        <f t="shared" si="134"/>
        <v>0</v>
      </c>
      <c r="BV134" s="123">
        <f t="shared" si="135"/>
        <v>0</v>
      </c>
      <c r="BX134" s="123">
        <f t="shared" si="136"/>
        <v>0</v>
      </c>
      <c r="BY134" s="123"/>
    </row>
    <row r="135" spans="5:77" x14ac:dyDescent="0.25">
      <c r="E135">
        <v>124</v>
      </c>
      <c r="F135">
        <v>8500000</v>
      </c>
      <c r="G135" s="58">
        <f t="shared" si="137"/>
        <v>-62.329416313238902</v>
      </c>
      <c r="H135" s="58">
        <f t="shared" si="138"/>
        <v>-178.76579403559739</v>
      </c>
      <c r="I135">
        <f t="shared" si="139"/>
        <v>-18.063312359909464</v>
      </c>
      <c r="J135">
        <f t="shared" si="140"/>
        <v>-1.0090213631808744</v>
      </c>
      <c r="K135" t="str">
        <f t="shared" si="141"/>
        <v>160.758976562664-907.735501306434i</v>
      </c>
      <c r="L135" t="str">
        <f t="shared" si="142"/>
        <v>1000000-18724.1148474292i</v>
      </c>
      <c r="M135" t="str">
        <f t="shared" si="143"/>
        <v>130439.967939574-318.473292798967i</v>
      </c>
      <c r="N135">
        <f t="shared" si="99"/>
        <v>-43.025988495907797</v>
      </c>
      <c r="O135">
        <f t="shared" si="144"/>
        <v>-79.419193375176832</v>
      </c>
      <c r="P135" t="str">
        <f t="shared" si="145"/>
        <v>-398.385422285727i</v>
      </c>
      <c r="Q135" t="str">
        <f t="shared" si="146"/>
        <v>5900-1.56034290395243i</v>
      </c>
      <c r="R135" t="str">
        <f t="shared" si="100"/>
        <v>26.7771156817945-396.570270756756i</v>
      </c>
      <c r="S135" t="str">
        <f t="shared" si="147"/>
        <v>0.876481184367102-9362.05734165792i</v>
      </c>
      <c r="T135" t="str">
        <f t="shared" si="101"/>
        <v>24.6462605862088-380.521918698275i</v>
      </c>
      <c r="U135" t="str">
        <f t="shared" si="102"/>
        <v>0.000553326877853092-0.0235163923087564i</v>
      </c>
      <c r="V135">
        <f t="shared" si="148"/>
        <v>-40.94440778034199</v>
      </c>
      <c r="W135">
        <f t="shared" si="149"/>
        <v>-174.94629952958039</v>
      </c>
      <c r="X135">
        <f t="shared" si="103"/>
        <v>-32.570182334190065</v>
      </c>
      <c r="Y135">
        <f t="shared" si="150"/>
        <v>-88.652131163353587</v>
      </c>
      <c r="AA135" s="123">
        <f t="shared" si="104"/>
        <v>-80.392728673148369</v>
      </c>
      <c r="AB135" s="123">
        <f t="shared" si="105"/>
        <v>-179.77481539877826</v>
      </c>
      <c r="AC135">
        <f t="shared" si="106"/>
        <v>-83.970396276249787</v>
      </c>
      <c r="AD135">
        <f t="shared" si="107"/>
        <v>-254.36549290475722</v>
      </c>
      <c r="AE135" s="123">
        <f t="shared" si="108"/>
        <v>-164.36312494939816</v>
      </c>
      <c r="AF135" s="123">
        <f t="shared" si="109"/>
        <v>-434.14030830353545</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1"/>
        <v>26100</v>
      </c>
      <c r="AX135" t="str">
        <f t="shared" si="152"/>
        <v>0.001-1.87241148474292i</v>
      </c>
      <c r="AY135" t="str">
        <f t="shared" si="120"/>
        <v>0.00113432656502581-1.87241133162654i</v>
      </c>
      <c r="AZ135">
        <f t="shared" si="153"/>
        <v>-68.531373277520217</v>
      </c>
      <c r="BA135">
        <f t="shared" si="154"/>
        <v>-89.965308332490324</v>
      </c>
      <c r="BB135">
        <f t="shared" si="155"/>
        <v>-5.4692266230148607E-9</v>
      </c>
      <c r="BC135">
        <f t="shared" si="156"/>
        <v>8.0843937950671402E-4</v>
      </c>
      <c r="BD135" s="123">
        <f t="shared" si="121"/>
        <v>-62.329416318708127</v>
      </c>
      <c r="BE135" s="123">
        <f t="shared" si="122"/>
        <v>-178.76498559621788</v>
      </c>
      <c r="BF135">
        <f t="shared" si="123"/>
        <v>-109.47578105786221</v>
      </c>
      <c r="BG135">
        <f t="shared" si="124"/>
        <v>-264.9116078620707</v>
      </c>
      <c r="BH135" s="123">
        <f t="shared" si="125"/>
        <v>-171.80519737657033</v>
      </c>
      <c r="BI135" s="123">
        <f t="shared" si="126"/>
        <v>-443.67659345828861</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c r="BU135" s="123">
        <f t="shared" si="134"/>
        <v>0</v>
      </c>
      <c r="BV135" s="123">
        <f t="shared" si="135"/>
        <v>0</v>
      </c>
      <c r="BX135" s="123">
        <f t="shared" si="136"/>
        <v>0</v>
      </c>
      <c r="BY135" s="123"/>
    </row>
    <row r="136" spans="5:77" x14ac:dyDescent="0.25">
      <c r="E136">
        <v>125</v>
      </c>
      <c r="F136">
        <v>9000000</v>
      </c>
      <c r="G136" s="58">
        <f t="shared" si="137"/>
        <v>-63.32285940147532</v>
      </c>
      <c r="H136" s="58">
        <f t="shared" si="138"/>
        <v>-178.83443992782091</v>
      </c>
      <c r="I136">
        <f t="shared" si="139"/>
        <v>-18.063458701009715</v>
      </c>
      <c r="J136">
        <f t="shared" si="140"/>
        <v>-0.95297535655671317</v>
      </c>
      <c r="K136" t="str">
        <f t="shared" si="141"/>
        <v>143.86564454478-860.131331479932i</v>
      </c>
      <c r="L136" t="str">
        <f t="shared" si="142"/>
        <v>1000000-17683.8862447942i</v>
      </c>
      <c r="M136" t="str">
        <f t="shared" si="143"/>
        <v>130439.407928227-300.788943546132i</v>
      </c>
      <c r="N136">
        <f t="shared" si="99"/>
        <v>-43.506969426289416</v>
      </c>
      <c r="O136">
        <f t="shared" si="144"/>
        <v>-79.995254458918367</v>
      </c>
      <c r="P136" t="str">
        <f t="shared" si="145"/>
        <v>-376.252898825409i</v>
      </c>
      <c r="Q136" t="str">
        <f t="shared" si="146"/>
        <v>5900-1.47365718706618i</v>
      </c>
      <c r="R136" t="str">
        <f t="shared" si="100"/>
        <v>23.8963336190037-374.723020893335i</v>
      </c>
      <c r="S136" t="str">
        <f t="shared" si="147"/>
        <v>0.78179957568495-8841.94305327084i</v>
      </c>
      <c r="T136" t="str">
        <f t="shared" si="101"/>
        <v>21.9938625335276-359.544728012139i</v>
      </c>
      <c r="U136" t="str">
        <f t="shared" si="102"/>
        <v>0.000493583415597236-0.0222112537018756i</v>
      </c>
      <c r="V136">
        <f t="shared" si="148"/>
        <v>-41.935115186175096</v>
      </c>
      <c r="W136">
        <f t="shared" si="149"/>
        <v>-175.22650396630334</v>
      </c>
      <c r="X136">
        <f t="shared" si="103"/>
        <v>-33.066394410242623</v>
      </c>
      <c r="Y136">
        <f t="shared" si="150"/>
        <v>-88.726988439069089</v>
      </c>
      <c r="AA136" s="123">
        <f t="shared" si="104"/>
        <v>-81.386318102485035</v>
      </c>
      <c r="AB136" s="123">
        <f t="shared" si="105"/>
        <v>-179.78741528437763</v>
      </c>
      <c r="AC136">
        <f t="shared" si="106"/>
        <v>-85.442084612464512</v>
      </c>
      <c r="AD136">
        <f t="shared" si="107"/>
        <v>-255.22175842522171</v>
      </c>
      <c r="AE136" s="123">
        <f t="shared" si="108"/>
        <v>-166.82840271494956</v>
      </c>
      <c r="AF136" s="123">
        <f t="shared" si="109"/>
        <v>-435.00917370959934</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1"/>
        <v>26100</v>
      </c>
      <c r="AX136" t="str">
        <f t="shared" si="152"/>
        <v>0.001-1.76838862447942i</v>
      </c>
      <c r="AY136" t="str">
        <f t="shared" si="120"/>
        <v>0.00111981597522545-1.76838848085267i</v>
      </c>
      <c r="AZ136">
        <f t="shared" si="153"/>
        <v>-69.027844799585424</v>
      </c>
      <c r="BA136">
        <f t="shared" si="154"/>
        <v>-89.963736688277763</v>
      </c>
      <c r="BB136">
        <f t="shared" si="155"/>
        <v>-4.878459365775623E-9</v>
      </c>
      <c r="BC136">
        <f t="shared" si="156"/>
        <v>7.6352608081322432E-4</v>
      </c>
      <c r="BD136" s="123">
        <f t="shared" si="121"/>
        <v>-63.322859406353778</v>
      </c>
      <c r="BE136" s="123">
        <f t="shared" si="122"/>
        <v>-178.83367640174009</v>
      </c>
      <c r="BF136">
        <f t="shared" si="123"/>
        <v>-110.96295998576052</v>
      </c>
      <c r="BG136">
        <f t="shared" si="124"/>
        <v>-265.19024065458109</v>
      </c>
      <c r="BH136" s="123">
        <f t="shared" si="125"/>
        <v>-174.28581939211429</v>
      </c>
      <c r="BI136" s="123">
        <f t="shared" si="126"/>
        <v>-444.02391705632118</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c r="BU136" s="123">
        <f t="shared" si="134"/>
        <v>0</v>
      </c>
      <c r="BV136" s="123">
        <f t="shared" si="135"/>
        <v>0</v>
      </c>
      <c r="BX136" s="123">
        <f t="shared" si="136"/>
        <v>0</v>
      </c>
      <c r="BY136" s="123"/>
    </row>
    <row r="137" spans="5:77" x14ac:dyDescent="0.25">
      <c r="E137">
        <v>126</v>
      </c>
      <c r="F137">
        <v>9500000</v>
      </c>
      <c r="G137" s="58">
        <f t="shared" si="137"/>
        <v>-64.262526166134123</v>
      </c>
      <c r="H137" s="58">
        <f t="shared" si="138"/>
        <v>-178.89584874626203</v>
      </c>
      <c r="I137">
        <f t="shared" si="139"/>
        <v>-18.06358255332977</v>
      </c>
      <c r="J137">
        <f t="shared" si="140"/>
        <v>-0.90282736665630448</v>
      </c>
      <c r="K137" t="str">
        <f t="shared" si="141"/>
        <v>129.481576072035-817.140516705263i</v>
      </c>
      <c r="L137" t="str">
        <f t="shared" si="142"/>
        <v>1000000-16753.155389805i</v>
      </c>
      <c r="M137" t="str">
        <f t="shared" si="143"/>
        <v>130438.933965594-284.964851186651i</v>
      </c>
      <c r="N137">
        <f t="shared" si="99"/>
        <v>-43.963438432854154</v>
      </c>
      <c r="O137">
        <f t="shared" si="144"/>
        <v>-80.512352930887999</v>
      </c>
      <c r="P137" t="str">
        <f t="shared" si="145"/>
        <v>-356.450114676703i</v>
      </c>
      <c r="Q137" t="str">
        <f t="shared" si="146"/>
        <v>5900-1.39609628248375i</v>
      </c>
      <c r="R137" t="str">
        <f t="shared" si="100"/>
        <v>21.4561016766699-355.148761339932i</v>
      </c>
      <c r="S137" t="str">
        <f t="shared" si="147"/>
        <v>0.701670533863969-8376.57763612654i</v>
      </c>
      <c r="T137" t="str">
        <f t="shared" si="101"/>
        <v>19.7472509704005-340.752050198904i</v>
      </c>
      <c r="U137" t="str">
        <f t="shared" si="102"/>
        <v>0.000443016945398161-0.0210433049064127i</v>
      </c>
      <c r="V137">
        <f t="shared" si="148"/>
        <v>-42.872466026459094</v>
      </c>
      <c r="W137">
        <f t="shared" si="149"/>
        <v>-175.4772943464823</v>
      </c>
      <c r="X137">
        <f t="shared" si="103"/>
        <v>-33.535796616952879</v>
      </c>
      <c r="Y137">
        <f t="shared" si="150"/>
        <v>-88.793969693840893</v>
      </c>
      <c r="AA137" s="123">
        <f t="shared" si="104"/>
        <v>-82.326108719463889</v>
      </c>
      <c r="AB137" s="123">
        <f t="shared" si="105"/>
        <v>-179.79867611291834</v>
      </c>
      <c r="AC137">
        <f t="shared" si="106"/>
        <v>-86.835904459313241</v>
      </c>
      <c r="AD137">
        <f t="shared" si="107"/>
        <v>-255.9896472773703</v>
      </c>
      <c r="AE137" s="123">
        <f t="shared" si="108"/>
        <v>-169.16201317877713</v>
      </c>
      <c r="AF137" s="123">
        <f t="shared" si="109"/>
        <v>-435.78832339028861</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1"/>
        <v>26100</v>
      </c>
      <c r="AX137" t="str">
        <f t="shared" si="152"/>
        <v>0.001-1.6753155389805i</v>
      </c>
      <c r="AY137" t="str">
        <f t="shared" si="120"/>
        <v>0.00110753566363902-1.6753154037013i</v>
      </c>
      <c r="AZ137">
        <f t="shared" si="153"/>
        <v>-69.497466555938999</v>
      </c>
      <c r="BA137">
        <f t="shared" si="154"/>
        <v>-89.962141006735251</v>
      </c>
      <c r="BB137">
        <f t="shared" si="155"/>
        <v>-4.3784083220554218E-9</v>
      </c>
      <c r="BC137">
        <f t="shared" si="156"/>
        <v>7.2334049774149748E-4</v>
      </c>
      <c r="BD137" s="123">
        <f t="shared" si="121"/>
        <v>-64.26252617051253</v>
      </c>
      <c r="BE137" s="123">
        <f t="shared" si="122"/>
        <v>-178.8951254057643</v>
      </c>
      <c r="BF137">
        <f t="shared" si="123"/>
        <v>-112.36993258239809</v>
      </c>
      <c r="BG137">
        <f t="shared" si="124"/>
        <v>-265.43943535321756</v>
      </c>
      <c r="BH137" s="123">
        <f t="shared" si="125"/>
        <v>-176.63245875291062</v>
      </c>
      <c r="BI137" s="123">
        <f t="shared" si="126"/>
        <v>-444.33456075898187</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c r="BU137" s="123">
        <f t="shared" si="134"/>
        <v>0</v>
      </c>
      <c r="BV137" s="123">
        <f t="shared" si="135"/>
        <v>0</v>
      </c>
      <c r="BX137" s="123">
        <f t="shared" si="136"/>
        <v>0</v>
      </c>
      <c r="BY137" s="123"/>
    </row>
    <row r="138" spans="5:77" x14ac:dyDescent="0.25">
      <c r="E138">
        <v>127</v>
      </c>
      <c r="F138">
        <v>10000000</v>
      </c>
      <c r="G138" s="58">
        <f t="shared" si="137"/>
        <v>-65.153943046934529</v>
      </c>
      <c r="H138" s="58">
        <f t="shared" si="138"/>
        <v>-178.95110812520176</v>
      </c>
      <c r="I138">
        <f t="shared" si="139"/>
        <v>-18.063688299227387</v>
      </c>
      <c r="J138">
        <f t="shared" si="140"/>
        <v>-0.85769298029562746</v>
      </c>
      <c r="K138" t="str">
        <f t="shared" si="141"/>
        <v>117.136859964612-778.14179137257i</v>
      </c>
      <c r="L138" t="str">
        <f t="shared" si="142"/>
        <v>1000000-15915.4976203148i</v>
      </c>
      <c r="M138" t="str">
        <f t="shared" si="143"/>
        <v>130438.529285806-270.722209218797i</v>
      </c>
      <c r="N138">
        <f t="shared" si="99"/>
        <v>-44.397705129507443</v>
      </c>
      <c r="O138">
        <f t="shared" si="144"/>
        <v>-80.97903080742752</v>
      </c>
      <c r="P138" t="str">
        <f t="shared" si="145"/>
        <v>-338.627608942868i</v>
      </c>
      <c r="Q138" t="str">
        <f t="shared" si="146"/>
        <v>5900-1.32629146835957i</v>
      </c>
      <c r="R138" t="str">
        <f t="shared" si="100"/>
        <v>19.3710540885072-337.511462266179i</v>
      </c>
      <c r="S138" t="str">
        <f t="shared" si="147"/>
        <v>0.633257657245463-7957.74875976435i</v>
      </c>
      <c r="T138" t="str">
        <f t="shared" si="101"/>
        <v>17.8277597129055-323.820556986952i</v>
      </c>
      <c r="U138" t="str">
        <f t="shared" si="102"/>
        <v>0.00039984006397441-0.0199920031987205i</v>
      </c>
      <c r="V138">
        <f t="shared" si="148"/>
        <v>-43.761905088403388</v>
      </c>
      <c r="W138">
        <f t="shared" si="149"/>
        <v>-175.70306779965111</v>
      </c>
      <c r="X138">
        <f t="shared" si="103"/>
        <v>-33.981136917305029</v>
      </c>
      <c r="Y138">
        <f t="shared" si="150"/>
        <v>-88.854255647427891</v>
      </c>
      <c r="AA138" s="123">
        <f t="shared" si="104"/>
        <v>-83.217631346161909</v>
      </c>
      <c r="AB138" s="123">
        <f t="shared" si="105"/>
        <v>-179.80880110549739</v>
      </c>
      <c r="AC138">
        <f t="shared" si="106"/>
        <v>-88.159610217910824</v>
      </c>
      <c r="AD138">
        <f t="shared" si="107"/>
        <v>-256.68209860707861</v>
      </c>
      <c r="AE138" s="123">
        <f t="shared" si="108"/>
        <v>-171.37724156407273</v>
      </c>
      <c r="AF138" s="123">
        <f t="shared" si="109"/>
        <v>-436.49089971257604</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1"/>
        <v>26100</v>
      </c>
      <c r="AX138" t="str">
        <f t="shared" si="152"/>
        <v>0.001-1.59154976203148i</v>
      </c>
      <c r="AY138" t="str">
        <f t="shared" si="120"/>
        <v>0.00109705093273757-1.59154963415559i</v>
      </c>
      <c r="AZ138">
        <f t="shared" si="153"/>
        <v>-69.942994281251231</v>
      </c>
      <c r="BA138">
        <f t="shared" si="154"/>
        <v>-89.96052489347538</v>
      </c>
      <c r="BB138">
        <f t="shared" si="155"/>
        <v>-3.951531410886519E-9</v>
      </c>
      <c r="BC138">
        <f t="shared" si="156"/>
        <v>6.8717347296349076E-4</v>
      </c>
      <c r="BD138" s="123">
        <f t="shared" si="121"/>
        <v>-65.153943050886056</v>
      </c>
      <c r="BE138" s="123">
        <f t="shared" si="122"/>
        <v>-178.9504209517288</v>
      </c>
      <c r="BF138">
        <f t="shared" si="123"/>
        <v>-113.70489936965461</v>
      </c>
      <c r="BG138">
        <f t="shared" si="124"/>
        <v>-265.66359269312647</v>
      </c>
      <c r="BH138" s="123">
        <f t="shared" si="125"/>
        <v>-178.85884242054067</v>
      </c>
      <c r="BI138" s="123">
        <f t="shared" si="126"/>
        <v>-444.61401364485528</v>
      </c>
      <c r="BL138" s="123">
        <f t="shared" si="127"/>
        <v>0</v>
      </c>
      <c r="BM138" s="123">
        <f t="shared" si="128"/>
        <v>0</v>
      </c>
      <c r="BN138" s="123">
        <f t="shared" si="129"/>
        <v>0</v>
      </c>
      <c r="BO138" s="123">
        <f t="shared" si="130"/>
        <v>0</v>
      </c>
      <c r="BP138" s="123">
        <f t="shared" si="131"/>
        <v>0</v>
      </c>
      <c r="BQ138" s="123">
        <f t="shared" si="132"/>
        <v>0</v>
      </c>
      <c r="BR138" s="123">
        <f t="shared" si="133"/>
        <v>0</v>
      </c>
      <c r="BS138" s="123"/>
      <c r="BX138" s="123">
        <f t="shared" si="136"/>
        <v>0</v>
      </c>
      <c r="BY138" s="123"/>
    </row>
    <row r="139" spans="5:77" x14ac:dyDescent="0.25">
      <c r="AI139" s="123"/>
      <c r="AJ139" s="123"/>
      <c r="AK139" s="123"/>
      <c r="AL139" s="123"/>
      <c r="AM139" s="123"/>
      <c r="AN139" s="123"/>
      <c r="AO139" s="123"/>
      <c r="AP139" s="123"/>
      <c r="AQ139" s="123"/>
      <c r="AR139" s="123"/>
      <c r="AS139" s="12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B66E-7E9B-43CB-A19C-32363780FFFC}">
  <sheetPr codeName="Sheet13"/>
  <dimension ref="C1:BS212"/>
  <sheetViews>
    <sheetView zoomScaleNormal="100" workbookViewId="0">
      <selection activeCell="E1" sqref="E1"/>
    </sheetView>
  </sheetViews>
  <sheetFormatPr defaultRowHeight="13.2" x14ac:dyDescent="0.25"/>
  <cols>
    <col min="1" max="1" width="111.44140625" style="61" customWidth="1"/>
    <col min="2" max="2" width="8.88671875" style="61"/>
    <col min="3" max="3" width="6.77734375" style="61" customWidth="1"/>
    <col min="4" max="4" width="10.44140625" style="61" customWidth="1"/>
    <col min="5" max="5" width="6.77734375" style="61" customWidth="1"/>
    <col min="6" max="6" width="8" style="61" customWidth="1"/>
    <col min="7" max="7" width="8.88671875" style="62"/>
    <col min="8" max="9" width="9.77734375" style="61" customWidth="1"/>
    <col min="10" max="13" width="8.21875" style="65" customWidth="1"/>
    <col min="14" max="14" width="10.77734375" style="63" customWidth="1"/>
    <col min="15" max="17" width="8.77734375" style="64" customWidth="1"/>
    <col min="18" max="18" width="12.21875" style="64" customWidth="1"/>
    <col min="19" max="19" width="8" style="64" customWidth="1"/>
    <col min="20" max="20" width="9.44140625" style="65" customWidth="1"/>
    <col min="21" max="21" width="8" style="61" customWidth="1"/>
    <col min="22" max="22" width="9.21875" style="66" customWidth="1"/>
    <col min="23" max="23" width="8.77734375" style="64" customWidth="1"/>
    <col min="24" max="24" width="9.77734375" style="61" customWidth="1"/>
    <col min="25" max="25" width="10.77734375" style="61" customWidth="1"/>
    <col min="26" max="26" width="9.77734375" style="65" customWidth="1"/>
    <col min="27" max="27" width="10.5546875" style="61" customWidth="1"/>
    <col min="28" max="28" width="8.88671875" style="61"/>
    <col min="29" max="31" width="8.5546875" style="61" customWidth="1"/>
    <col min="32" max="32" width="11.77734375" style="61" customWidth="1"/>
    <col min="33" max="33" width="12.77734375" style="61" customWidth="1"/>
    <col min="34" max="35" width="8" style="61" customWidth="1"/>
    <col min="36" max="36" width="9.77734375" style="61" customWidth="1"/>
    <col min="37" max="39" width="8.77734375" style="61" customWidth="1"/>
    <col min="40" max="46" width="10.5546875" style="61" customWidth="1"/>
    <col min="47" max="47" width="10.21875" style="61" customWidth="1"/>
    <col min="48" max="48" width="11.5546875" style="61" customWidth="1"/>
    <col min="49" max="49" width="9.21875" style="61" customWidth="1"/>
    <col min="50" max="50" width="10.44140625" style="61" customWidth="1"/>
    <col min="51" max="51" width="8.88671875" style="61"/>
    <col min="52" max="52" width="8.44140625" style="64" customWidth="1"/>
    <col min="53" max="53" width="7.21875" style="64" customWidth="1"/>
    <col min="54" max="54" width="10.21875" style="67" customWidth="1"/>
    <col min="55" max="55" width="7.77734375" style="63" customWidth="1"/>
    <col min="56" max="56" width="8.88671875" style="65"/>
    <col min="57" max="57" width="10.21875" style="65" customWidth="1"/>
    <col min="58" max="58" width="12.21875" style="65" customWidth="1"/>
    <col min="59" max="59" width="8.77734375" style="65" customWidth="1"/>
    <col min="60" max="63" width="7.77734375" style="61" customWidth="1"/>
    <col min="64" max="66" width="8.88671875" style="61"/>
    <col min="67" max="67" width="28.44140625" style="61" customWidth="1"/>
    <col min="68" max="69" width="8.88671875" style="61"/>
    <col min="70" max="70" width="12.44140625" style="61" bestFit="1" customWidth="1"/>
    <col min="71" max="16384" width="8.88671875" style="61"/>
  </cols>
  <sheetData>
    <row r="1" spans="3:71" ht="374.4" customHeight="1" x14ac:dyDescent="0.25"/>
    <row r="2" spans="3:71" x14ac:dyDescent="0.25">
      <c r="AI2" s="120" t="s">
        <v>378</v>
      </c>
      <c r="AJ2" s="119">
        <f>V.supply_typ</f>
        <v>24</v>
      </c>
    </row>
    <row r="3" spans="3:71" x14ac:dyDescent="0.25">
      <c r="AI3" s="120" t="s">
        <v>379</v>
      </c>
      <c r="AJ3" s="119">
        <f>V.bd_ls</f>
        <v>0.8</v>
      </c>
    </row>
    <row r="4" spans="3:71" ht="12.75" customHeight="1" x14ac:dyDescent="0.25">
      <c r="AI4" s="120" t="s">
        <v>380</v>
      </c>
      <c r="AJ4" s="119">
        <f>V.fwd_sch</f>
        <v>4444</v>
      </c>
    </row>
    <row r="5" spans="3:71" ht="12.75" customHeight="1" x14ac:dyDescent="0.25">
      <c r="G5" s="68"/>
      <c r="H5" s="69"/>
      <c r="I5" s="69"/>
      <c r="AI5" s="120" t="s">
        <v>381</v>
      </c>
      <c r="AJ5" s="119">
        <f>MIN(AJ3:AJ4)</f>
        <v>0.8</v>
      </c>
      <c r="AU5" s="69"/>
    </row>
    <row r="6" spans="3:71" ht="12.75" customHeight="1" x14ac:dyDescent="0.25">
      <c r="D6" s="118" t="str">
        <f>"Full Load Efficiency = "&amp;ROUND(BB112*100,1)&amp;" %"</f>
        <v>Full Load Efficiency = 98.1 %</v>
      </c>
      <c r="G6" s="68"/>
      <c r="H6" s="69"/>
      <c r="I6" s="69"/>
      <c r="AI6" s="120" t="s">
        <v>382</v>
      </c>
      <c r="AJ6" s="119">
        <f>0.5*AJ2/(AJ5+AJ2)</f>
        <v>0.48387096774193544</v>
      </c>
      <c r="AU6" s="69"/>
    </row>
    <row r="7" spans="3:71" ht="12.75" customHeight="1" x14ac:dyDescent="0.25">
      <c r="G7" s="68"/>
      <c r="H7" s="69"/>
      <c r="I7" s="69"/>
      <c r="AI7" s="120" t="s">
        <v>383</v>
      </c>
      <c r="AJ7" s="119">
        <f>(AJ5+0.5*AJ2)/(AJ5+AJ2)</f>
        <v>0.5161290322580645</v>
      </c>
      <c r="AU7" s="69"/>
      <c r="AW7" s="69"/>
    </row>
    <row r="8" spans="3:71" x14ac:dyDescent="0.25">
      <c r="D8" s="119" t="s">
        <v>369</v>
      </c>
      <c r="E8" s="119" t="s">
        <v>369</v>
      </c>
      <c r="F8" s="119" t="s">
        <v>369</v>
      </c>
    </row>
    <row r="9" spans="3:71" ht="13.5" customHeight="1" x14ac:dyDescent="0.25">
      <c r="D9" s="119">
        <v>0</v>
      </c>
      <c r="E9" s="119">
        <v>0</v>
      </c>
      <c r="F9" s="119">
        <v>0</v>
      </c>
      <c r="N9" s="70"/>
      <c r="O9" s="71"/>
      <c r="P9" s="71"/>
      <c r="Q9" s="71"/>
      <c r="R9" s="71"/>
      <c r="AV9" s="72"/>
      <c r="AW9" s="72"/>
      <c r="AY9" s="72"/>
      <c r="AZ9" s="71"/>
    </row>
    <row r="10" spans="3:71" s="69" customFormat="1" x14ac:dyDescent="0.25">
      <c r="C10" s="168" t="s">
        <v>285</v>
      </c>
      <c r="D10" s="169"/>
      <c r="E10" s="169"/>
      <c r="F10" s="169"/>
      <c r="G10" s="169"/>
      <c r="H10" s="169"/>
      <c r="I10" s="169"/>
      <c r="J10" s="169"/>
      <c r="K10" s="169"/>
      <c r="L10" s="169"/>
      <c r="M10" s="169"/>
      <c r="N10" s="169"/>
      <c r="O10" s="169"/>
      <c r="P10" s="169"/>
      <c r="Q10" s="169"/>
      <c r="R10" s="170"/>
      <c r="S10" s="164" t="s">
        <v>286</v>
      </c>
      <c r="T10" s="164"/>
      <c r="U10" s="164"/>
      <c r="V10" s="164"/>
      <c r="W10" s="171" t="s">
        <v>287</v>
      </c>
      <c r="X10" s="171"/>
      <c r="Y10" s="171"/>
      <c r="Z10" s="164" t="s">
        <v>288</v>
      </c>
      <c r="AA10" s="164"/>
      <c r="AB10" s="164"/>
      <c r="AC10" s="164" t="s">
        <v>289</v>
      </c>
      <c r="AD10" s="164"/>
      <c r="AE10" s="164"/>
      <c r="AF10" s="164"/>
      <c r="AG10" s="164"/>
      <c r="AH10" s="164"/>
      <c r="AI10" s="164"/>
      <c r="AJ10" s="164"/>
      <c r="AK10" s="164" t="s">
        <v>356</v>
      </c>
      <c r="AL10" s="164"/>
      <c r="AM10" s="164"/>
      <c r="AN10" s="164"/>
      <c r="AO10" s="164"/>
      <c r="AP10" s="164"/>
      <c r="AQ10" s="164"/>
      <c r="AR10" s="164"/>
      <c r="AS10" s="164"/>
      <c r="AT10" s="164"/>
      <c r="AU10" s="164"/>
      <c r="AV10" s="100" t="s">
        <v>290</v>
      </c>
      <c r="AW10" s="164" t="s">
        <v>291</v>
      </c>
      <c r="AX10" s="164"/>
      <c r="AY10" s="164"/>
      <c r="AZ10" s="164" t="s">
        <v>292</v>
      </c>
      <c r="BA10" s="164"/>
      <c r="BB10" s="164"/>
      <c r="BC10" s="165" t="s">
        <v>372</v>
      </c>
      <c r="BD10" s="166"/>
      <c r="BE10" s="166"/>
      <c r="BF10" s="166"/>
      <c r="BG10" s="166"/>
      <c r="BH10" s="166"/>
      <c r="BI10" s="166"/>
      <c r="BJ10" s="166"/>
      <c r="BK10" s="166"/>
      <c r="BL10" s="167"/>
    </row>
    <row r="11" spans="3:71" s="69" customFormat="1" ht="66" x14ac:dyDescent="0.25">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5">
      <c r="C12" s="61">
        <v>0</v>
      </c>
      <c r="D12" s="61">
        <f t="shared" ref="D12:D43" si="0">T.amb+I12*$D$9</f>
        <v>100</v>
      </c>
      <c r="E12" s="61">
        <f t="shared" ref="E12:E43" si="1">T.amb+I12*$E$9</f>
        <v>100</v>
      </c>
      <c r="F12" s="61">
        <f t="shared" ref="F12:F43" si="2">T.amb+I12*$F$9</f>
        <v>100</v>
      </c>
      <c r="G12" s="73">
        <f t="shared" ref="G12:G43" si="3">V.supply_typ</f>
        <v>24</v>
      </c>
      <c r="H12" s="64">
        <f t="shared" ref="H12:H43" si="4">FPWM</f>
        <v>1</v>
      </c>
      <c r="I12" s="61">
        <v>0</v>
      </c>
      <c r="J12" s="65">
        <f t="shared" ref="J12:J43" si="5">R.hs25*((D12+275)/300)^2.3</f>
        <v>8.3533953124311573E-4</v>
      </c>
      <c r="K12" s="65">
        <f t="shared" ref="K12:K43" si="6">R.ls25*((E12+275)/300)^2.3</f>
        <v>8.3533953124311573E-4</v>
      </c>
      <c r="L12" s="65">
        <f t="shared" ref="L12:L43" si="7">R.dcr25*((F12+275)/300)^1.2</f>
        <v>5.097492818882457E-3</v>
      </c>
      <c r="M12" s="65">
        <f t="shared" ref="M12:M43" si="8">R.s</f>
        <v>4.0000000000000001E-3</v>
      </c>
      <c r="N12" s="63">
        <f t="shared" ref="N12:N43" si="9">(V.load+I12*(K12+L12+M12))/(V.supply_typ+I12*(K12-J12))</f>
        <v>0.97916666666666663</v>
      </c>
      <c r="O12" s="64">
        <f t="shared" ref="O12:O43" si="10">(V.supply_typ-I.load*(J12+L12+M12)-V.load)*N12/(f.sw*L.out)</f>
        <v>0.25294929071890526</v>
      </c>
      <c r="P12" s="64">
        <f t="shared" ref="P12:P43" si="11">I12+O12/2</f>
        <v>0.12647464535945263</v>
      </c>
      <c r="Q12" s="64">
        <f t="shared" ref="Q12:Q43" si="12">I12-O12/2</f>
        <v>-0.12647464535945263</v>
      </c>
      <c r="R12" s="64">
        <f t="shared" ref="R12:R43" si="13">IF(MIN(V.supply_typ, -Q12/(C.oss_hs+C.oss_ls)*0.00000002)&lt;0, 0, MIN(V.supply_typ, -Q12/(C.oss_hs+C.oss_ls)*0.00000002))</f>
        <v>8.4316430239635096</v>
      </c>
      <c r="S12" s="64">
        <f t="shared" ref="S12:S43" si="14">SQRT(I12^2+(O12^2)/12)</f>
        <v>7.3020170543942428E-2</v>
      </c>
      <c r="T12" s="63">
        <f>S12^2*L12</f>
        <v>2.7179552909367188E-5</v>
      </c>
      <c r="U12" s="63">
        <f t="shared" ref="U12:U43" si="15">IF(FPWM=1,P.core,MIN(P.core,P.core*(O12+Q12)/O12))</f>
        <v>1.6</v>
      </c>
      <c r="V12" s="63">
        <f>U12+T12</f>
        <v>1.6000271795529095</v>
      </c>
      <c r="W12" s="64">
        <f>O12/SQRT(12)</f>
        <v>7.3020170543942428E-2</v>
      </c>
      <c r="X12" s="63">
        <f t="shared" ref="X12:X43" si="16">R.esrb*W12^2</f>
        <v>2.665972653133219E-5</v>
      </c>
      <c r="Y12" s="63">
        <f>X12</f>
        <v>2.665972653133219E-5</v>
      </c>
      <c r="Z12" s="64">
        <f t="shared" ref="Z12:Z43" si="17">SQRT(N12*(1-N12))*SQRT(I12^2+(O12^2)/12)</f>
        <v>1.0429188918992669E-2</v>
      </c>
      <c r="AA12" s="74">
        <f t="shared" ref="AA12:AA43" si="18">R.esr_cin*Z12^2</f>
        <v>1.0876798150803948E-7</v>
      </c>
      <c r="AB12" s="75">
        <f>AA12</f>
        <v>1.0876798150803948E-7</v>
      </c>
      <c r="AC12" s="63">
        <f t="shared" ref="AC12:AC43" si="19">SQRT(N12)*SQRT(I12^2+(O12^2)/12)</f>
        <v>7.2255540357718501E-2</v>
      </c>
      <c r="AD12" s="63">
        <f>J12*AC12^2</f>
        <v>4.3611933449849014E-6</v>
      </c>
      <c r="AE12" s="63">
        <f t="shared" ref="AE12:AE43" si="20">AD12*(1+TC_rdson_hs*(T.amb-25))/(1-AD12*TC_rdson_hs*theta.ja_hs)</f>
        <v>5.669557480537388E-6</v>
      </c>
      <c r="AF12" s="63">
        <f t="shared" ref="AF12:AF43" si="21">(V.supply_typ*P12/2)*f.sw*T.rise+(V.supply_typ*MAX(Q12,0)/2)*f.sw*T.fall</f>
        <v>7.1953262513701158E-3</v>
      </c>
      <c r="AG12" s="63">
        <f t="shared" ref="AG12:AG43" si="22">0.5*(C.oss_hs+C.oss_ls)*(V.supply_typ-R12)^2*f.sw</f>
        <v>1.7087348594797935E-2</v>
      </c>
      <c r="AH12" s="63">
        <f t="shared" ref="AH12:AH43" si="23">IF(I12&gt;O12/2,0,ABS(Q12)*V.bd_hs*t.d_loff_hon*f.sw)</f>
        <v>1.664406332930397E-3</v>
      </c>
      <c r="AI12" s="63">
        <f>AS12*$AJ$6</f>
        <v>0.22378064516129031</v>
      </c>
      <c r="AJ12" s="63">
        <f>(AH12+AG12+AF12+AE12+AI12)</f>
        <v>0.2497333958978693</v>
      </c>
      <c r="AK12" s="63">
        <f t="shared" ref="AK12:AK43" si="24">SQRT((1-N12))*SQRT(I12^2+(O12^2)/12)</f>
        <v>1.0539553779954395E-2</v>
      </c>
      <c r="AL12" s="63">
        <f t="shared" ref="AL12:AL43" si="25">K12*AK12^2</f>
        <v>9.2791347765636352E-8</v>
      </c>
      <c r="AM12" s="63">
        <f t="shared" ref="AM12:AM43" si="26">AL12*(1+TC_rdson_ls*(T.amb-25))/(1-AL12*TC_rdson_ls*theta.ja_ls)</f>
        <v>1.2062875487126685E-7</v>
      </c>
      <c r="AN12" s="63">
        <f t="shared" ref="AN12:AN43" si="27">IF(I12&gt;O12/2, Q12*V.bd_ls*t.d_loff_hon*f.sw + P12*V.bd_ls*t.d_hoff_lon*f.sw,P12*V.bd_ls*t.d_hoff_lon*f.sw)</f>
        <v>1.1888616663788549E-3</v>
      </c>
      <c r="AO12" s="63">
        <f t="shared" ref="AO12:AO43" si="28">IF(I12&gt;O12/2, Q12*V.fwd_sch*t.d_loff_hon*f.sw + P12*V.fwd_sch*t.d_hoff_lon*f.sw,P12*V.fwd_sch*t.d_hoff_lon*f.sw)</f>
        <v>6.6041265567345384</v>
      </c>
      <c r="AP12" s="63">
        <f>MIN(AN12:AO12)</f>
        <v>1.1888616663788549E-3</v>
      </c>
      <c r="AQ12" s="61">
        <f t="shared" ref="AQ12:AQ43" si="29">Q.rr_ls*V.supply_typ*f.sw</f>
        <v>0.46248</v>
      </c>
      <c r="AR12" s="61">
        <f t="shared" ref="AR12:AR43" si="30">Q.rr_sch*V.supply_typ*f.sw</f>
        <v>50128320000</v>
      </c>
      <c r="AS12" s="61">
        <f>MIN(AQ12:AR12)</f>
        <v>0.46248</v>
      </c>
      <c r="AT12" s="61">
        <f>AS12*$AJ$7</f>
        <v>0.23869935483870966</v>
      </c>
      <c r="AU12" s="63">
        <f>AM12+AP12+AT12</f>
        <v>0.23988833713384339</v>
      </c>
      <c r="AV12" s="63">
        <f t="shared" ref="AV12:AV43" si="31">R.s*S12^2</f>
        <v>2.1327781225065752E-5</v>
      </c>
      <c r="AW12" s="63">
        <f t="shared" ref="AW12:AW43" si="32">I.q_IC*V.supply_typ</f>
        <v>2.9760000000000003E-3</v>
      </c>
      <c r="AX12" s="63">
        <f t="shared" ref="AX12:AX43" si="33">IF(ExtVCC=1,  (Q.g_hs+Q.g_ls)*f.sw*V.load, (Q.g_hs+Q.g_ls)*f.sw*V.supply_typ)</f>
        <v>0.24299000000000001</v>
      </c>
      <c r="AY12" s="63">
        <f t="shared" ref="AY12:AY43" si="34">SUM(AW12:AX12)</f>
        <v>0.24596600000000002</v>
      </c>
      <c r="AZ12" s="63">
        <f t="shared" ref="AZ12:AZ43" si="35">V12+Y12+AB12+AJ12+AU12+AV12+AY12</f>
        <v>2.3356630088603603</v>
      </c>
      <c r="BA12" s="64">
        <f t="shared" ref="BA12:BA43" si="36">V.load*I12</f>
        <v>0</v>
      </c>
      <c r="BB12" s="76">
        <f>BA12/(BA12+AZ12)</f>
        <v>0</v>
      </c>
      <c r="BC12" s="64">
        <f>BB12*100</f>
        <v>0</v>
      </c>
      <c r="BD12" s="63">
        <f t="shared" ref="BD12:BD43" si="37">V12</f>
        <v>1.6000271795529095</v>
      </c>
      <c r="BE12" s="63">
        <f>BF12+BG12</f>
        <v>0.48962173303171269</v>
      </c>
      <c r="BF12" s="63">
        <f t="shared" ref="BF12:BF43" si="38">AJ12</f>
        <v>0.2497333958978693</v>
      </c>
      <c r="BG12" s="63">
        <f t="shared" ref="BG12:BG43" si="39">AU12</f>
        <v>0.23988833713384339</v>
      </c>
      <c r="BH12" s="63">
        <f t="shared" ref="BH12:BH43" si="40">AV12</f>
        <v>2.1327781225065752E-5</v>
      </c>
      <c r="BI12" s="63">
        <f>AY12</f>
        <v>0.24596600000000002</v>
      </c>
      <c r="BJ12" s="63">
        <f>AB12</f>
        <v>1.0876798150803948E-7</v>
      </c>
      <c r="BK12" s="63">
        <f>Y12</f>
        <v>2.665972653133219E-5</v>
      </c>
      <c r="BL12" s="63">
        <f>BD12+BF12+BG12+BH12+BI12+BJ12+BK12</f>
        <v>2.3356630088603603</v>
      </c>
      <c r="BP12" s="77"/>
      <c r="BQ12" s="77"/>
      <c r="BR12" s="77"/>
      <c r="BS12" s="78"/>
    </row>
    <row r="13" spans="3:71" x14ac:dyDescent="0.25">
      <c r="C13" s="61">
        <v>1</v>
      </c>
      <c r="D13" s="61">
        <f t="shared" si="0"/>
        <v>100</v>
      </c>
      <c r="E13" s="61">
        <f t="shared" si="1"/>
        <v>100</v>
      </c>
      <c r="F13" s="61">
        <f t="shared" si="2"/>
        <v>100</v>
      </c>
      <c r="G13" s="73">
        <f t="shared" si="3"/>
        <v>24</v>
      </c>
      <c r="H13" s="64">
        <f t="shared" si="4"/>
        <v>1</v>
      </c>
      <c r="I13" s="63">
        <f t="shared" ref="I13:I44" si="41">I.load*C13/100</f>
        <v>0.1</v>
      </c>
      <c r="J13" s="65">
        <f t="shared" si="5"/>
        <v>8.3533953124311573E-4</v>
      </c>
      <c r="K13" s="65">
        <f t="shared" si="6"/>
        <v>8.3533953124311573E-4</v>
      </c>
      <c r="L13" s="65">
        <f t="shared" si="7"/>
        <v>5.097492818882457E-3</v>
      </c>
      <c r="M13" s="65">
        <f t="shared" si="8"/>
        <v>4.0000000000000001E-3</v>
      </c>
      <c r="N13" s="63">
        <f t="shared" si="9"/>
        <v>0.97920805346812545</v>
      </c>
      <c r="O13" s="64">
        <f t="shared" si="10"/>
        <v>0.25295998222059801</v>
      </c>
      <c r="P13" s="64">
        <f t="shared" si="11"/>
        <v>0.22647999111029901</v>
      </c>
      <c r="Q13" s="64">
        <f t="shared" si="12"/>
        <v>-2.6479991110299E-2</v>
      </c>
      <c r="R13" s="64">
        <f t="shared" si="13"/>
        <v>1.7653327406866</v>
      </c>
      <c r="S13" s="64">
        <f t="shared" si="14"/>
        <v>0.12382405279435996</v>
      </c>
      <c r="T13" s="63">
        <f t="shared" ref="T13:T76" si="42">S13^2*L13</f>
        <v>7.8156778763279952E-5</v>
      </c>
      <c r="U13" s="63">
        <f t="shared" si="15"/>
        <v>1.6</v>
      </c>
      <c r="V13" s="63">
        <f t="shared" ref="V13:V76" si="43">U13+T13</f>
        <v>1.6000781567787634</v>
      </c>
      <c r="W13" s="64">
        <f t="shared" ref="W13:W76" si="44">O13/SQRT(12)</f>
        <v>7.3023256914632614E-2</v>
      </c>
      <c r="X13" s="63">
        <f t="shared" si="16"/>
        <v>2.6661980252102201E-5</v>
      </c>
      <c r="Y13" s="63">
        <f t="shared" ref="Y13:Y76" si="45">X13</f>
        <v>2.6661980252102201E-5</v>
      </c>
      <c r="Z13" s="64">
        <f t="shared" si="17"/>
        <v>1.7668109315629513E-2</v>
      </c>
      <c r="AA13" s="74">
        <f t="shared" si="18"/>
        <v>3.1216208678903439E-7</v>
      </c>
      <c r="AB13" s="75">
        <f t="shared" ref="AB13:AB76" si="46">AA13</f>
        <v>3.1216208678903439E-7</v>
      </c>
      <c r="AC13" s="63">
        <f t="shared" si="19"/>
        <v>0.12253001955249405</v>
      </c>
      <c r="AD13" s="63">
        <f t="shared" ref="AD13:AD76" si="47">J13*AC13^2</f>
        <v>1.2541458340635467E-5</v>
      </c>
      <c r="AE13" s="63">
        <f t="shared" si="20"/>
        <v>1.6303946552692194E-5</v>
      </c>
      <c r="AF13" s="63">
        <f t="shared" si="21"/>
        <v>1.2884775607115073E-2</v>
      </c>
      <c r="AG13" s="63">
        <f t="shared" si="22"/>
        <v>3.4853820183333023E-2</v>
      </c>
      <c r="AH13" s="63">
        <f t="shared" si="23"/>
        <v>3.4847668301153493E-4</v>
      </c>
      <c r="AI13" s="63">
        <f t="shared" ref="AI13:AI76" si="48">AS13*$AJ$6</f>
        <v>0.22378064516129031</v>
      </c>
      <c r="AJ13" s="63">
        <f t="shared" ref="AJ13:AJ76" si="49">(AH13+AG13+AF13+AE13+AI13)</f>
        <v>0.27188402158130265</v>
      </c>
      <c r="AK13" s="63">
        <f t="shared" si="24"/>
        <v>1.7854701310463482E-2</v>
      </c>
      <c r="AL13" s="63">
        <f t="shared" si="25"/>
        <v>2.6629818895654429E-7</v>
      </c>
      <c r="AM13" s="63">
        <f t="shared" si="26"/>
        <v>3.4618766850641661E-7</v>
      </c>
      <c r="AN13" s="63">
        <f t="shared" si="27"/>
        <v>2.1289119164368108E-3</v>
      </c>
      <c r="AO13" s="63">
        <f t="shared" si="28"/>
        <v>11.826105695806485</v>
      </c>
      <c r="AP13" s="63">
        <f t="shared" ref="AP13:AP76" si="50">MIN(AN13:AO13)</f>
        <v>2.1289119164368108E-3</v>
      </c>
      <c r="AQ13" s="61">
        <f t="shared" si="29"/>
        <v>0.46248</v>
      </c>
      <c r="AR13" s="61">
        <f t="shared" si="30"/>
        <v>50128320000</v>
      </c>
      <c r="AS13" s="61">
        <f t="shared" ref="AS13:AS76" si="51">MIN(AQ13:AR13)</f>
        <v>0.46248</v>
      </c>
      <c r="AT13" s="61">
        <f t="shared" ref="AT13:AT76" si="52">AS13*$AJ$7</f>
        <v>0.23869935483870966</v>
      </c>
      <c r="AU13" s="63">
        <f t="shared" ref="AU13:AU76" si="53">AM13+AP13+AT13</f>
        <v>0.24082861294281499</v>
      </c>
      <c r="AV13" s="63">
        <f t="shared" si="31"/>
        <v>6.1329584201681763E-5</v>
      </c>
      <c r="AW13" s="63">
        <f t="shared" si="32"/>
        <v>2.9760000000000003E-3</v>
      </c>
      <c r="AX13" s="63">
        <f t="shared" si="33"/>
        <v>0.24299000000000001</v>
      </c>
      <c r="AY13" s="63">
        <f t="shared" si="34"/>
        <v>0.24596600000000002</v>
      </c>
      <c r="AZ13" s="63">
        <f t="shared" si="35"/>
        <v>2.3588450950294217</v>
      </c>
      <c r="BA13" s="64">
        <f t="shared" si="36"/>
        <v>2.35</v>
      </c>
      <c r="BB13" s="76">
        <f t="shared" ref="BB13:BB76" si="54">BA13/(BA13+AZ13)</f>
        <v>0.49906079995721686</v>
      </c>
      <c r="BC13" s="64">
        <f t="shared" ref="BC13:BC76" si="55">BB13*100</f>
        <v>49.906079995721683</v>
      </c>
      <c r="BD13" s="63">
        <f t="shared" si="37"/>
        <v>1.6000781567787634</v>
      </c>
      <c r="BE13" s="63">
        <f t="shared" ref="BE13:BE76" si="56">BF13+BG13</f>
        <v>0.51271263452411764</v>
      </c>
      <c r="BF13" s="63">
        <f t="shared" si="38"/>
        <v>0.27188402158130265</v>
      </c>
      <c r="BG13" s="63">
        <f t="shared" si="39"/>
        <v>0.24082861294281499</v>
      </c>
      <c r="BH13" s="63">
        <f t="shared" si="40"/>
        <v>6.1329584201681763E-5</v>
      </c>
      <c r="BI13" s="63">
        <f t="shared" ref="BI13:BI76" si="57">AY13</f>
        <v>0.24596600000000002</v>
      </c>
      <c r="BJ13" s="63">
        <f t="shared" ref="BJ13:BJ76" si="58">AB13</f>
        <v>3.1216208678903439E-7</v>
      </c>
      <c r="BK13" s="63">
        <f t="shared" ref="BK13:BK76" si="59">Y13</f>
        <v>2.6661980252102201E-5</v>
      </c>
      <c r="BL13" s="63">
        <f t="shared" ref="BL13:BL76" si="60">BD13+BF13+BG13+BH13+BI13+BJ13+BK13</f>
        <v>2.3588450950294222</v>
      </c>
      <c r="BP13" s="77"/>
      <c r="BQ13" s="77"/>
      <c r="BR13" s="77"/>
      <c r="BS13" s="78"/>
    </row>
    <row r="14" spans="3:71" x14ac:dyDescent="0.25">
      <c r="C14" s="61">
        <v>2</v>
      </c>
      <c r="D14" s="61">
        <f t="shared" si="0"/>
        <v>100</v>
      </c>
      <c r="E14" s="61">
        <f t="shared" si="1"/>
        <v>100</v>
      </c>
      <c r="F14" s="61">
        <f t="shared" si="2"/>
        <v>100</v>
      </c>
      <c r="G14" s="73">
        <f t="shared" si="3"/>
        <v>24</v>
      </c>
      <c r="H14" s="64">
        <f t="shared" si="4"/>
        <v>1</v>
      </c>
      <c r="I14" s="63">
        <f t="shared" si="41"/>
        <v>0.2</v>
      </c>
      <c r="J14" s="65">
        <f t="shared" si="5"/>
        <v>8.3533953124311573E-4</v>
      </c>
      <c r="K14" s="65">
        <f t="shared" si="6"/>
        <v>8.3533953124311573E-4</v>
      </c>
      <c r="L14" s="65">
        <f t="shared" si="7"/>
        <v>5.097492818882457E-3</v>
      </c>
      <c r="M14" s="65">
        <f t="shared" si="8"/>
        <v>4.0000000000000001E-3</v>
      </c>
      <c r="N14" s="63">
        <f t="shared" si="9"/>
        <v>0.97924944026958427</v>
      </c>
      <c r="O14" s="64">
        <f t="shared" si="10"/>
        <v>0.25297067372229071</v>
      </c>
      <c r="P14" s="64">
        <f t="shared" si="11"/>
        <v>0.32648533686114534</v>
      </c>
      <c r="Q14" s="64">
        <f t="shared" si="12"/>
        <v>7.3514663138854658E-2</v>
      </c>
      <c r="R14" s="64">
        <f t="shared" si="13"/>
        <v>0</v>
      </c>
      <c r="S14" s="64">
        <f t="shared" si="14"/>
        <v>0.21291511645166442</v>
      </c>
      <c r="T14" s="63">
        <f t="shared" si="42"/>
        <v>2.310838610919561E-4</v>
      </c>
      <c r="U14" s="63">
        <f t="shared" si="15"/>
        <v>1.6</v>
      </c>
      <c r="V14" s="63">
        <f t="shared" si="43"/>
        <v>1.600231083861092</v>
      </c>
      <c r="W14" s="64">
        <f t="shared" si="44"/>
        <v>7.3026343285322773E-2</v>
      </c>
      <c r="X14" s="63">
        <f t="shared" si="16"/>
        <v>2.6664234068129029E-5</v>
      </c>
      <c r="Y14" s="63">
        <f t="shared" si="45"/>
        <v>2.6664234068129029E-5</v>
      </c>
      <c r="Z14" s="64">
        <f t="shared" si="17"/>
        <v>3.0350655160265434E-2</v>
      </c>
      <c r="AA14" s="74">
        <f t="shared" si="18"/>
        <v>9.2116226865734679E-7</v>
      </c>
      <c r="AB14" s="75">
        <f t="shared" si="46"/>
        <v>9.2116226865734679E-7</v>
      </c>
      <c r="AC14" s="63">
        <f t="shared" si="19"/>
        <v>0.21069448229146839</v>
      </c>
      <c r="AD14" s="63">
        <f t="shared" si="47"/>
        <v>3.7082530191760614E-5</v>
      </c>
      <c r="AE14" s="63">
        <f t="shared" si="20"/>
        <v>4.8207732590134214E-5</v>
      </c>
      <c r="AF14" s="63">
        <f t="shared" si="21"/>
        <v>2.063486587631071E-2</v>
      </c>
      <c r="AG14" s="63">
        <f t="shared" si="22"/>
        <v>4.0608000000000005E-2</v>
      </c>
      <c r="AH14" s="63">
        <f t="shared" si="23"/>
        <v>0</v>
      </c>
      <c r="AI14" s="63">
        <f t="shared" si="48"/>
        <v>0.22378064516129031</v>
      </c>
      <c r="AJ14" s="63">
        <f t="shared" si="49"/>
        <v>0.28507171877019116</v>
      </c>
      <c r="AK14" s="63">
        <f t="shared" si="24"/>
        <v>3.0670538722949243E-2</v>
      </c>
      <c r="AL14" s="63">
        <f t="shared" si="25"/>
        <v>7.8578881544955187E-7</v>
      </c>
      <c r="AM14" s="63">
        <f t="shared" si="26"/>
        <v>1.0215256591548701E-6</v>
      </c>
      <c r="AN14" s="63">
        <f t="shared" si="27"/>
        <v>4.0364151334020939E-3</v>
      </c>
      <c r="AO14" s="63">
        <f t="shared" si="28"/>
        <v>22.422286066048631</v>
      </c>
      <c r="AP14" s="63">
        <f t="shared" si="50"/>
        <v>4.0364151334020939E-3</v>
      </c>
      <c r="AQ14" s="61">
        <f t="shared" si="29"/>
        <v>0.46248</v>
      </c>
      <c r="AR14" s="61">
        <f t="shared" si="30"/>
        <v>50128320000</v>
      </c>
      <c r="AS14" s="61">
        <f t="shared" si="51"/>
        <v>0.46248</v>
      </c>
      <c r="AT14" s="61">
        <f t="shared" si="52"/>
        <v>0.23869935483870966</v>
      </c>
      <c r="AU14" s="63">
        <f t="shared" si="53"/>
        <v>0.24273679149777092</v>
      </c>
      <c r="AV14" s="63">
        <f t="shared" si="31"/>
        <v>1.813313872545033E-4</v>
      </c>
      <c r="AW14" s="63">
        <f t="shared" si="32"/>
        <v>2.9760000000000003E-3</v>
      </c>
      <c r="AX14" s="63">
        <f t="shared" si="33"/>
        <v>0.24299000000000001</v>
      </c>
      <c r="AY14" s="63">
        <f t="shared" si="34"/>
        <v>0.24596600000000002</v>
      </c>
      <c r="AZ14" s="63">
        <f t="shared" si="35"/>
        <v>2.3742145109126453</v>
      </c>
      <c r="BA14" s="64">
        <f t="shared" si="36"/>
        <v>4.7</v>
      </c>
      <c r="BB14" s="76">
        <f t="shared" si="54"/>
        <v>0.66438471617588146</v>
      </c>
      <c r="BC14" s="64">
        <f t="shared" si="55"/>
        <v>66.438471617588149</v>
      </c>
      <c r="BD14" s="63">
        <f t="shared" si="37"/>
        <v>1.600231083861092</v>
      </c>
      <c r="BE14" s="63">
        <f t="shared" si="56"/>
        <v>0.52780851026796205</v>
      </c>
      <c r="BF14" s="63">
        <f t="shared" si="38"/>
        <v>0.28507171877019116</v>
      </c>
      <c r="BG14" s="63">
        <f t="shared" si="39"/>
        <v>0.24273679149777092</v>
      </c>
      <c r="BH14" s="63">
        <f t="shared" si="40"/>
        <v>1.813313872545033E-4</v>
      </c>
      <c r="BI14" s="63">
        <f t="shared" si="57"/>
        <v>0.24596600000000002</v>
      </c>
      <c r="BJ14" s="63">
        <f t="shared" si="58"/>
        <v>9.2116226865734679E-7</v>
      </c>
      <c r="BK14" s="63">
        <f t="shared" si="59"/>
        <v>2.6664234068129029E-5</v>
      </c>
      <c r="BL14" s="63">
        <f t="shared" si="60"/>
        <v>2.3742145109126458</v>
      </c>
      <c r="BP14" s="77"/>
      <c r="BQ14" s="77"/>
      <c r="BR14" s="77"/>
      <c r="BS14" s="78"/>
    </row>
    <row r="15" spans="3:71" x14ac:dyDescent="0.25">
      <c r="C15" s="61">
        <v>3</v>
      </c>
      <c r="D15" s="61">
        <f t="shared" si="0"/>
        <v>100</v>
      </c>
      <c r="E15" s="61">
        <f t="shared" si="1"/>
        <v>100</v>
      </c>
      <c r="F15" s="61">
        <f t="shared" si="2"/>
        <v>100</v>
      </c>
      <c r="G15" s="73">
        <f t="shared" si="3"/>
        <v>24</v>
      </c>
      <c r="H15" s="64">
        <f t="shared" si="4"/>
        <v>1</v>
      </c>
      <c r="I15" s="63">
        <f t="shared" si="41"/>
        <v>0.3</v>
      </c>
      <c r="J15" s="65">
        <f t="shared" si="5"/>
        <v>8.3533953124311573E-4</v>
      </c>
      <c r="K15" s="65">
        <f t="shared" si="6"/>
        <v>8.3533953124311573E-4</v>
      </c>
      <c r="L15" s="65">
        <f t="shared" si="7"/>
        <v>5.097492818882457E-3</v>
      </c>
      <c r="M15" s="65">
        <f t="shared" si="8"/>
        <v>4.0000000000000001E-3</v>
      </c>
      <c r="N15" s="63">
        <f t="shared" si="9"/>
        <v>0.97929082707104331</v>
      </c>
      <c r="O15" s="64">
        <f t="shared" si="10"/>
        <v>0.25298136522398351</v>
      </c>
      <c r="P15" s="64">
        <f t="shared" si="11"/>
        <v>0.42649068261199174</v>
      </c>
      <c r="Q15" s="64">
        <f t="shared" si="12"/>
        <v>0.17350931738800823</v>
      </c>
      <c r="R15" s="64">
        <f t="shared" si="13"/>
        <v>0</v>
      </c>
      <c r="S15" s="64">
        <f t="shared" si="14"/>
        <v>0.30876090684521984</v>
      </c>
      <c r="T15" s="63">
        <f t="shared" si="42"/>
        <v>4.8596079989539538E-4</v>
      </c>
      <c r="U15" s="63">
        <f t="shared" si="15"/>
        <v>1.6</v>
      </c>
      <c r="V15" s="63">
        <f t="shared" si="43"/>
        <v>1.6004859607998956</v>
      </c>
      <c r="W15" s="64">
        <f t="shared" si="44"/>
        <v>7.3029429656012959E-2</v>
      </c>
      <c r="X15" s="63">
        <f t="shared" si="16"/>
        <v>2.6666487979412729E-5</v>
      </c>
      <c r="Y15" s="63">
        <f t="shared" si="45"/>
        <v>2.6666487979412729E-5</v>
      </c>
      <c r="Z15" s="64">
        <f t="shared" si="17"/>
        <v>4.3970310089763223E-2</v>
      </c>
      <c r="AA15" s="74">
        <f t="shared" si="18"/>
        <v>1.9333881693899335E-6</v>
      </c>
      <c r="AB15" s="75">
        <f t="shared" si="46"/>
        <v>1.9333881693899335E-6</v>
      </c>
      <c r="AC15" s="63">
        <f t="shared" si="19"/>
        <v>0.30554708941516967</v>
      </c>
      <c r="AD15" s="63">
        <f t="shared" si="47"/>
        <v>7.7986483220242095E-5</v>
      </c>
      <c r="AE15" s="63">
        <f t="shared" si="20"/>
        <v>1.0138438902607922E-4</v>
      </c>
      <c r="AF15" s="63">
        <f t="shared" si="21"/>
        <v>2.9127199267353059E-2</v>
      </c>
      <c r="AG15" s="63">
        <f t="shared" si="22"/>
        <v>4.0608000000000005E-2</v>
      </c>
      <c r="AH15" s="63">
        <f t="shared" si="23"/>
        <v>0</v>
      </c>
      <c r="AI15" s="63">
        <f t="shared" si="48"/>
        <v>0.22378064516129031</v>
      </c>
      <c r="AJ15" s="63">
        <f t="shared" si="49"/>
        <v>0.2936172288176695</v>
      </c>
      <c r="AK15" s="63">
        <f t="shared" si="24"/>
        <v>4.4432800337147582E-2</v>
      </c>
      <c r="AL15" s="63">
        <f t="shared" si="25"/>
        <v>1.6491889053628493E-6</v>
      </c>
      <c r="AM15" s="63">
        <f t="shared" si="26"/>
        <v>2.1439464538433354E-6</v>
      </c>
      <c r="AN15" s="63">
        <f t="shared" si="27"/>
        <v>6.2923950333789117E-3</v>
      </c>
      <c r="AO15" s="63">
        <f t="shared" si="28"/>
        <v>34.95425441041985</v>
      </c>
      <c r="AP15" s="63">
        <f t="shared" si="50"/>
        <v>6.2923950333789117E-3</v>
      </c>
      <c r="AQ15" s="61">
        <f t="shared" si="29"/>
        <v>0.46248</v>
      </c>
      <c r="AR15" s="61">
        <f t="shared" si="30"/>
        <v>50128320000</v>
      </c>
      <c r="AS15" s="61">
        <f t="shared" si="51"/>
        <v>0.46248</v>
      </c>
      <c r="AT15" s="61">
        <f t="shared" si="52"/>
        <v>0.23869935483870966</v>
      </c>
      <c r="AU15" s="63">
        <f t="shared" si="53"/>
        <v>0.24499389381854242</v>
      </c>
      <c r="AV15" s="63">
        <f t="shared" si="31"/>
        <v>3.813331903835301E-4</v>
      </c>
      <c r="AW15" s="63">
        <f t="shared" si="32"/>
        <v>2.9760000000000003E-3</v>
      </c>
      <c r="AX15" s="63">
        <f t="shared" si="33"/>
        <v>0.24299000000000001</v>
      </c>
      <c r="AY15" s="63">
        <f t="shared" si="34"/>
        <v>0.24596600000000002</v>
      </c>
      <c r="AZ15" s="63">
        <f t="shared" si="35"/>
        <v>2.3854730165026399</v>
      </c>
      <c r="BA15" s="64">
        <f t="shared" si="36"/>
        <v>7.05</v>
      </c>
      <c r="BB15" s="76">
        <f t="shared" si="54"/>
        <v>0.74718034672660838</v>
      </c>
      <c r="BC15" s="64">
        <f t="shared" si="55"/>
        <v>74.718034672660835</v>
      </c>
      <c r="BD15" s="63">
        <f t="shared" si="37"/>
        <v>1.6004859607998956</v>
      </c>
      <c r="BE15" s="63">
        <f t="shared" si="56"/>
        <v>0.53861112263621191</v>
      </c>
      <c r="BF15" s="63">
        <f t="shared" si="38"/>
        <v>0.2936172288176695</v>
      </c>
      <c r="BG15" s="63">
        <f t="shared" si="39"/>
        <v>0.24499389381854242</v>
      </c>
      <c r="BH15" s="63">
        <f t="shared" si="40"/>
        <v>3.813331903835301E-4</v>
      </c>
      <c r="BI15" s="63">
        <f t="shared" si="57"/>
        <v>0.24596600000000002</v>
      </c>
      <c r="BJ15" s="63">
        <f t="shared" si="58"/>
        <v>1.9333881693899335E-6</v>
      </c>
      <c r="BK15" s="63">
        <f t="shared" si="59"/>
        <v>2.6666487979412729E-5</v>
      </c>
      <c r="BL15" s="63">
        <f t="shared" si="60"/>
        <v>2.3854730165026403</v>
      </c>
      <c r="BP15" s="77"/>
      <c r="BQ15" s="77"/>
      <c r="BR15" s="77"/>
      <c r="BS15" s="78"/>
    </row>
    <row r="16" spans="3:71" x14ac:dyDescent="0.25">
      <c r="C16" s="61">
        <v>4</v>
      </c>
      <c r="D16" s="61">
        <f t="shared" si="0"/>
        <v>100</v>
      </c>
      <c r="E16" s="61">
        <f t="shared" si="1"/>
        <v>100</v>
      </c>
      <c r="F16" s="61">
        <f t="shared" si="2"/>
        <v>100</v>
      </c>
      <c r="G16" s="73">
        <f t="shared" si="3"/>
        <v>24</v>
      </c>
      <c r="H16" s="64">
        <f t="shared" si="4"/>
        <v>1</v>
      </c>
      <c r="I16" s="63">
        <f t="shared" si="41"/>
        <v>0.4</v>
      </c>
      <c r="J16" s="65">
        <f t="shared" si="5"/>
        <v>8.3533953124311573E-4</v>
      </c>
      <c r="K16" s="65">
        <f t="shared" si="6"/>
        <v>8.3533953124311573E-4</v>
      </c>
      <c r="L16" s="65">
        <f t="shared" si="7"/>
        <v>5.097492818882457E-3</v>
      </c>
      <c r="M16" s="65">
        <f t="shared" si="8"/>
        <v>4.0000000000000001E-3</v>
      </c>
      <c r="N16" s="63">
        <f t="shared" si="9"/>
        <v>0.97933221387250213</v>
      </c>
      <c r="O16" s="64">
        <f t="shared" si="10"/>
        <v>0.25299205672567626</v>
      </c>
      <c r="P16" s="64">
        <f t="shared" si="11"/>
        <v>0.52649602836283815</v>
      </c>
      <c r="Q16" s="64">
        <f t="shared" si="12"/>
        <v>0.27350397163716189</v>
      </c>
      <c r="R16" s="64">
        <f t="shared" si="13"/>
        <v>0</v>
      </c>
      <c r="S16" s="64">
        <f t="shared" si="14"/>
        <v>0.40661252857873265</v>
      </c>
      <c r="T16" s="63">
        <f t="shared" si="42"/>
        <v>8.4278759517359835E-4</v>
      </c>
      <c r="U16" s="63">
        <f t="shared" si="15"/>
        <v>1.6</v>
      </c>
      <c r="V16" s="63">
        <f t="shared" si="43"/>
        <v>1.6008427875951736</v>
      </c>
      <c r="W16" s="64">
        <f t="shared" si="44"/>
        <v>7.3032516026703131E-2</v>
      </c>
      <c r="X16" s="63">
        <f t="shared" si="16"/>
        <v>2.6668741985953249E-5</v>
      </c>
      <c r="Y16" s="63">
        <f t="shared" si="45"/>
        <v>2.6668741985953249E-5</v>
      </c>
      <c r="Z16" s="64">
        <f t="shared" si="17"/>
        <v>5.7848587019698583E-2</v>
      </c>
      <c r="AA16" s="74">
        <f t="shared" si="18"/>
        <v>3.3464590201756395E-6</v>
      </c>
      <c r="AB16" s="75">
        <f t="shared" si="46"/>
        <v>3.3464590201756395E-6</v>
      </c>
      <c r="AC16" s="63">
        <f t="shared" si="19"/>
        <v>0.40238869994777438</v>
      </c>
      <c r="AD16" s="63">
        <f t="shared" si="47"/>
        <v>1.3525539174796182E-4</v>
      </c>
      <c r="AE16" s="63">
        <f t="shared" si="20"/>
        <v>1.7583790746256473E-4</v>
      </c>
      <c r="AF16" s="63">
        <f t="shared" si="21"/>
        <v>3.7619532658395405E-2</v>
      </c>
      <c r="AG16" s="63">
        <f t="shared" si="22"/>
        <v>4.0608000000000005E-2</v>
      </c>
      <c r="AH16" s="63">
        <f t="shared" si="23"/>
        <v>0</v>
      </c>
      <c r="AI16" s="63">
        <f t="shared" si="48"/>
        <v>0.22378064516129031</v>
      </c>
      <c r="AJ16" s="63">
        <f t="shared" si="49"/>
        <v>0.30218401572714826</v>
      </c>
      <c r="AK16" s="63">
        <f t="shared" si="24"/>
        <v>5.8455817088897834E-2</v>
      </c>
      <c r="AL16" s="63">
        <f t="shared" si="25"/>
        <v>2.8544241368146683E-6</v>
      </c>
      <c r="AM16" s="63">
        <f t="shared" si="26"/>
        <v>3.7107540046913865E-6</v>
      </c>
      <c r="AN16" s="63">
        <f t="shared" si="27"/>
        <v>8.5483749333557305E-3</v>
      </c>
      <c r="AO16" s="63">
        <f t="shared" si="28"/>
        <v>47.486222754791079</v>
      </c>
      <c r="AP16" s="63">
        <f t="shared" si="50"/>
        <v>8.5483749333557305E-3</v>
      </c>
      <c r="AQ16" s="61">
        <f t="shared" si="29"/>
        <v>0.46248</v>
      </c>
      <c r="AR16" s="61">
        <f t="shared" si="30"/>
        <v>50128320000</v>
      </c>
      <c r="AS16" s="61">
        <f t="shared" si="51"/>
        <v>0.46248</v>
      </c>
      <c r="AT16" s="61">
        <f t="shared" si="52"/>
        <v>0.23869935483870966</v>
      </c>
      <c r="AU16" s="63">
        <f t="shared" si="53"/>
        <v>0.24725144052607009</v>
      </c>
      <c r="AV16" s="63">
        <f t="shared" si="31"/>
        <v>6.6133499358876266E-4</v>
      </c>
      <c r="AW16" s="63">
        <f t="shared" si="32"/>
        <v>2.9760000000000003E-3</v>
      </c>
      <c r="AX16" s="63">
        <f t="shared" si="33"/>
        <v>0.24299000000000001</v>
      </c>
      <c r="AY16" s="63">
        <f t="shared" si="34"/>
        <v>0.24596600000000002</v>
      </c>
      <c r="AZ16" s="63">
        <f t="shared" si="35"/>
        <v>2.3969355940429868</v>
      </c>
      <c r="BA16" s="64">
        <f t="shared" si="36"/>
        <v>9.4</v>
      </c>
      <c r="BB16" s="76">
        <f t="shared" si="54"/>
        <v>0.79681709924284494</v>
      </c>
      <c r="BC16" s="64">
        <f t="shared" si="55"/>
        <v>79.68170992428449</v>
      </c>
      <c r="BD16" s="63">
        <f t="shared" si="37"/>
        <v>1.6008427875951736</v>
      </c>
      <c r="BE16" s="63">
        <f t="shared" si="56"/>
        <v>0.54943545625321832</v>
      </c>
      <c r="BF16" s="63">
        <f t="shared" si="38"/>
        <v>0.30218401572714826</v>
      </c>
      <c r="BG16" s="63">
        <f t="shared" si="39"/>
        <v>0.24725144052607009</v>
      </c>
      <c r="BH16" s="63">
        <f t="shared" si="40"/>
        <v>6.6133499358876266E-4</v>
      </c>
      <c r="BI16" s="63">
        <f t="shared" si="57"/>
        <v>0.24596600000000002</v>
      </c>
      <c r="BJ16" s="63">
        <f t="shared" si="58"/>
        <v>3.3464590201756395E-6</v>
      </c>
      <c r="BK16" s="63">
        <f t="shared" si="59"/>
        <v>2.6668741985953249E-5</v>
      </c>
      <c r="BL16" s="63">
        <f t="shared" si="60"/>
        <v>2.3969355940429868</v>
      </c>
      <c r="BP16" s="77"/>
      <c r="BQ16" s="77"/>
      <c r="BR16" s="77"/>
      <c r="BS16" s="78"/>
    </row>
    <row r="17" spans="3:71" x14ac:dyDescent="0.25">
      <c r="C17" s="61">
        <v>5</v>
      </c>
      <c r="D17" s="61">
        <f t="shared" si="0"/>
        <v>100</v>
      </c>
      <c r="E17" s="61">
        <f t="shared" si="1"/>
        <v>100</v>
      </c>
      <c r="F17" s="61">
        <f t="shared" si="2"/>
        <v>100</v>
      </c>
      <c r="G17" s="73">
        <f t="shared" si="3"/>
        <v>24</v>
      </c>
      <c r="H17" s="64">
        <f t="shared" si="4"/>
        <v>1</v>
      </c>
      <c r="I17" s="63">
        <f t="shared" si="41"/>
        <v>0.5</v>
      </c>
      <c r="J17" s="65">
        <f t="shared" si="5"/>
        <v>8.3533953124311573E-4</v>
      </c>
      <c r="K17" s="65">
        <f t="shared" si="6"/>
        <v>8.3533953124311573E-4</v>
      </c>
      <c r="L17" s="65">
        <f t="shared" si="7"/>
        <v>5.097492818882457E-3</v>
      </c>
      <c r="M17" s="65">
        <f t="shared" si="8"/>
        <v>4.0000000000000001E-3</v>
      </c>
      <c r="N17" s="63">
        <f t="shared" si="9"/>
        <v>0.97937360067396095</v>
      </c>
      <c r="O17" s="64">
        <f t="shared" si="10"/>
        <v>0.25300274822736896</v>
      </c>
      <c r="P17" s="64">
        <f t="shared" si="11"/>
        <v>0.62650137411368445</v>
      </c>
      <c r="Q17" s="64">
        <f t="shared" si="12"/>
        <v>0.37349862588631555</v>
      </c>
      <c r="R17" s="64">
        <f t="shared" si="13"/>
        <v>0</v>
      </c>
      <c r="S17" s="64">
        <f t="shared" si="14"/>
        <v>0.50530604510291599</v>
      </c>
      <c r="T17" s="63">
        <f t="shared" si="42"/>
        <v>1.3015642469265648E-3</v>
      </c>
      <c r="U17" s="63">
        <f t="shared" si="15"/>
        <v>1.6</v>
      </c>
      <c r="V17" s="63">
        <f t="shared" si="43"/>
        <v>1.6013015642469266</v>
      </c>
      <c r="W17" s="64">
        <f t="shared" si="44"/>
        <v>7.303560239739329E-2</v>
      </c>
      <c r="X17" s="63">
        <f t="shared" si="16"/>
        <v>2.6670996087750602E-5</v>
      </c>
      <c r="Y17" s="63">
        <f t="shared" si="45"/>
        <v>2.6670996087750602E-5</v>
      </c>
      <c r="Z17" s="64">
        <f t="shared" si="17"/>
        <v>7.1819173213809068E-2</v>
      </c>
      <c r="AA17" s="74">
        <f t="shared" si="18"/>
        <v>5.1579936411151106E-6</v>
      </c>
      <c r="AB17" s="75">
        <f t="shared" si="46"/>
        <v>5.1579936411151106E-6</v>
      </c>
      <c r="AC17" s="63">
        <f t="shared" si="19"/>
        <v>0.50006756949725761</v>
      </c>
      <c r="AD17" s="63">
        <f t="shared" si="47"/>
        <v>2.0889133009680149E-4</v>
      </c>
      <c r="AE17" s="63">
        <f t="shared" si="20"/>
        <v>2.715727979681824E-4</v>
      </c>
      <c r="AF17" s="63">
        <f t="shared" si="21"/>
        <v>4.6111866049437747E-2</v>
      </c>
      <c r="AG17" s="63">
        <f t="shared" si="22"/>
        <v>4.0608000000000005E-2</v>
      </c>
      <c r="AH17" s="63">
        <f t="shared" si="23"/>
        <v>0</v>
      </c>
      <c r="AI17" s="63">
        <f t="shared" si="48"/>
        <v>0.22378064516129031</v>
      </c>
      <c r="AJ17" s="63">
        <f t="shared" si="49"/>
        <v>0.31077208400869627</v>
      </c>
      <c r="AK17" s="63">
        <f t="shared" si="24"/>
        <v>7.2571517516554634E-2</v>
      </c>
      <c r="AL17" s="63">
        <f t="shared" si="25"/>
        <v>4.3994201879232077E-6</v>
      </c>
      <c r="AM17" s="63">
        <f t="shared" si="26"/>
        <v>5.7192524843260904E-6</v>
      </c>
      <c r="AN17" s="63">
        <f t="shared" si="27"/>
        <v>1.0804354833332547E-2</v>
      </c>
      <c r="AO17" s="63">
        <f t="shared" si="28"/>
        <v>60.018191099162294</v>
      </c>
      <c r="AP17" s="63">
        <f t="shared" si="50"/>
        <v>1.0804354833332547E-2</v>
      </c>
      <c r="AQ17" s="61">
        <f t="shared" si="29"/>
        <v>0.46248</v>
      </c>
      <c r="AR17" s="61">
        <f t="shared" si="30"/>
        <v>50128320000</v>
      </c>
      <c r="AS17" s="61">
        <f t="shared" si="51"/>
        <v>0.46248</v>
      </c>
      <c r="AT17" s="61">
        <f t="shared" si="52"/>
        <v>0.23869935483870966</v>
      </c>
      <c r="AU17" s="63">
        <f t="shared" si="53"/>
        <v>0.24950942892452654</v>
      </c>
      <c r="AV17" s="63">
        <f t="shared" si="31"/>
        <v>1.0213367968702008E-3</v>
      </c>
      <c r="AW17" s="63">
        <f t="shared" si="32"/>
        <v>2.9760000000000003E-3</v>
      </c>
      <c r="AX17" s="63">
        <f t="shared" si="33"/>
        <v>0.24299000000000001</v>
      </c>
      <c r="AY17" s="63">
        <f t="shared" si="34"/>
        <v>0.24596600000000002</v>
      </c>
      <c r="AZ17" s="63">
        <f t="shared" si="35"/>
        <v>2.4086022429667482</v>
      </c>
      <c r="BA17" s="64">
        <f t="shared" si="36"/>
        <v>11.75</v>
      </c>
      <c r="BB17" s="76">
        <f t="shared" si="54"/>
        <v>0.82988417912769497</v>
      </c>
      <c r="BC17" s="64">
        <f t="shared" si="55"/>
        <v>82.988417912769492</v>
      </c>
      <c r="BD17" s="63">
        <f t="shared" si="37"/>
        <v>1.6013015642469266</v>
      </c>
      <c r="BE17" s="63">
        <f t="shared" si="56"/>
        <v>0.56028151293322281</v>
      </c>
      <c r="BF17" s="63">
        <f t="shared" si="38"/>
        <v>0.31077208400869627</v>
      </c>
      <c r="BG17" s="63">
        <f t="shared" si="39"/>
        <v>0.24950942892452654</v>
      </c>
      <c r="BH17" s="63">
        <f t="shared" si="40"/>
        <v>1.0213367968702008E-3</v>
      </c>
      <c r="BI17" s="63">
        <f t="shared" si="57"/>
        <v>0.24596600000000002</v>
      </c>
      <c r="BJ17" s="63">
        <f t="shared" si="58"/>
        <v>5.1579936411151106E-6</v>
      </c>
      <c r="BK17" s="63">
        <f t="shared" si="59"/>
        <v>2.6670996087750602E-5</v>
      </c>
      <c r="BL17" s="63">
        <f t="shared" si="60"/>
        <v>2.4086022429667486</v>
      </c>
      <c r="BP17" s="77"/>
      <c r="BQ17" s="77"/>
      <c r="BR17" s="77"/>
      <c r="BS17" s="78"/>
    </row>
    <row r="18" spans="3:71" x14ac:dyDescent="0.25">
      <c r="C18" s="61">
        <v>6</v>
      </c>
      <c r="D18" s="61">
        <f t="shared" si="0"/>
        <v>100</v>
      </c>
      <c r="E18" s="61">
        <f t="shared" si="1"/>
        <v>100</v>
      </c>
      <c r="F18" s="61">
        <f t="shared" si="2"/>
        <v>100</v>
      </c>
      <c r="G18" s="73">
        <f t="shared" si="3"/>
        <v>24</v>
      </c>
      <c r="H18" s="64">
        <f t="shared" si="4"/>
        <v>1</v>
      </c>
      <c r="I18" s="63">
        <f t="shared" si="41"/>
        <v>0.6</v>
      </c>
      <c r="J18" s="65">
        <f t="shared" si="5"/>
        <v>8.3533953124311573E-4</v>
      </c>
      <c r="K18" s="65">
        <f t="shared" si="6"/>
        <v>8.3533953124311573E-4</v>
      </c>
      <c r="L18" s="65">
        <f t="shared" si="7"/>
        <v>5.097492818882457E-3</v>
      </c>
      <c r="M18" s="65">
        <f t="shared" si="8"/>
        <v>4.0000000000000001E-3</v>
      </c>
      <c r="N18" s="63">
        <f t="shared" si="9"/>
        <v>0.97941498747541977</v>
      </c>
      <c r="O18" s="64">
        <f t="shared" si="10"/>
        <v>0.25301343972906171</v>
      </c>
      <c r="P18" s="64">
        <f t="shared" si="11"/>
        <v>0.72650671986453086</v>
      </c>
      <c r="Q18" s="64">
        <f t="shared" si="12"/>
        <v>0.4734932801354691</v>
      </c>
      <c r="R18" s="64">
        <f t="shared" si="13"/>
        <v>0</v>
      </c>
      <c r="S18" s="64">
        <f t="shared" si="14"/>
        <v>0.60442919358429481</v>
      </c>
      <c r="T18" s="63">
        <f t="shared" si="42"/>
        <v>1.8622907551542936E-3</v>
      </c>
      <c r="U18" s="63">
        <f t="shared" si="15"/>
        <v>1.6</v>
      </c>
      <c r="V18" s="63">
        <f t="shared" si="43"/>
        <v>1.6018622907551543</v>
      </c>
      <c r="W18" s="64">
        <f t="shared" si="44"/>
        <v>7.3038688768083476E-2</v>
      </c>
      <c r="X18" s="63">
        <f t="shared" si="16"/>
        <v>2.6673250284804817E-5</v>
      </c>
      <c r="Y18" s="63">
        <f t="shared" si="45"/>
        <v>2.6673250284804817E-5</v>
      </c>
      <c r="Z18" s="64">
        <f t="shared" si="17"/>
        <v>8.582313465040084E-2</v>
      </c>
      <c r="AA18" s="74">
        <f t="shared" si="18"/>
        <v>7.3656104412208337E-6</v>
      </c>
      <c r="AB18" s="75">
        <f t="shared" si="46"/>
        <v>7.3656104412208337E-6</v>
      </c>
      <c r="AC18" s="63">
        <f t="shared" si="19"/>
        <v>0.59817575319455674</v>
      </c>
      <c r="AD18" s="63">
        <f t="shared" si="47"/>
        <v>2.9889637258864277E-4</v>
      </c>
      <c r="AE18" s="63">
        <f t="shared" si="20"/>
        <v>3.8859408940744144E-4</v>
      </c>
      <c r="AF18" s="63">
        <f t="shared" si="21"/>
        <v>5.4604199440480089E-2</v>
      </c>
      <c r="AG18" s="63">
        <f t="shared" si="22"/>
        <v>4.0608000000000005E-2</v>
      </c>
      <c r="AH18" s="63">
        <f t="shared" si="23"/>
        <v>0</v>
      </c>
      <c r="AI18" s="63">
        <f t="shared" si="48"/>
        <v>0.22378064516129031</v>
      </c>
      <c r="AJ18" s="63">
        <f t="shared" si="49"/>
        <v>0.31938143869117785</v>
      </c>
      <c r="AK18" s="63">
        <f t="shared" si="24"/>
        <v>8.6720345635183424E-2</v>
      </c>
      <c r="AL18" s="63">
        <f t="shared" si="25"/>
        <v>6.2821027368066771E-6</v>
      </c>
      <c r="AM18" s="63">
        <f t="shared" si="26"/>
        <v>8.1667462813247937E-6</v>
      </c>
      <c r="AN18" s="63">
        <f t="shared" si="27"/>
        <v>1.3060334733309364E-2</v>
      </c>
      <c r="AO18" s="63">
        <f t="shared" si="28"/>
        <v>72.550159443533516</v>
      </c>
      <c r="AP18" s="63">
        <f t="shared" si="50"/>
        <v>1.3060334733309364E-2</v>
      </c>
      <c r="AQ18" s="61">
        <f t="shared" si="29"/>
        <v>0.46248</v>
      </c>
      <c r="AR18" s="61">
        <f t="shared" si="30"/>
        <v>50128320000</v>
      </c>
      <c r="AS18" s="61">
        <f t="shared" si="51"/>
        <v>0.46248</v>
      </c>
      <c r="AT18" s="61">
        <f t="shared" si="52"/>
        <v>0.23869935483870966</v>
      </c>
      <c r="AU18" s="63">
        <f t="shared" si="53"/>
        <v>0.25176785631830034</v>
      </c>
      <c r="AV18" s="63">
        <f t="shared" si="31"/>
        <v>1.4613386002278437E-3</v>
      </c>
      <c r="AW18" s="63">
        <f t="shared" si="32"/>
        <v>2.9760000000000003E-3</v>
      </c>
      <c r="AX18" s="63">
        <f t="shared" si="33"/>
        <v>0.24299000000000001</v>
      </c>
      <c r="AY18" s="63">
        <f t="shared" si="34"/>
        <v>0.24596600000000002</v>
      </c>
      <c r="AZ18" s="63">
        <f t="shared" si="35"/>
        <v>2.4204729632255861</v>
      </c>
      <c r="BA18" s="64">
        <f t="shared" si="36"/>
        <v>14.1</v>
      </c>
      <c r="BB18" s="76">
        <f t="shared" si="54"/>
        <v>0.85348646079240365</v>
      </c>
      <c r="BC18" s="64">
        <f t="shared" si="55"/>
        <v>85.348646079240368</v>
      </c>
      <c r="BD18" s="63">
        <f t="shared" si="37"/>
        <v>1.6018622907551543</v>
      </c>
      <c r="BE18" s="63">
        <f t="shared" si="56"/>
        <v>0.5711492950094782</v>
      </c>
      <c r="BF18" s="63">
        <f t="shared" si="38"/>
        <v>0.31938143869117785</v>
      </c>
      <c r="BG18" s="63">
        <f t="shared" si="39"/>
        <v>0.25176785631830034</v>
      </c>
      <c r="BH18" s="63">
        <f t="shared" si="40"/>
        <v>1.4613386002278437E-3</v>
      </c>
      <c r="BI18" s="63">
        <f t="shared" si="57"/>
        <v>0.24596600000000002</v>
      </c>
      <c r="BJ18" s="63">
        <f t="shared" si="58"/>
        <v>7.3656104412208337E-6</v>
      </c>
      <c r="BK18" s="63">
        <f t="shared" si="59"/>
        <v>2.6673250284804817E-5</v>
      </c>
      <c r="BL18" s="63">
        <f t="shared" si="60"/>
        <v>2.4204729632255866</v>
      </c>
      <c r="BP18" s="77"/>
      <c r="BQ18" s="77"/>
      <c r="BR18" s="77"/>
      <c r="BS18" s="78"/>
    </row>
    <row r="19" spans="3:71" x14ac:dyDescent="0.25">
      <c r="C19" s="61">
        <v>7</v>
      </c>
      <c r="D19" s="61">
        <f t="shared" si="0"/>
        <v>100</v>
      </c>
      <c r="E19" s="61">
        <f t="shared" si="1"/>
        <v>100</v>
      </c>
      <c r="F19" s="61">
        <f t="shared" si="2"/>
        <v>100</v>
      </c>
      <c r="G19" s="73">
        <f t="shared" si="3"/>
        <v>24</v>
      </c>
      <c r="H19" s="64">
        <f t="shared" si="4"/>
        <v>1</v>
      </c>
      <c r="I19" s="63">
        <f t="shared" si="41"/>
        <v>0.7</v>
      </c>
      <c r="J19" s="65">
        <f t="shared" si="5"/>
        <v>8.3533953124311573E-4</v>
      </c>
      <c r="K19" s="65">
        <f t="shared" si="6"/>
        <v>8.3533953124311573E-4</v>
      </c>
      <c r="L19" s="65">
        <f t="shared" si="7"/>
        <v>5.097492818882457E-3</v>
      </c>
      <c r="M19" s="65">
        <f t="shared" si="8"/>
        <v>4.0000000000000001E-3</v>
      </c>
      <c r="N19" s="63">
        <f t="shared" si="9"/>
        <v>0.97945637427687871</v>
      </c>
      <c r="O19" s="64">
        <f t="shared" si="10"/>
        <v>0.25302413123075446</v>
      </c>
      <c r="P19" s="64">
        <f t="shared" si="11"/>
        <v>0.82651206561537716</v>
      </c>
      <c r="Q19" s="64">
        <f t="shared" si="12"/>
        <v>0.57348793438462276</v>
      </c>
      <c r="R19" s="64">
        <f t="shared" si="13"/>
        <v>0</v>
      </c>
      <c r="S19" s="64">
        <f t="shared" si="14"/>
        <v>0.70380046953339204</v>
      </c>
      <c r="T19" s="63">
        <f t="shared" si="42"/>
        <v>2.5249671198567863E-3</v>
      </c>
      <c r="U19" s="63">
        <f t="shared" si="15"/>
        <v>1.6</v>
      </c>
      <c r="V19" s="63">
        <f t="shared" si="43"/>
        <v>1.6025249671198569</v>
      </c>
      <c r="W19" s="64">
        <f t="shared" si="44"/>
        <v>7.3041775138773649E-2</v>
      </c>
      <c r="X19" s="63">
        <f t="shared" si="16"/>
        <v>2.6675504577115859E-5</v>
      </c>
      <c r="Y19" s="63">
        <f t="shared" si="45"/>
        <v>2.6675504577115859E-5</v>
      </c>
      <c r="Z19" s="64">
        <f t="shared" si="17"/>
        <v>9.9834500141068969E-2</v>
      </c>
      <c r="AA19" s="74">
        <f t="shared" si="18"/>
        <v>9.9669274184170997E-6</v>
      </c>
      <c r="AB19" s="75">
        <f t="shared" si="46"/>
        <v>9.9669274184170997E-6</v>
      </c>
      <c r="AC19" s="63">
        <f t="shared" si="19"/>
        <v>0.69653364742465396</v>
      </c>
      <c r="AD19" s="63">
        <f t="shared" si="47"/>
        <v>4.0527259354536773E-4</v>
      </c>
      <c r="AE19" s="63">
        <f t="shared" si="20"/>
        <v>5.2690732980180453E-4</v>
      </c>
      <c r="AF19" s="63">
        <f t="shared" si="21"/>
        <v>6.3096532831522431E-2</v>
      </c>
      <c r="AG19" s="63">
        <f t="shared" si="22"/>
        <v>4.0608000000000005E-2</v>
      </c>
      <c r="AH19" s="63">
        <f t="shared" si="23"/>
        <v>0</v>
      </c>
      <c r="AI19" s="63">
        <f t="shared" si="48"/>
        <v>0.22378064516129031</v>
      </c>
      <c r="AJ19" s="63">
        <f t="shared" si="49"/>
        <v>0.32801208532261455</v>
      </c>
      <c r="AK19" s="63">
        <f t="shared" si="24"/>
        <v>0.1008760572223705</v>
      </c>
      <c r="AL19" s="63">
        <f t="shared" si="25"/>
        <v>8.500397461583233E-6</v>
      </c>
      <c r="AM19" s="63">
        <f t="shared" si="26"/>
        <v>1.1050539995685771E-5</v>
      </c>
      <c r="AN19" s="63">
        <f t="shared" si="27"/>
        <v>1.5316314633286183E-2</v>
      </c>
      <c r="AO19" s="63">
        <f t="shared" si="28"/>
        <v>85.082127787904739</v>
      </c>
      <c r="AP19" s="63">
        <f t="shared" si="50"/>
        <v>1.5316314633286183E-2</v>
      </c>
      <c r="AQ19" s="61">
        <f t="shared" si="29"/>
        <v>0.46248</v>
      </c>
      <c r="AR19" s="61">
        <f t="shared" si="30"/>
        <v>50128320000</v>
      </c>
      <c r="AS19" s="61">
        <f t="shared" si="51"/>
        <v>0.46248</v>
      </c>
      <c r="AT19" s="61">
        <f t="shared" si="52"/>
        <v>0.23869935483870966</v>
      </c>
      <c r="AU19" s="63">
        <f t="shared" si="53"/>
        <v>0.2540267200119915</v>
      </c>
      <c r="AV19" s="63">
        <f t="shared" si="31"/>
        <v>1.9813404036616925E-3</v>
      </c>
      <c r="AW19" s="63">
        <f t="shared" si="32"/>
        <v>2.9760000000000003E-3</v>
      </c>
      <c r="AX19" s="63">
        <f t="shared" si="33"/>
        <v>0.24299000000000001</v>
      </c>
      <c r="AY19" s="63">
        <f t="shared" si="34"/>
        <v>0.24596600000000002</v>
      </c>
      <c r="AZ19" s="63">
        <f t="shared" si="35"/>
        <v>2.4325477552901202</v>
      </c>
      <c r="BA19" s="64">
        <f t="shared" si="36"/>
        <v>16.45</v>
      </c>
      <c r="BB19" s="76">
        <f t="shared" si="54"/>
        <v>0.87117481248743989</v>
      </c>
      <c r="BC19" s="64">
        <f t="shared" si="55"/>
        <v>87.117481248743985</v>
      </c>
      <c r="BD19" s="63">
        <f t="shared" si="37"/>
        <v>1.6025249671198569</v>
      </c>
      <c r="BE19" s="63">
        <f t="shared" si="56"/>
        <v>0.58203880533460606</v>
      </c>
      <c r="BF19" s="63">
        <f t="shared" si="38"/>
        <v>0.32801208532261455</v>
      </c>
      <c r="BG19" s="63">
        <f t="shared" si="39"/>
        <v>0.2540267200119915</v>
      </c>
      <c r="BH19" s="63">
        <f t="shared" si="40"/>
        <v>1.9813404036616925E-3</v>
      </c>
      <c r="BI19" s="63">
        <f t="shared" si="57"/>
        <v>0.24596600000000002</v>
      </c>
      <c r="BJ19" s="63">
        <f t="shared" si="58"/>
        <v>9.9669274184170997E-6</v>
      </c>
      <c r="BK19" s="63">
        <f t="shared" si="59"/>
        <v>2.6675504577115859E-5</v>
      </c>
      <c r="BL19" s="63">
        <f t="shared" si="60"/>
        <v>2.4325477552901202</v>
      </c>
      <c r="BP19" s="77"/>
      <c r="BQ19" s="77"/>
      <c r="BR19" s="77"/>
      <c r="BS19" s="78"/>
    </row>
    <row r="20" spans="3:71" x14ac:dyDescent="0.25">
      <c r="C20" s="61">
        <v>8</v>
      </c>
      <c r="D20" s="61">
        <f t="shared" si="0"/>
        <v>100</v>
      </c>
      <c r="E20" s="61">
        <f t="shared" si="1"/>
        <v>100</v>
      </c>
      <c r="F20" s="61">
        <f t="shared" si="2"/>
        <v>100</v>
      </c>
      <c r="G20" s="73">
        <f t="shared" si="3"/>
        <v>24</v>
      </c>
      <c r="H20" s="64">
        <f t="shared" si="4"/>
        <v>1</v>
      </c>
      <c r="I20" s="63">
        <f t="shared" si="41"/>
        <v>0.8</v>
      </c>
      <c r="J20" s="65">
        <f t="shared" si="5"/>
        <v>8.3533953124311573E-4</v>
      </c>
      <c r="K20" s="65">
        <f t="shared" si="6"/>
        <v>8.3533953124311573E-4</v>
      </c>
      <c r="L20" s="65">
        <f t="shared" si="7"/>
        <v>5.097492818882457E-3</v>
      </c>
      <c r="M20" s="65">
        <f t="shared" si="8"/>
        <v>4.0000000000000001E-3</v>
      </c>
      <c r="N20" s="63">
        <f t="shared" si="9"/>
        <v>0.97949776107833753</v>
      </c>
      <c r="O20" s="64">
        <f t="shared" si="10"/>
        <v>0.25303482273244721</v>
      </c>
      <c r="P20" s="64">
        <f t="shared" si="11"/>
        <v>0.92651741136622368</v>
      </c>
      <c r="Q20" s="64">
        <f t="shared" si="12"/>
        <v>0.67348258863377641</v>
      </c>
      <c r="R20" s="64">
        <f t="shared" si="13"/>
        <v>0</v>
      </c>
      <c r="S20" s="64">
        <f t="shared" si="14"/>
        <v>0.80332779846892943</v>
      </c>
      <c r="T20" s="63">
        <f t="shared" si="42"/>
        <v>3.2895933410340438E-3</v>
      </c>
      <c r="U20" s="63">
        <f t="shared" si="15"/>
        <v>1.6</v>
      </c>
      <c r="V20" s="63">
        <f t="shared" si="43"/>
        <v>1.603289593341034</v>
      </c>
      <c r="W20" s="64">
        <f t="shared" si="44"/>
        <v>7.3044861509463821E-2</v>
      </c>
      <c r="X20" s="63">
        <f t="shared" si="16"/>
        <v>2.6677758964683746E-5</v>
      </c>
      <c r="Y20" s="63">
        <f t="shared" si="45"/>
        <v>2.6677758964683746E-5</v>
      </c>
      <c r="Z20" s="64">
        <f t="shared" si="17"/>
        <v>0.11384007273161845</v>
      </c>
      <c r="AA20" s="74">
        <f t="shared" si="18"/>
        <v>1.2959562159540177E-5</v>
      </c>
      <c r="AB20" s="75">
        <f t="shared" si="46"/>
        <v>1.2959562159540177E-5</v>
      </c>
      <c r="AC20" s="63">
        <f t="shared" si="19"/>
        <v>0.79505014189385259</v>
      </c>
      <c r="AD20" s="63">
        <f t="shared" si="47"/>
        <v>5.2802206728885814E-4</v>
      </c>
      <c r="AE20" s="63">
        <f t="shared" si="20"/>
        <v>6.8651858672243724E-4</v>
      </c>
      <c r="AF20" s="63">
        <f t="shared" si="21"/>
        <v>7.1588866222564787E-2</v>
      </c>
      <c r="AG20" s="63">
        <f t="shared" si="22"/>
        <v>4.0608000000000005E-2</v>
      </c>
      <c r="AH20" s="63">
        <f t="shared" si="23"/>
        <v>0</v>
      </c>
      <c r="AI20" s="63">
        <f t="shared" si="48"/>
        <v>0.22378064516129031</v>
      </c>
      <c r="AJ20" s="63">
        <f t="shared" si="49"/>
        <v>0.33666402997057754</v>
      </c>
      <c r="AK20" s="63">
        <f t="shared" si="24"/>
        <v>0.11502531750663278</v>
      </c>
      <c r="AL20" s="63">
        <f t="shared" si="25"/>
        <v>1.1052230040371175E-5</v>
      </c>
      <c r="AM20" s="63">
        <f t="shared" si="26"/>
        <v>1.4367938434327202E-5</v>
      </c>
      <c r="AN20" s="63">
        <f t="shared" si="27"/>
        <v>1.7572294533262998E-2</v>
      </c>
      <c r="AO20" s="63">
        <f t="shared" si="28"/>
        <v>97.614096132275961</v>
      </c>
      <c r="AP20" s="63">
        <f t="shared" si="50"/>
        <v>1.7572294533262998E-2</v>
      </c>
      <c r="AQ20" s="61">
        <f t="shared" si="29"/>
        <v>0.46248</v>
      </c>
      <c r="AR20" s="61">
        <f t="shared" si="30"/>
        <v>50128320000</v>
      </c>
      <c r="AS20" s="61">
        <f t="shared" si="51"/>
        <v>0.46248</v>
      </c>
      <c r="AT20" s="61">
        <f t="shared" si="52"/>
        <v>0.23869935483870966</v>
      </c>
      <c r="AU20" s="63">
        <f t="shared" si="53"/>
        <v>0.25628601731040701</v>
      </c>
      <c r="AV20" s="63">
        <f t="shared" si="31"/>
        <v>2.5813422071717476E-3</v>
      </c>
      <c r="AW20" s="63">
        <f t="shared" si="32"/>
        <v>2.9760000000000003E-3</v>
      </c>
      <c r="AX20" s="63">
        <f t="shared" si="33"/>
        <v>0.24299000000000001</v>
      </c>
      <c r="AY20" s="63">
        <f t="shared" si="34"/>
        <v>0.24596600000000002</v>
      </c>
      <c r="AZ20" s="63">
        <f t="shared" si="35"/>
        <v>2.4448266201503146</v>
      </c>
      <c r="BA20" s="64">
        <f t="shared" si="36"/>
        <v>18.8</v>
      </c>
      <c r="BB20" s="76">
        <f t="shared" si="54"/>
        <v>0.88492131925278017</v>
      </c>
      <c r="BC20" s="64">
        <f t="shared" si="55"/>
        <v>88.492131925278017</v>
      </c>
      <c r="BD20" s="63">
        <f t="shared" si="37"/>
        <v>1.603289593341034</v>
      </c>
      <c r="BE20" s="63">
        <f t="shared" si="56"/>
        <v>0.59295004728098455</v>
      </c>
      <c r="BF20" s="63">
        <f t="shared" si="38"/>
        <v>0.33666402997057754</v>
      </c>
      <c r="BG20" s="63">
        <f t="shared" si="39"/>
        <v>0.25628601731040701</v>
      </c>
      <c r="BH20" s="63">
        <f t="shared" si="40"/>
        <v>2.5813422071717476E-3</v>
      </c>
      <c r="BI20" s="63">
        <f t="shared" si="57"/>
        <v>0.24596600000000002</v>
      </c>
      <c r="BJ20" s="63">
        <f t="shared" si="58"/>
        <v>1.2959562159540177E-5</v>
      </c>
      <c r="BK20" s="63">
        <f t="shared" si="59"/>
        <v>2.6677758964683746E-5</v>
      </c>
      <c r="BL20" s="63">
        <f t="shared" si="60"/>
        <v>2.4448266201503146</v>
      </c>
      <c r="BP20" s="77"/>
      <c r="BQ20" s="77"/>
      <c r="BR20" s="77"/>
      <c r="BS20" s="78"/>
    </row>
    <row r="21" spans="3:71" x14ac:dyDescent="0.25">
      <c r="C21" s="61">
        <v>9</v>
      </c>
      <c r="D21" s="61">
        <f t="shared" si="0"/>
        <v>100</v>
      </c>
      <c r="E21" s="61">
        <f t="shared" si="1"/>
        <v>100</v>
      </c>
      <c r="F21" s="61">
        <f t="shared" si="2"/>
        <v>100</v>
      </c>
      <c r="G21" s="73">
        <f t="shared" si="3"/>
        <v>24</v>
      </c>
      <c r="H21" s="64">
        <f t="shared" si="4"/>
        <v>1</v>
      </c>
      <c r="I21" s="63">
        <f t="shared" si="41"/>
        <v>0.9</v>
      </c>
      <c r="J21" s="65">
        <f t="shared" si="5"/>
        <v>8.3533953124311573E-4</v>
      </c>
      <c r="K21" s="65">
        <f t="shared" si="6"/>
        <v>8.3533953124311573E-4</v>
      </c>
      <c r="L21" s="65">
        <f t="shared" si="7"/>
        <v>5.097492818882457E-3</v>
      </c>
      <c r="M21" s="65">
        <f t="shared" si="8"/>
        <v>4.0000000000000001E-3</v>
      </c>
      <c r="N21" s="63">
        <f t="shared" si="9"/>
        <v>0.97953914787979635</v>
      </c>
      <c r="O21" s="64">
        <f t="shared" si="10"/>
        <v>0.2530455142341399</v>
      </c>
      <c r="P21" s="64">
        <f t="shared" si="11"/>
        <v>1.0265227571170699</v>
      </c>
      <c r="Q21" s="64">
        <f t="shared" si="12"/>
        <v>0.77347724288293007</v>
      </c>
      <c r="R21" s="64">
        <f t="shared" si="13"/>
        <v>0</v>
      </c>
      <c r="S21" s="64">
        <f t="shared" si="14"/>
        <v>0.90295957976506447</v>
      </c>
      <c r="T21" s="63">
        <f t="shared" si="42"/>
        <v>4.1561694186860627E-3</v>
      </c>
      <c r="U21" s="63">
        <f t="shared" si="15"/>
        <v>1.6</v>
      </c>
      <c r="V21" s="63">
        <f t="shared" si="43"/>
        <v>1.6041561694186861</v>
      </c>
      <c r="W21" s="64">
        <f t="shared" si="44"/>
        <v>7.3047947880153979E-2</v>
      </c>
      <c r="X21" s="63">
        <f t="shared" si="16"/>
        <v>2.6680013447508463E-5</v>
      </c>
      <c r="Y21" s="63">
        <f t="shared" si="45"/>
        <v>2.6680013447508463E-5</v>
      </c>
      <c r="Z21" s="64">
        <f t="shared" si="17"/>
        <v>0.12783243657357871</v>
      </c>
      <c r="AA21" s="74">
        <f t="shared" si="18"/>
        <v>1.6341131840338022E-5</v>
      </c>
      <c r="AB21" s="75">
        <f t="shared" si="46"/>
        <v>1.6341131840338022E-5</v>
      </c>
      <c r="AC21" s="63">
        <f t="shared" si="19"/>
        <v>0.89367417625787637</v>
      </c>
      <c r="AD21" s="63">
        <f t="shared" si="47"/>
        <v>6.6714686814099548E-4</v>
      </c>
      <c r="AE21" s="63">
        <f t="shared" si="20"/>
        <v>8.6743444771472168E-4</v>
      </c>
      <c r="AF21" s="63">
        <f t="shared" si="21"/>
        <v>8.0081199613607115E-2</v>
      </c>
      <c r="AG21" s="63">
        <f t="shared" si="22"/>
        <v>4.0608000000000005E-2</v>
      </c>
      <c r="AH21" s="63">
        <f t="shared" si="23"/>
        <v>0</v>
      </c>
      <c r="AI21" s="63">
        <f t="shared" si="48"/>
        <v>0.22378064516129031</v>
      </c>
      <c r="AJ21" s="63">
        <f t="shared" si="49"/>
        <v>0.34533727922261215</v>
      </c>
      <c r="AK21" s="63">
        <f t="shared" si="24"/>
        <v>0.12916063401558489</v>
      </c>
      <c r="AL21" s="63">
        <f t="shared" si="25"/>
        <v>1.3935526151288663E-5</v>
      </c>
      <c r="AM21" s="63">
        <f t="shared" si="26"/>
        <v>1.8116246606613494E-5</v>
      </c>
      <c r="AN21" s="63">
        <f t="shared" si="27"/>
        <v>1.9828274433239819E-2</v>
      </c>
      <c r="AO21" s="63">
        <f t="shared" si="28"/>
        <v>110.14606447664718</v>
      </c>
      <c r="AP21" s="63">
        <f t="shared" si="50"/>
        <v>1.9828274433239819E-2</v>
      </c>
      <c r="AQ21" s="61">
        <f t="shared" si="29"/>
        <v>0.46248</v>
      </c>
      <c r="AR21" s="61">
        <f t="shared" si="30"/>
        <v>50128320000</v>
      </c>
      <c r="AS21" s="61">
        <f t="shared" si="51"/>
        <v>0.46248</v>
      </c>
      <c r="AT21" s="61">
        <f t="shared" si="52"/>
        <v>0.23869935483870966</v>
      </c>
      <c r="AU21" s="63">
        <f t="shared" si="53"/>
        <v>0.25854574551855608</v>
      </c>
      <c r="AV21" s="63">
        <f t="shared" si="31"/>
        <v>3.2613440107580071E-3</v>
      </c>
      <c r="AW21" s="63">
        <f t="shared" si="32"/>
        <v>2.9760000000000003E-3</v>
      </c>
      <c r="AX21" s="63">
        <f t="shared" si="33"/>
        <v>0.24299000000000001</v>
      </c>
      <c r="AY21" s="63">
        <f t="shared" si="34"/>
        <v>0.24596600000000002</v>
      </c>
      <c r="AZ21" s="63">
        <f t="shared" si="35"/>
        <v>2.4573095593159002</v>
      </c>
      <c r="BA21" s="64">
        <f t="shared" si="36"/>
        <v>21.150000000000002</v>
      </c>
      <c r="BB21" s="76">
        <f t="shared" si="54"/>
        <v>0.89590895340523047</v>
      </c>
      <c r="BC21" s="64">
        <f t="shared" si="55"/>
        <v>89.590895340523048</v>
      </c>
      <c r="BD21" s="63">
        <f t="shared" si="37"/>
        <v>1.6041561694186861</v>
      </c>
      <c r="BE21" s="63">
        <f t="shared" si="56"/>
        <v>0.60388302474116817</v>
      </c>
      <c r="BF21" s="63">
        <f t="shared" si="38"/>
        <v>0.34533727922261215</v>
      </c>
      <c r="BG21" s="63">
        <f t="shared" si="39"/>
        <v>0.25854574551855608</v>
      </c>
      <c r="BH21" s="63">
        <f t="shared" si="40"/>
        <v>3.2613440107580071E-3</v>
      </c>
      <c r="BI21" s="63">
        <f t="shared" si="57"/>
        <v>0.24596600000000002</v>
      </c>
      <c r="BJ21" s="63">
        <f t="shared" si="58"/>
        <v>1.6341131840338022E-5</v>
      </c>
      <c r="BK21" s="63">
        <f t="shared" si="59"/>
        <v>2.6680013447508463E-5</v>
      </c>
      <c r="BL21" s="63">
        <f t="shared" si="60"/>
        <v>2.4573095593158998</v>
      </c>
      <c r="BQ21" s="77"/>
      <c r="BR21" s="78"/>
    </row>
    <row r="22" spans="3:71" x14ac:dyDescent="0.25">
      <c r="C22" s="61">
        <v>10</v>
      </c>
      <c r="D22" s="61">
        <f t="shared" si="0"/>
        <v>100</v>
      </c>
      <c r="E22" s="61">
        <f t="shared" si="1"/>
        <v>100</v>
      </c>
      <c r="F22" s="61">
        <f t="shared" si="2"/>
        <v>100</v>
      </c>
      <c r="G22" s="73">
        <f t="shared" si="3"/>
        <v>24</v>
      </c>
      <c r="H22" s="64">
        <f t="shared" si="4"/>
        <v>1</v>
      </c>
      <c r="I22" s="63">
        <f t="shared" si="41"/>
        <v>1</v>
      </c>
      <c r="J22" s="65">
        <f t="shared" si="5"/>
        <v>8.3533953124311573E-4</v>
      </c>
      <c r="K22" s="65">
        <f t="shared" si="6"/>
        <v>8.3533953124311573E-4</v>
      </c>
      <c r="L22" s="65">
        <f t="shared" si="7"/>
        <v>5.097492818882457E-3</v>
      </c>
      <c r="M22" s="65">
        <f t="shared" si="8"/>
        <v>4.0000000000000001E-3</v>
      </c>
      <c r="N22" s="63">
        <f t="shared" si="9"/>
        <v>0.97958053468125517</v>
      </c>
      <c r="O22" s="64">
        <f t="shared" si="10"/>
        <v>0.25305620573583265</v>
      </c>
      <c r="P22" s="64">
        <f t="shared" si="11"/>
        <v>1.1265281028679164</v>
      </c>
      <c r="Q22" s="64">
        <f t="shared" si="12"/>
        <v>0.87347189713208362</v>
      </c>
      <c r="R22" s="64">
        <f t="shared" si="13"/>
        <v>0</v>
      </c>
      <c r="S22" s="64">
        <f t="shared" si="14"/>
        <v>1.0026646765519955</v>
      </c>
      <c r="T22" s="63">
        <f t="shared" si="42"/>
        <v>5.1246953528128452E-3</v>
      </c>
      <c r="U22" s="63">
        <f t="shared" si="15"/>
        <v>1.6</v>
      </c>
      <c r="V22" s="63">
        <f t="shared" si="43"/>
        <v>1.6051246953528129</v>
      </c>
      <c r="W22" s="64">
        <f t="shared" si="44"/>
        <v>7.3051034250844152E-2</v>
      </c>
      <c r="X22" s="63">
        <f t="shared" si="16"/>
        <v>2.668226802559003E-5</v>
      </c>
      <c r="Y22" s="63">
        <f t="shared" si="45"/>
        <v>2.668226802559003E-5</v>
      </c>
      <c r="Z22" s="64">
        <f t="shared" si="17"/>
        <v>0.14180709864273541</v>
      </c>
      <c r="AA22" s="74">
        <f t="shared" si="18"/>
        <v>2.0109253225470493E-5</v>
      </c>
      <c r="AB22" s="75">
        <f t="shared" si="46"/>
        <v>2.0109253225470493E-5</v>
      </c>
      <c r="AC22" s="63">
        <f t="shared" si="19"/>
        <v>0.99237493960551937</v>
      </c>
      <c r="AD22" s="63">
        <f t="shared" si="47"/>
        <v>8.2264907042366154E-4</v>
      </c>
      <c r="AE22" s="63">
        <f t="shared" si="20"/>
        <v>1.0696620207545863E-3</v>
      </c>
      <c r="AF22" s="63">
        <f t="shared" si="21"/>
        <v>8.8573533004649471E-2</v>
      </c>
      <c r="AG22" s="63">
        <f t="shared" si="22"/>
        <v>4.0608000000000005E-2</v>
      </c>
      <c r="AH22" s="63">
        <f t="shared" si="23"/>
        <v>0</v>
      </c>
      <c r="AI22" s="63">
        <f t="shared" si="48"/>
        <v>0.22378064516129031</v>
      </c>
      <c r="AJ22" s="63">
        <f t="shared" si="49"/>
        <v>0.35403184018669437</v>
      </c>
      <c r="AK22" s="63">
        <f t="shared" si="24"/>
        <v>0.14327746804037131</v>
      </c>
      <c r="AL22" s="63">
        <f t="shared" si="25"/>
        <v>1.7148211472453903E-5</v>
      </c>
      <c r="AM22" s="63">
        <f t="shared" si="26"/>
        <v>2.2292769719910185E-5</v>
      </c>
      <c r="AN22" s="63">
        <f t="shared" si="27"/>
        <v>2.2084254333216639E-2</v>
      </c>
      <c r="AO22" s="63">
        <f t="shared" si="28"/>
        <v>122.67803282101842</v>
      </c>
      <c r="AP22" s="63">
        <f t="shared" si="50"/>
        <v>2.2084254333216639E-2</v>
      </c>
      <c r="AQ22" s="61">
        <f t="shared" si="29"/>
        <v>0.46248</v>
      </c>
      <c r="AR22" s="61">
        <f t="shared" si="30"/>
        <v>50128320000</v>
      </c>
      <c r="AS22" s="61">
        <f t="shared" si="51"/>
        <v>0.46248</v>
      </c>
      <c r="AT22" s="61">
        <f t="shared" si="52"/>
        <v>0.23869935483870966</v>
      </c>
      <c r="AU22" s="63">
        <f t="shared" si="53"/>
        <v>0.26080590194164621</v>
      </c>
      <c r="AV22" s="63">
        <f t="shared" si="31"/>
        <v>4.021345814420472E-3</v>
      </c>
      <c r="AW22" s="63">
        <f t="shared" si="32"/>
        <v>2.9760000000000003E-3</v>
      </c>
      <c r="AX22" s="63">
        <f t="shared" si="33"/>
        <v>0.24299000000000001</v>
      </c>
      <c r="AY22" s="63">
        <f t="shared" si="34"/>
        <v>0.24596600000000002</v>
      </c>
      <c r="AZ22" s="63">
        <f t="shared" si="35"/>
        <v>2.4699965748168253</v>
      </c>
      <c r="BA22" s="64">
        <f t="shared" si="36"/>
        <v>23.5</v>
      </c>
      <c r="BB22" s="76">
        <f t="shared" si="54"/>
        <v>0.90489037733597599</v>
      </c>
      <c r="BC22" s="64">
        <f t="shared" si="55"/>
        <v>90.489037733597598</v>
      </c>
      <c r="BD22" s="63">
        <f t="shared" si="37"/>
        <v>1.6051246953528129</v>
      </c>
      <c r="BE22" s="63">
        <f t="shared" si="56"/>
        <v>0.61483774212834064</v>
      </c>
      <c r="BF22" s="63">
        <f t="shared" si="38"/>
        <v>0.35403184018669437</v>
      </c>
      <c r="BG22" s="63">
        <f t="shared" si="39"/>
        <v>0.26080590194164621</v>
      </c>
      <c r="BH22" s="63">
        <f t="shared" si="40"/>
        <v>4.021345814420472E-3</v>
      </c>
      <c r="BI22" s="63">
        <f t="shared" si="57"/>
        <v>0.24596600000000002</v>
      </c>
      <c r="BJ22" s="63">
        <f t="shared" si="58"/>
        <v>2.0109253225470493E-5</v>
      </c>
      <c r="BK22" s="63">
        <f t="shared" si="59"/>
        <v>2.668226802559003E-5</v>
      </c>
      <c r="BL22" s="63">
        <f t="shared" si="60"/>
        <v>2.4699965748168249</v>
      </c>
      <c r="BQ22" s="77"/>
      <c r="BR22" s="78"/>
    </row>
    <row r="23" spans="3:71" x14ac:dyDescent="0.25">
      <c r="C23" s="61">
        <v>11</v>
      </c>
      <c r="D23" s="61">
        <f t="shared" si="0"/>
        <v>100</v>
      </c>
      <c r="E23" s="61">
        <f t="shared" si="1"/>
        <v>100</v>
      </c>
      <c r="F23" s="61">
        <f t="shared" si="2"/>
        <v>100</v>
      </c>
      <c r="G23" s="73">
        <f t="shared" si="3"/>
        <v>24</v>
      </c>
      <c r="H23" s="64">
        <f t="shared" si="4"/>
        <v>1</v>
      </c>
      <c r="I23" s="63">
        <f t="shared" si="41"/>
        <v>1.1000000000000001</v>
      </c>
      <c r="J23" s="65">
        <f t="shared" si="5"/>
        <v>8.3533953124311573E-4</v>
      </c>
      <c r="K23" s="65">
        <f t="shared" si="6"/>
        <v>8.3533953124311573E-4</v>
      </c>
      <c r="L23" s="65">
        <f t="shared" si="7"/>
        <v>5.097492818882457E-3</v>
      </c>
      <c r="M23" s="65">
        <f t="shared" si="8"/>
        <v>4.0000000000000001E-3</v>
      </c>
      <c r="N23" s="63">
        <f t="shared" si="9"/>
        <v>0.9796219214827141</v>
      </c>
      <c r="O23" s="64">
        <f t="shared" si="10"/>
        <v>0.2530668972375254</v>
      </c>
      <c r="P23" s="64">
        <f t="shared" si="11"/>
        <v>1.2265334486187629</v>
      </c>
      <c r="Q23" s="64">
        <f t="shared" si="12"/>
        <v>0.97346655138123739</v>
      </c>
      <c r="R23" s="64">
        <f t="shared" si="13"/>
        <v>0</v>
      </c>
      <c r="S23" s="64">
        <f t="shared" si="14"/>
        <v>1.1024231966626001</v>
      </c>
      <c r="T23" s="63">
        <f t="shared" si="42"/>
        <v>6.1951711434143925E-3</v>
      </c>
      <c r="U23" s="63">
        <f t="shared" si="15"/>
        <v>1.6</v>
      </c>
      <c r="V23" s="63">
        <f t="shared" si="43"/>
        <v>1.6061951711434146</v>
      </c>
      <c r="W23" s="64">
        <f t="shared" si="44"/>
        <v>7.3054120621534324E-2</v>
      </c>
      <c r="X23" s="63">
        <f t="shared" si="16"/>
        <v>2.6684522698928432E-5</v>
      </c>
      <c r="Y23" s="63">
        <f t="shared" si="45"/>
        <v>2.6684522698928432E-5</v>
      </c>
      <c r="Z23" s="64">
        <f t="shared" si="17"/>
        <v>0.15576117188988137</v>
      </c>
      <c r="AA23" s="74">
        <f t="shared" si="18"/>
        <v>2.4261542668509169E-5</v>
      </c>
      <c r="AB23" s="75">
        <f t="shared" si="46"/>
        <v>2.4261542668509169E-5</v>
      </c>
      <c r="AC23" s="63">
        <f t="shared" si="19"/>
        <v>1.091132747961548</v>
      </c>
      <c r="AD23" s="63">
        <f t="shared" si="47"/>
        <v>9.9453074845873919E-4</v>
      </c>
      <c r="AE23" s="63">
        <f t="shared" si="20"/>
        <v>1.2932089347367057E-3</v>
      </c>
      <c r="AF23" s="63">
        <f t="shared" si="21"/>
        <v>9.7065866395691827E-2</v>
      </c>
      <c r="AG23" s="63">
        <f t="shared" si="22"/>
        <v>4.0608000000000005E-2</v>
      </c>
      <c r="AH23" s="63">
        <f t="shared" si="23"/>
        <v>0</v>
      </c>
      <c r="AI23" s="63">
        <f t="shared" si="48"/>
        <v>0.22378064516129031</v>
      </c>
      <c r="AJ23" s="63">
        <f t="shared" si="49"/>
        <v>0.36274772049171888</v>
      </c>
      <c r="AK23" s="63">
        <f t="shared" si="24"/>
        <v>0.15737290384836569</v>
      </c>
      <c r="AL23" s="63">
        <f t="shared" si="25"/>
        <v>2.0688211681985016E-5</v>
      </c>
      <c r="AM23" s="63">
        <f t="shared" si="26"/>
        <v>2.6894813175166374E-5</v>
      </c>
      <c r="AN23" s="63">
        <f t="shared" si="27"/>
        <v>2.434023423319346E-2</v>
      </c>
      <c r="AO23" s="63">
        <f t="shared" si="28"/>
        <v>135.21000116538966</v>
      </c>
      <c r="AP23" s="63">
        <f t="shared" si="50"/>
        <v>2.434023423319346E-2</v>
      </c>
      <c r="AQ23" s="61">
        <f t="shared" si="29"/>
        <v>0.46248</v>
      </c>
      <c r="AR23" s="61">
        <f t="shared" si="30"/>
        <v>50128320000</v>
      </c>
      <c r="AS23" s="61">
        <f t="shared" si="51"/>
        <v>0.46248</v>
      </c>
      <c r="AT23" s="61">
        <f t="shared" si="52"/>
        <v>0.23869935483870966</v>
      </c>
      <c r="AU23" s="63">
        <f t="shared" si="53"/>
        <v>0.26306648388507831</v>
      </c>
      <c r="AV23" s="63">
        <f t="shared" si="31"/>
        <v>4.8613476181591439E-3</v>
      </c>
      <c r="AW23" s="63">
        <f t="shared" si="32"/>
        <v>2.9760000000000003E-3</v>
      </c>
      <c r="AX23" s="63">
        <f t="shared" si="33"/>
        <v>0.24299000000000001</v>
      </c>
      <c r="AY23" s="63">
        <f t="shared" si="34"/>
        <v>0.24596600000000002</v>
      </c>
      <c r="AZ23" s="63">
        <f t="shared" si="35"/>
        <v>2.4828876692037385</v>
      </c>
      <c r="BA23" s="64">
        <f t="shared" si="36"/>
        <v>25.85</v>
      </c>
      <c r="BB23" s="76">
        <f t="shared" si="54"/>
        <v>0.91236729209559186</v>
      </c>
      <c r="BC23" s="64">
        <f t="shared" si="55"/>
        <v>91.236729209559186</v>
      </c>
      <c r="BD23" s="63">
        <f t="shared" si="37"/>
        <v>1.6061951711434146</v>
      </c>
      <c r="BE23" s="63">
        <f t="shared" si="56"/>
        <v>0.62581420437679713</v>
      </c>
      <c r="BF23" s="63">
        <f t="shared" si="38"/>
        <v>0.36274772049171888</v>
      </c>
      <c r="BG23" s="63">
        <f t="shared" si="39"/>
        <v>0.26306648388507831</v>
      </c>
      <c r="BH23" s="63">
        <f t="shared" si="40"/>
        <v>4.8613476181591439E-3</v>
      </c>
      <c r="BI23" s="63">
        <f t="shared" si="57"/>
        <v>0.24596600000000002</v>
      </c>
      <c r="BJ23" s="63">
        <f t="shared" si="58"/>
        <v>2.4261542668509169E-5</v>
      </c>
      <c r="BK23" s="63">
        <f t="shared" si="59"/>
        <v>2.6684522698928432E-5</v>
      </c>
      <c r="BL23" s="63">
        <f t="shared" si="60"/>
        <v>2.4828876692037389</v>
      </c>
      <c r="BQ23" s="77"/>
      <c r="BR23" s="78"/>
    </row>
    <row r="24" spans="3:71" x14ac:dyDescent="0.25">
      <c r="C24" s="61">
        <v>12</v>
      </c>
      <c r="D24" s="61">
        <f t="shared" si="0"/>
        <v>100</v>
      </c>
      <c r="E24" s="61">
        <f t="shared" si="1"/>
        <v>100</v>
      </c>
      <c r="F24" s="61">
        <f t="shared" si="2"/>
        <v>100</v>
      </c>
      <c r="G24" s="73">
        <f t="shared" si="3"/>
        <v>24</v>
      </c>
      <c r="H24" s="64">
        <f t="shared" si="4"/>
        <v>1</v>
      </c>
      <c r="I24" s="63">
        <f t="shared" si="41"/>
        <v>1.2</v>
      </c>
      <c r="J24" s="65">
        <f t="shared" si="5"/>
        <v>8.3533953124311573E-4</v>
      </c>
      <c r="K24" s="65">
        <f t="shared" si="6"/>
        <v>8.3533953124311573E-4</v>
      </c>
      <c r="L24" s="65">
        <f t="shared" si="7"/>
        <v>5.097492818882457E-3</v>
      </c>
      <c r="M24" s="65">
        <f t="shared" si="8"/>
        <v>4.0000000000000001E-3</v>
      </c>
      <c r="N24" s="63">
        <f t="shared" si="9"/>
        <v>0.97966330828417292</v>
      </c>
      <c r="O24" s="64">
        <f t="shared" si="10"/>
        <v>0.25307758873921815</v>
      </c>
      <c r="P24" s="64">
        <f t="shared" si="11"/>
        <v>1.326538794369609</v>
      </c>
      <c r="Q24" s="64">
        <f t="shared" si="12"/>
        <v>1.0734612056303909</v>
      </c>
      <c r="R24" s="64">
        <f t="shared" si="13"/>
        <v>0</v>
      </c>
      <c r="S24" s="64">
        <f t="shared" si="14"/>
        <v>1.2022218412146339</v>
      </c>
      <c r="T24" s="63">
        <f t="shared" si="42"/>
        <v>7.3675967904907004E-3</v>
      </c>
      <c r="U24" s="63">
        <f t="shared" si="15"/>
        <v>1.6</v>
      </c>
      <c r="V24" s="63">
        <f t="shared" si="43"/>
        <v>1.6073675967904908</v>
      </c>
      <c r="W24" s="64">
        <f t="shared" si="44"/>
        <v>7.305720699222451E-2</v>
      </c>
      <c r="X24" s="63">
        <f t="shared" si="16"/>
        <v>2.6686777467523691E-5</v>
      </c>
      <c r="Y24" s="63">
        <f t="shared" si="45"/>
        <v>2.6686777467523691E-5</v>
      </c>
      <c r="Z24" s="64">
        <f t="shared" si="17"/>
        <v>0.16969271083914531</v>
      </c>
      <c r="AA24" s="74">
        <f t="shared" si="18"/>
        <v>2.8795616111937782E-5</v>
      </c>
      <c r="AB24" s="75">
        <f t="shared" si="46"/>
        <v>2.8795616111937782E-5</v>
      </c>
      <c r="AC24" s="63">
        <f t="shared" si="19"/>
        <v>1.1899344415846884</v>
      </c>
      <c r="AD24" s="63">
        <f t="shared" si="47"/>
        <v>1.1827939765681082E-3</v>
      </c>
      <c r="AE24" s="63">
        <f t="shared" si="20"/>
        <v>1.5380833399946221E-3</v>
      </c>
      <c r="AF24" s="63">
        <f t="shared" si="21"/>
        <v>0.10555819978673417</v>
      </c>
      <c r="AG24" s="63">
        <f t="shared" si="22"/>
        <v>4.0608000000000005E-2</v>
      </c>
      <c r="AH24" s="63">
        <f t="shared" si="23"/>
        <v>0</v>
      </c>
      <c r="AI24" s="63">
        <f t="shared" si="48"/>
        <v>0.22378064516129031</v>
      </c>
      <c r="AJ24" s="63">
        <f t="shared" si="49"/>
        <v>0.3714849282880191</v>
      </c>
      <c r="AK24" s="63">
        <f t="shared" si="24"/>
        <v>0.17144497724937929</v>
      </c>
      <c r="AL24" s="63">
        <f t="shared" si="25"/>
        <v>2.4553452458000394E-5</v>
      </c>
      <c r="AM24" s="63">
        <f t="shared" si="26"/>
        <v>3.1919682562525764E-5</v>
      </c>
      <c r="AN24" s="63">
        <f t="shared" si="27"/>
        <v>2.6596214133170273E-2</v>
      </c>
      <c r="AO24" s="63">
        <f t="shared" si="28"/>
        <v>147.74196950976085</v>
      </c>
      <c r="AP24" s="63">
        <f t="shared" si="50"/>
        <v>2.6596214133170273E-2</v>
      </c>
      <c r="AQ24" s="61">
        <f t="shared" si="29"/>
        <v>0.46248</v>
      </c>
      <c r="AR24" s="61">
        <f t="shared" si="30"/>
        <v>50128320000</v>
      </c>
      <c r="AS24" s="61">
        <f t="shared" si="51"/>
        <v>0.46248</v>
      </c>
      <c r="AT24" s="61">
        <f t="shared" si="52"/>
        <v>0.23869935483870966</v>
      </c>
      <c r="AU24" s="63">
        <f t="shared" si="53"/>
        <v>0.26532748865444244</v>
      </c>
      <c r="AV24" s="63">
        <f t="shared" si="31"/>
        <v>5.7813494219740181E-3</v>
      </c>
      <c r="AW24" s="63">
        <f t="shared" si="32"/>
        <v>2.9760000000000003E-3</v>
      </c>
      <c r="AX24" s="63">
        <f t="shared" si="33"/>
        <v>0.24299000000000001</v>
      </c>
      <c r="AY24" s="63">
        <f t="shared" si="34"/>
        <v>0.24596600000000002</v>
      </c>
      <c r="AZ24" s="63">
        <f t="shared" si="35"/>
        <v>2.4959828455485056</v>
      </c>
      <c r="BA24" s="64">
        <f t="shared" si="36"/>
        <v>28.2</v>
      </c>
      <c r="BB24" s="76">
        <f t="shared" si="54"/>
        <v>0.91868698721564235</v>
      </c>
      <c r="BC24" s="64">
        <f t="shared" si="55"/>
        <v>91.868698721564229</v>
      </c>
      <c r="BD24" s="63">
        <f t="shared" si="37"/>
        <v>1.6073675967904908</v>
      </c>
      <c r="BE24" s="63">
        <f t="shared" si="56"/>
        <v>0.6368124169424616</v>
      </c>
      <c r="BF24" s="63">
        <f t="shared" si="38"/>
        <v>0.3714849282880191</v>
      </c>
      <c r="BG24" s="63">
        <f t="shared" si="39"/>
        <v>0.26532748865444244</v>
      </c>
      <c r="BH24" s="63">
        <f t="shared" si="40"/>
        <v>5.7813494219740181E-3</v>
      </c>
      <c r="BI24" s="63">
        <f t="shared" si="57"/>
        <v>0.24596600000000002</v>
      </c>
      <c r="BJ24" s="63">
        <f t="shared" si="58"/>
        <v>2.8795616111937782E-5</v>
      </c>
      <c r="BK24" s="63">
        <f t="shared" si="59"/>
        <v>2.6686777467523691E-5</v>
      </c>
      <c r="BL24" s="63">
        <f t="shared" si="60"/>
        <v>2.4959828455485056</v>
      </c>
      <c r="BQ24" s="77"/>
      <c r="BR24" s="78"/>
    </row>
    <row r="25" spans="3:71" x14ac:dyDescent="0.25">
      <c r="C25" s="61">
        <v>13</v>
      </c>
      <c r="D25" s="61">
        <f t="shared" si="0"/>
        <v>100</v>
      </c>
      <c r="E25" s="61">
        <f t="shared" si="1"/>
        <v>100</v>
      </c>
      <c r="F25" s="61">
        <f t="shared" si="2"/>
        <v>100</v>
      </c>
      <c r="G25" s="73">
        <f t="shared" si="3"/>
        <v>24</v>
      </c>
      <c r="H25" s="64">
        <f t="shared" si="4"/>
        <v>1</v>
      </c>
      <c r="I25" s="63">
        <f t="shared" si="41"/>
        <v>1.3</v>
      </c>
      <c r="J25" s="65">
        <f t="shared" si="5"/>
        <v>8.3533953124311573E-4</v>
      </c>
      <c r="K25" s="65">
        <f t="shared" si="6"/>
        <v>8.3533953124311573E-4</v>
      </c>
      <c r="L25" s="65">
        <f t="shared" si="7"/>
        <v>5.097492818882457E-3</v>
      </c>
      <c r="M25" s="65">
        <f t="shared" si="8"/>
        <v>4.0000000000000001E-3</v>
      </c>
      <c r="N25" s="63">
        <f t="shared" si="9"/>
        <v>0.97970469508563174</v>
      </c>
      <c r="O25" s="64">
        <f t="shared" si="10"/>
        <v>0.25308828024091085</v>
      </c>
      <c r="P25" s="64">
        <f t="shared" si="11"/>
        <v>1.4265441401204555</v>
      </c>
      <c r="Q25" s="64">
        <f t="shared" si="12"/>
        <v>1.1734558598795446</v>
      </c>
      <c r="R25" s="64">
        <f t="shared" si="13"/>
        <v>0</v>
      </c>
      <c r="S25" s="64">
        <f t="shared" si="14"/>
        <v>1.3020513839577437</v>
      </c>
      <c r="T25" s="63">
        <f t="shared" si="42"/>
        <v>8.6419722940417765E-3</v>
      </c>
      <c r="U25" s="63">
        <f t="shared" si="15"/>
        <v>1.6</v>
      </c>
      <c r="V25" s="63">
        <f t="shared" si="43"/>
        <v>1.6086419722940419</v>
      </c>
      <c r="W25" s="64">
        <f t="shared" si="44"/>
        <v>7.3060293362914669E-2</v>
      </c>
      <c r="X25" s="63">
        <f t="shared" si="16"/>
        <v>2.6689032331375768E-5</v>
      </c>
      <c r="Y25" s="63">
        <f t="shared" si="45"/>
        <v>2.6689032331375768E-5</v>
      </c>
      <c r="Z25" s="64">
        <f t="shared" si="17"/>
        <v>0.18360035154419405</v>
      </c>
      <c r="AA25" s="74">
        <f t="shared" si="18"/>
        <v>3.3709089087151635E-5</v>
      </c>
      <c r="AB25" s="75">
        <f t="shared" si="46"/>
        <v>3.3709089087151635E-5</v>
      </c>
      <c r="AC25" s="63">
        <f t="shared" si="19"/>
        <v>1.2887708907137787</v>
      </c>
      <c r="AD25" s="63">
        <f t="shared" si="47"/>
        <v>1.3874408290736528E-3</v>
      </c>
      <c r="AE25" s="63">
        <f t="shared" si="20"/>
        <v>1.804293908852873E-3</v>
      </c>
      <c r="AF25" s="63">
        <f t="shared" si="21"/>
        <v>0.11405053317777651</v>
      </c>
      <c r="AG25" s="63">
        <f t="shared" si="22"/>
        <v>4.0608000000000005E-2</v>
      </c>
      <c r="AH25" s="63">
        <f t="shared" si="23"/>
        <v>0</v>
      </c>
      <c r="AI25" s="63">
        <f t="shared" si="48"/>
        <v>0.22378064516129031</v>
      </c>
      <c r="AJ25" s="63">
        <f t="shared" si="49"/>
        <v>0.38024347224791966</v>
      </c>
      <c r="AK25" s="63">
        <f t="shared" si="24"/>
        <v>0.18549231174118597</v>
      </c>
      <c r="AL25" s="63">
        <f t="shared" si="25"/>
        <v>2.8741859478618164E-5</v>
      </c>
      <c r="AM25" s="63">
        <f t="shared" si="26"/>
        <v>3.7364683656964417E-5</v>
      </c>
      <c r="AN25" s="63">
        <f t="shared" si="27"/>
        <v>2.8852194033147094E-2</v>
      </c>
      <c r="AO25" s="63">
        <f t="shared" si="28"/>
        <v>160.27393785413207</v>
      </c>
      <c r="AP25" s="63">
        <f t="shared" si="50"/>
        <v>2.8852194033147094E-2</v>
      </c>
      <c r="AQ25" s="61">
        <f t="shared" si="29"/>
        <v>0.46248</v>
      </c>
      <c r="AR25" s="61">
        <f t="shared" si="30"/>
        <v>50128320000</v>
      </c>
      <c r="AS25" s="61">
        <f t="shared" si="51"/>
        <v>0.46248</v>
      </c>
      <c r="AT25" s="61">
        <f t="shared" si="52"/>
        <v>0.23869935483870966</v>
      </c>
      <c r="AU25" s="63">
        <f t="shared" si="53"/>
        <v>0.26758891355551373</v>
      </c>
      <c r="AV25" s="63">
        <f t="shared" si="31"/>
        <v>6.7813512258651024E-3</v>
      </c>
      <c r="AW25" s="63">
        <f t="shared" si="32"/>
        <v>2.9760000000000003E-3</v>
      </c>
      <c r="AX25" s="63">
        <f t="shared" si="33"/>
        <v>0.24299000000000001</v>
      </c>
      <c r="AY25" s="63">
        <f t="shared" si="34"/>
        <v>0.24596600000000002</v>
      </c>
      <c r="AZ25" s="63">
        <f t="shared" si="35"/>
        <v>2.5092821074447591</v>
      </c>
      <c r="BA25" s="64">
        <f t="shared" si="36"/>
        <v>30.55</v>
      </c>
      <c r="BB25" s="76">
        <f t="shared" si="54"/>
        <v>0.92409750159457693</v>
      </c>
      <c r="BC25" s="64">
        <f t="shared" si="55"/>
        <v>92.409750159457687</v>
      </c>
      <c r="BD25" s="63">
        <f t="shared" si="37"/>
        <v>1.6086419722940419</v>
      </c>
      <c r="BE25" s="63">
        <f t="shared" si="56"/>
        <v>0.64783238580343339</v>
      </c>
      <c r="BF25" s="63">
        <f t="shared" si="38"/>
        <v>0.38024347224791966</v>
      </c>
      <c r="BG25" s="63">
        <f t="shared" si="39"/>
        <v>0.26758891355551373</v>
      </c>
      <c r="BH25" s="63">
        <f t="shared" si="40"/>
        <v>6.7813512258651024E-3</v>
      </c>
      <c r="BI25" s="63">
        <f t="shared" si="57"/>
        <v>0.24596600000000002</v>
      </c>
      <c r="BJ25" s="63">
        <f t="shared" si="58"/>
        <v>3.3709089087151635E-5</v>
      </c>
      <c r="BK25" s="63">
        <f t="shared" si="59"/>
        <v>2.6689032331375768E-5</v>
      </c>
      <c r="BL25" s="63">
        <f t="shared" si="60"/>
        <v>2.5092821074447591</v>
      </c>
      <c r="BQ25" s="77"/>
      <c r="BR25" s="78"/>
    </row>
    <row r="26" spans="3:71" x14ac:dyDescent="0.25">
      <c r="C26" s="61">
        <v>14</v>
      </c>
      <c r="D26" s="61">
        <f t="shared" si="0"/>
        <v>100</v>
      </c>
      <c r="E26" s="61">
        <f t="shared" si="1"/>
        <v>100</v>
      </c>
      <c r="F26" s="61">
        <f t="shared" si="2"/>
        <v>100</v>
      </c>
      <c r="G26" s="73">
        <f t="shared" si="3"/>
        <v>24</v>
      </c>
      <c r="H26" s="64">
        <f t="shared" si="4"/>
        <v>1</v>
      </c>
      <c r="I26" s="63">
        <f t="shared" si="41"/>
        <v>1.4</v>
      </c>
      <c r="J26" s="65">
        <f t="shared" si="5"/>
        <v>8.3533953124311573E-4</v>
      </c>
      <c r="K26" s="65">
        <f t="shared" si="6"/>
        <v>8.3533953124311573E-4</v>
      </c>
      <c r="L26" s="65">
        <f t="shared" si="7"/>
        <v>5.097492818882457E-3</v>
      </c>
      <c r="M26" s="65">
        <f t="shared" si="8"/>
        <v>4.0000000000000001E-3</v>
      </c>
      <c r="N26" s="63">
        <f t="shared" si="9"/>
        <v>0.97974608188709056</v>
      </c>
      <c r="O26" s="64">
        <f t="shared" si="10"/>
        <v>0.2530989717426036</v>
      </c>
      <c r="P26" s="64">
        <f t="shared" si="11"/>
        <v>1.5265494858713018</v>
      </c>
      <c r="Q26" s="64">
        <f t="shared" si="12"/>
        <v>1.273450514128698</v>
      </c>
      <c r="R26" s="64">
        <f t="shared" si="13"/>
        <v>0</v>
      </c>
      <c r="S26" s="64">
        <f t="shared" si="14"/>
        <v>1.4019052241353895</v>
      </c>
      <c r="T26" s="63">
        <f t="shared" si="42"/>
        <v>1.001829765406761E-2</v>
      </c>
      <c r="U26" s="63">
        <f t="shared" si="15"/>
        <v>1.6</v>
      </c>
      <c r="V26" s="63">
        <f t="shared" si="43"/>
        <v>1.6100182976540678</v>
      </c>
      <c r="W26" s="64">
        <f t="shared" si="44"/>
        <v>7.3063379733604841E-2</v>
      </c>
      <c r="X26" s="63">
        <f t="shared" si="16"/>
        <v>2.6691287290484695E-5</v>
      </c>
      <c r="Y26" s="63">
        <f t="shared" si="45"/>
        <v>2.6691287290484695E-5</v>
      </c>
      <c r="Z26" s="64">
        <f t="shared" si="17"/>
        <v>0.19748310488357707</v>
      </c>
      <c r="AA26" s="74">
        <f t="shared" si="18"/>
        <v>3.8999576714457898E-5</v>
      </c>
      <c r="AB26" s="75">
        <f t="shared" si="46"/>
        <v>3.8999576714457898E-5</v>
      </c>
      <c r="AC26" s="63">
        <f t="shared" si="19"/>
        <v>1.3876355635855449</v>
      </c>
      <c r="AD26" s="63">
        <f t="shared" si="47"/>
        <v>1.6084733802972523E-3</v>
      </c>
      <c r="AE26" s="63">
        <f t="shared" si="20"/>
        <v>2.0918498362111548E-3</v>
      </c>
      <c r="AF26" s="63">
        <f t="shared" si="21"/>
        <v>0.12254286656881885</v>
      </c>
      <c r="AG26" s="63">
        <f t="shared" si="22"/>
        <v>4.0608000000000005E-2</v>
      </c>
      <c r="AH26" s="63">
        <f t="shared" si="23"/>
        <v>0</v>
      </c>
      <c r="AI26" s="63">
        <f t="shared" si="48"/>
        <v>0.22378064516129031</v>
      </c>
      <c r="AJ26" s="63">
        <f t="shared" si="49"/>
        <v>0.38902336156632034</v>
      </c>
      <c r="AK26" s="63">
        <f t="shared" si="24"/>
        <v>0.19951390961716034</v>
      </c>
      <c r="AL26" s="63">
        <f t="shared" si="25"/>
        <v>3.32513584219565E-5</v>
      </c>
      <c r="AM26" s="63">
        <f t="shared" si="26"/>
        <v>4.3227122413957604E-5</v>
      </c>
      <c r="AN26" s="63">
        <f t="shared" si="27"/>
        <v>3.1108173933123907E-2</v>
      </c>
      <c r="AO26" s="63">
        <f t="shared" si="28"/>
        <v>172.80590619850329</v>
      </c>
      <c r="AP26" s="63">
        <f t="shared" si="50"/>
        <v>3.1108173933123907E-2</v>
      </c>
      <c r="AQ26" s="61">
        <f t="shared" si="29"/>
        <v>0.46248</v>
      </c>
      <c r="AR26" s="61">
        <f t="shared" si="30"/>
        <v>50128320000</v>
      </c>
      <c r="AS26" s="61">
        <f t="shared" si="51"/>
        <v>0.46248</v>
      </c>
      <c r="AT26" s="61">
        <f t="shared" si="52"/>
        <v>0.23869935483870966</v>
      </c>
      <c r="AU26" s="63">
        <f t="shared" si="53"/>
        <v>0.26985075589424751</v>
      </c>
      <c r="AV26" s="63">
        <f t="shared" si="31"/>
        <v>7.861353029832388E-3</v>
      </c>
      <c r="AW26" s="63">
        <f t="shared" si="32"/>
        <v>2.9760000000000003E-3</v>
      </c>
      <c r="AX26" s="63">
        <f t="shared" si="33"/>
        <v>0.24299000000000001</v>
      </c>
      <c r="AY26" s="63">
        <f t="shared" si="34"/>
        <v>0.24596600000000002</v>
      </c>
      <c r="AZ26" s="63">
        <f t="shared" si="35"/>
        <v>2.5227854590084733</v>
      </c>
      <c r="BA26" s="64">
        <f t="shared" si="36"/>
        <v>32.9</v>
      </c>
      <c r="BB26" s="76">
        <f t="shared" si="54"/>
        <v>0.92878071483317248</v>
      </c>
      <c r="BC26" s="64">
        <f t="shared" si="55"/>
        <v>92.878071483317242</v>
      </c>
      <c r="BD26" s="63">
        <f t="shared" si="37"/>
        <v>1.6100182976540678</v>
      </c>
      <c r="BE26" s="63">
        <f t="shared" si="56"/>
        <v>0.6588741174605679</v>
      </c>
      <c r="BF26" s="63">
        <f t="shared" si="38"/>
        <v>0.38902336156632034</v>
      </c>
      <c r="BG26" s="63">
        <f t="shared" si="39"/>
        <v>0.26985075589424751</v>
      </c>
      <c r="BH26" s="63">
        <f t="shared" si="40"/>
        <v>7.861353029832388E-3</v>
      </c>
      <c r="BI26" s="63">
        <f t="shared" si="57"/>
        <v>0.24596600000000002</v>
      </c>
      <c r="BJ26" s="63">
        <f t="shared" si="58"/>
        <v>3.8999576714457898E-5</v>
      </c>
      <c r="BK26" s="63">
        <f t="shared" si="59"/>
        <v>2.6691287290484695E-5</v>
      </c>
      <c r="BL26" s="63">
        <f t="shared" si="60"/>
        <v>2.5227854590084733</v>
      </c>
      <c r="BQ26" s="77"/>
      <c r="BR26" s="78"/>
    </row>
    <row r="27" spans="3:71" x14ac:dyDescent="0.25">
      <c r="C27" s="61">
        <v>15</v>
      </c>
      <c r="D27" s="61">
        <f t="shared" si="0"/>
        <v>100</v>
      </c>
      <c r="E27" s="61">
        <f t="shared" si="1"/>
        <v>100</v>
      </c>
      <c r="F27" s="61">
        <f t="shared" si="2"/>
        <v>100</v>
      </c>
      <c r="G27" s="73">
        <f t="shared" si="3"/>
        <v>24</v>
      </c>
      <c r="H27" s="64">
        <f t="shared" si="4"/>
        <v>1</v>
      </c>
      <c r="I27" s="63">
        <f t="shared" si="41"/>
        <v>1.5</v>
      </c>
      <c r="J27" s="65">
        <f t="shared" si="5"/>
        <v>8.3533953124311573E-4</v>
      </c>
      <c r="K27" s="65">
        <f t="shared" si="6"/>
        <v>8.3533953124311573E-4</v>
      </c>
      <c r="L27" s="65">
        <f t="shared" si="7"/>
        <v>5.097492818882457E-3</v>
      </c>
      <c r="M27" s="65">
        <f t="shared" si="8"/>
        <v>4.0000000000000001E-3</v>
      </c>
      <c r="N27" s="63">
        <f t="shared" si="9"/>
        <v>0.9797874686885496</v>
      </c>
      <c r="O27" s="64">
        <f t="shared" si="10"/>
        <v>0.2531096632442964</v>
      </c>
      <c r="P27" s="64">
        <f t="shared" si="11"/>
        <v>1.6265548316221481</v>
      </c>
      <c r="Q27" s="64">
        <f t="shared" si="12"/>
        <v>1.3734451683778519</v>
      </c>
      <c r="R27" s="64">
        <f t="shared" si="13"/>
        <v>0</v>
      </c>
      <c r="S27" s="64">
        <f t="shared" si="14"/>
        <v>1.5017785151176488</v>
      </c>
      <c r="T27" s="63">
        <f t="shared" si="42"/>
        <v>1.1496572870568211E-2</v>
      </c>
      <c r="U27" s="63">
        <f t="shared" si="15"/>
        <v>1.6</v>
      </c>
      <c r="V27" s="63">
        <f t="shared" si="43"/>
        <v>1.6114965728705684</v>
      </c>
      <c r="W27" s="64">
        <f t="shared" si="44"/>
        <v>7.3066466104295028E-2</v>
      </c>
      <c r="X27" s="63">
        <f t="shared" si="16"/>
        <v>2.669354234485047E-5</v>
      </c>
      <c r="Y27" s="63">
        <f t="shared" si="45"/>
        <v>2.669354234485047E-5</v>
      </c>
      <c r="Z27" s="64">
        <f t="shared" si="17"/>
        <v>0.21134023209761829</v>
      </c>
      <c r="AA27" s="74">
        <f t="shared" si="18"/>
        <v>4.4664693703075165E-5</v>
      </c>
      <c r="AB27" s="75">
        <f t="shared" si="46"/>
        <v>4.4664693703075165E-5</v>
      </c>
      <c r="AC27" s="63">
        <f t="shared" si="19"/>
        <v>1.4865236641931117</v>
      </c>
      <c r="AD27" s="63">
        <f t="shared" si="47"/>
        <v>1.8458937045607903E-3</v>
      </c>
      <c r="AE27" s="63">
        <f t="shared" si="20"/>
        <v>2.4007608401606377E-3</v>
      </c>
      <c r="AF27" s="63">
        <f t="shared" si="21"/>
        <v>0.13103519995986121</v>
      </c>
      <c r="AG27" s="63">
        <f t="shared" si="22"/>
        <v>4.0608000000000005E-2</v>
      </c>
      <c r="AH27" s="63">
        <f t="shared" si="23"/>
        <v>0</v>
      </c>
      <c r="AI27" s="63">
        <f t="shared" si="48"/>
        <v>0.22378064516129031</v>
      </c>
      <c r="AJ27" s="63">
        <f t="shared" si="49"/>
        <v>0.39782460596131219</v>
      </c>
      <c r="AK27" s="63">
        <f t="shared" si="24"/>
        <v>0.21350902618590897</v>
      </c>
      <c r="AL27" s="63">
        <f t="shared" si="25"/>
        <v>3.807987496613323E-5</v>
      </c>
      <c r="AM27" s="63">
        <f t="shared" si="26"/>
        <v>4.9504304965173556E-5</v>
      </c>
      <c r="AN27" s="63">
        <f t="shared" si="27"/>
        <v>3.3364153833100728E-2</v>
      </c>
      <c r="AO27" s="63">
        <f t="shared" si="28"/>
        <v>185.33787454287454</v>
      </c>
      <c r="AP27" s="63">
        <f t="shared" si="50"/>
        <v>3.3364153833100728E-2</v>
      </c>
      <c r="AQ27" s="61">
        <f t="shared" si="29"/>
        <v>0.46248</v>
      </c>
      <c r="AR27" s="61">
        <f t="shared" si="30"/>
        <v>50128320000</v>
      </c>
      <c r="AS27" s="61">
        <f t="shared" si="51"/>
        <v>0.46248</v>
      </c>
      <c r="AT27" s="61">
        <f t="shared" si="52"/>
        <v>0.23869935483870966</v>
      </c>
      <c r="AU27" s="63">
        <f t="shared" si="53"/>
        <v>0.27211301297677559</v>
      </c>
      <c r="AV27" s="63">
        <f t="shared" si="31"/>
        <v>9.0213548338758803E-3</v>
      </c>
      <c r="AW27" s="63">
        <f t="shared" si="32"/>
        <v>2.9760000000000003E-3</v>
      </c>
      <c r="AX27" s="63">
        <f t="shared" si="33"/>
        <v>0.24299000000000001</v>
      </c>
      <c r="AY27" s="63">
        <f t="shared" si="34"/>
        <v>0.24596600000000002</v>
      </c>
      <c r="AZ27" s="63">
        <f t="shared" si="35"/>
        <v>2.53649290487858</v>
      </c>
      <c r="BA27" s="64">
        <f t="shared" si="36"/>
        <v>35.25</v>
      </c>
      <c r="BB27" s="76">
        <f t="shared" si="54"/>
        <v>0.93287302657952953</v>
      </c>
      <c r="BC27" s="64">
        <f t="shared" si="55"/>
        <v>93.287302657952949</v>
      </c>
      <c r="BD27" s="63">
        <f t="shared" si="37"/>
        <v>1.6114965728705684</v>
      </c>
      <c r="BE27" s="63">
        <f t="shared" si="56"/>
        <v>0.66993761893808779</v>
      </c>
      <c r="BF27" s="63">
        <f t="shared" si="38"/>
        <v>0.39782460596131219</v>
      </c>
      <c r="BG27" s="63">
        <f t="shared" si="39"/>
        <v>0.27211301297677559</v>
      </c>
      <c r="BH27" s="63">
        <f t="shared" si="40"/>
        <v>9.0213548338758803E-3</v>
      </c>
      <c r="BI27" s="63">
        <f t="shared" si="57"/>
        <v>0.24596600000000002</v>
      </c>
      <c r="BJ27" s="63">
        <f t="shared" si="58"/>
        <v>4.4664693703075165E-5</v>
      </c>
      <c r="BK27" s="63">
        <f t="shared" si="59"/>
        <v>2.669354234485047E-5</v>
      </c>
      <c r="BL27" s="63">
        <f t="shared" si="60"/>
        <v>2.5364929048785805</v>
      </c>
      <c r="BQ27" s="77"/>
      <c r="BR27" s="78"/>
    </row>
    <row r="28" spans="3:71" x14ac:dyDescent="0.25">
      <c r="C28" s="61">
        <v>16</v>
      </c>
      <c r="D28" s="61">
        <f t="shared" si="0"/>
        <v>100</v>
      </c>
      <c r="E28" s="61">
        <f t="shared" si="1"/>
        <v>100</v>
      </c>
      <c r="F28" s="61">
        <f t="shared" si="2"/>
        <v>100</v>
      </c>
      <c r="G28" s="73">
        <f t="shared" si="3"/>
        <v>24</v>
      </c>
      <c r="H28" s="64">
        <f t="shared" si="4"/>
        <v>1</v>
      </c>
      <c r="I28" s="63">
        <f t="shared" si="41"/>
        <v>1.6</v>
      </c>
      <c r="J28" s="65">
        <f t="shared" si="5"/>
        <v>8.3533953124311573E-4</v>
      </c>
      <c r="K28" s="65">
        <f t="shared" si="6"/>
        <v>8.3533953124311573E-4</v>
      </c>
      <c r="L28" s="65">
        <f t="shared" si="7"/>
        <v>5.097492818882457E-3</v>
      </c>
      <c r="M28" s="65">
        <f t="shared" si="8"/>
        <v>4.0000000000000001E-3</v>
      </c>
      <c r="N28" s="63">
        <f t="shared" si="9"/>
        <v>0.97982885549000842</v>
      </c>
      <c r="O28" s="64">
        <f t="shared" si="10"/>
        <v>0.2531203547459891</v>
      </c>
      <c r="P28" s="64">
        <f t="shared" si="11"/>
        <v>1.7265601773729946</v>
      </c>
      <c r="Q28" s="64">
        <f t="shared" si="12"/>
        <v>1.4734398226270056</v>
      </c>
      <c r="R28" s="64">
        <f t="shared" si="13"/>
        <v>0</v>
      </c>
      <c r="S28" s="64">
        <f t="shared" si="14"/>
        <v>1.6016676182962855</v>
      </c>
      <c r="T28" s="63">
        <f t="shared" si="42"/>
        <v>1.3076797943543579E-2</v>
      </c>
      <c r="U28" s="63">
        <f t="shared" si="15"/>
        <v>1.6</v>
      </c>
      <c r="V28" s="63">
        <f t="shared" si="43"/>
        <v>1.6130767979435436</v>
      </c>
      <c r="W28" s="64">
        <f t="shared" si="44"/>
        <v>7.3069552474985186E-2</v>
      </c>
      <c r="X28" s="63">
        <f t="shared" si="16"/>
        <v>2.6695797494473069E-5</v>
      </c>
      <c r="Y28" s="63">
        <f t="shared" si="45"/>
        <v>2.6695797494473069E-5</v>
      </c>
      <c r="Z28" s="64">
        <f t="shared" si="17"/>
        <v>0.22517116678459345</v>
      </c>
      <c r="AA28" s="74">
        <f t="shared" si="18"/>
        <v>5.0702054351135202E-5</v>
      </c>
      <c r="AB28" s="75">
        <f t="shared" si="46"/>
        <v>5.0702054351135202E-5</v>
      </c>
      <c r="AC28" s="63">
        <f t="shared" si="19"/>
        <v>1.5854315919002948</v>
      </c>
      <c r="AD28" s="63">
        <f t="shared" si="47"/>
        <v>2.0997038761861484E-3</v>
      </c>
      <c r="AE28" s="63">
        <f t="shared" si="20"/>
        <v>2.7310371626324574E-3</v>
      </c>
      <c r="AF28" s="63">
        <f t="shared" si="21"/>
        <v>0.13952753335090357</v>
      </c>
      <c r="AG28" s="63">
        <f t="shared" si="22"/>
        <v>4.0608000000000005E-2</v>
      </c>
      <c r="AH28" s="63">
        <f t="shared" si="23"/>
        <v>0</v>
      </c>
      <c r="AI28" s="63">
        <f t="shared" si="48"/>
        <v>0.22378064516129031</v>
      </c>
      <c r="AJ28" s="63">
        <f t="shared" si="49"/>
        <v>0.40664721567482631</v>
      </c>
      <c r="AK28" s="63">
        <f t="shared" si="24"/>
        <v>0.22747709094190688</v>
      </c>
      <c r="AL28" s="63">
        <f t="shared" si="25"/>
        <v>4.3225334789267354E-5</v>
      </c>
      <c r="AM28" s="63">
        <f t="shared" si="26"/>
        <v>5.6193537614197703E-5</v>
      </c>
      <c r="AN28" s="63">
        <f t="shared" si="27"/>
        <v>3.5620133733077548E-2</v>
      </c>
      <c r="AO28" s="63">
        <f t="shared" si="28"/>
        <v>197.86984288724577</v>
      </c>
      <c r="AP28" s="63">
        <f t="shared" si="50"/>
        <v>3.5620133733077548E-2</v>
      </c>
      <c r="AQ28" s="61">
        <f t="shared" si="29"/>
        <v>0.46248</v>
      </c>
      <c r="AR28" s="61">
        <f t="shared" si="30"/>
        <v>50128320000</v>
      </c>
      <c r="AS28" s="61">
        <f t="shared" si="51"/>
        <v>0.46248</v>
      </c>
      <c r="AT28" s="61">
        <f t="shared" si="52"/>
        <v>0.23869935483870966</v>
      </c>
      <c r="AU28" s="63">
        <f t="shared" si="53"/>
        <v>0.27437568210940139</v>
      </c>
      <c r="AV28" s="63">
        <f t="shared" si="31"/>
        <v>1.0261356637995583E-2</v>
      </c>
      <c r="AW28" s="63">
        <f t="shared" si="32"/>
        <v>2.9760000000000003E-3</v>
      </c>
      <c r="AX28" s="63">
        <f t="shared" si="33"/>
        <v>0.24299000000000001</v>
      </c>
      <c r="AY28" s="63">
        <f t="shared" si="34"/>
        <v>0.24596600000000002</v>
      </c>
      <c r="AZ28" s="63">
        <f t="shared" si="35"/>
        <v>2.5504044502176124</v>
      </c>
      <c r="BA28" s="64">
        <f t="shared" si="36"/>
        <v>37.6</v>
      </c>
      <c r="BB28" s="76">
        <f t="shared" si="54"/>
        <v>0.93647873576516882</v>
      </c>
      <c r="BC28" s="64">
        <f t="shared" si="55"/>
        <v>93.647873576516886</v>
      </c>
      <c r="BD28" s="63">
        <f t="shared" si="37"/>
        <v>1.6130767979435436</v>
      </c>
      <c r="BE28" s="63">
        <f t="shared" si="56"/>
        <v>0.68102289778422764</v>
      </c>
      <c r="BF28" s="63">
        <f t="shared" si="38"/>
        <v>0.40664721567482631</v>
      </c>
      <c r="BG28" s="63">
        <f t="shared" si="39"/>
        <v>0.27437568210940139</v>
      </c>
      <c r="BH28" s="63">
        <f t="shared" si="40"/>
        <v>1.0261356637995583E-2</v>
      </c>
      <c r="BI28" s="63">
        <f t="shared" si="57"/>
        <v>0.24596600000000002</v>
      </c>
      <c r="BJ28" s="63">
        <f t="shared" si="58"/>
        <v>5.0702054351135202E-5</v>
      </c>
      <c r="BK28" s="63">
        <f t="shared" si="59"/>
        <v>2.6695797494473069E-5</v>
      </c>
      <c r="BL28" s="63">
        <f t="shared" si="60"/>
        <v>2.5504044502176124</v>
      </c>
    </row>
    <row r="29" spans="3:71" x14ac:dyDescent="0.25">
      <c r="C29" s="61">
        <v>17</v>
      </c>
      <c r="D29" s="61">
        <f t="shared" si="0"/>
        <v>100</v>
      </c>
      <c r="E29" s="61">
        <f t="shared" si="1"/>
        <v>100</v>
      </c>
      <c r="F29" s="61">
        <f t="shared" si="2"/>
        <v>100</v>
      </c>
      <c r="G29" s="73">
        <f t="shared" si="3"/>
        <v>24</v>
      </c>
      <c r="H29" s="64">
        <f t="shared" si="4"/>
        <v>1</v>
      </c>
      <c r="I29" s="63">
        <f t="shared" si="41"/>
        <v>1.7</v>
      </c>
      <c r="J29" s="65">
        <f t="shared" si="5"/>
        <v>8.3533953124311573E-4</v>
      </c>
      <c r="K29" s="65">
        <f t="shared" si="6"/>
        <v>8.3533953124311573E-4</v>
      </c>
      <c r="L29" s="65">
        <f t="shared" si="7"/>
        <v>5.097492818882457E-3</v>
      </c>
      <c r="M29" s="65">
        <f t="shared" si="8"/>
        <v>4.0000000000000001E-3</v>
      </c>
      <c r="N29" s="63">
        <f t="shared" si="9"/>
        <v>0.97987024229146724</v>
      </c>
      <c r="O29" s="64">
        <f t="shared" si="10"/>
        <v>0.25313104624768185</v>
      </c>
      <c r="P29" s="64">
        <f t="shared" si="11"/>
        <v>1.8265655231238409</v>
      </c>
      <c r="Q29" s="64">
        <f t="shared" si="12"/>
        <v>1.573434476876159</v>
      </c>
      <c r="R29" s="64">
        <f t="shared" si="13"/>
        <v>0</v>
      </c>
      <c r="S29" s="64">
        <f t="shared" si="14"/>
        <v>1.7015697489517938</v>
      </c>
      <c r="T29" s="63">
        <f t="shared" si="42"/>
        <v>1.4758972872993699E-2</v>
      </c>
      <c r="U29" s="63">
        <f t="shared" si="15"/>
        <v>1.6</v>
      </c>
      <c r="V29" s="63">
        <f t="shared" si="43"/>
        <v>1.6147589728729939</v>
      </c>
      <c r="W29" s="64">
        <f t="shared" si="44"/>
        <v>7.3072638845675372E-2</v>
      </c>
      <c r="X29" s="63">
        <f t="shared" si="16"/>
        <v>2.6698052739352528E-5</v>
      </c>
      <c r="Y29" s="63">
        <f t="shared" si="45"/>
        <v>2.6698052739352528E-5</v>
      </c>
      <c r="Z29" s="64">
        <f t="shared" si="17"/>
        <v>0.23897546431732344</v>
      </c>
      <c r="AA29" s="74">
        <f t="shared" si="18"/>
        <v>5.7109272545680331E-5</v>
      </c>
      <c r="AB29" s="75">
        <f t="shared" si="46"/>
        <v>5.7109272545680331E-5</v>
      </c>
      <c r="AC29" s="63">
        <f t="shared" si="19"/>
        <v>1.6843565910173606</v>
      </c>
      <c r="AD29" s="63">
        <f t="shared" si="47"/>
        <v>2.3699059694952066E-3</v>
      </c>
      <c r="AE29" s="63">
        <f t="shared" si="20"/>
        <v>3.0826895700784974E-3</v>
      </c>
      <c r="AF29" s="63">
        <f t="shared" si="21"/>
        <v>0.14801986674194589</v>
      </c>
      <c r="AG29" s="63">
        <f t="shared" si="22"/>
        <v>4.0608000000000005E-2</v>
      </c>
      <c r="AH29" s="63">
        <f t="shared" si="23"/>
        <v>0</v>
      </c>
      <c r="AI29" s="63">
        <f t="shared" si="48"/>
        <v>0.22378064516129031</v>
      </c>
      <c r="AJ29" s="63">
        <f t="shared" si="49"/>
        <v>0.4154912014733147</v>
      </c>
      <c r="AK29" s="63">
        <f t="shared" si="24"/>
        <v>0.24141765644676083</v>
      </c>
      <c r="AL29" s="63">
        <f t="shared" si="25"/>
        <v>4.8685663569476655E-5</v>
      </c>
      <c r="AM29" s="63">
        <f t="shared" si="26"/>
        <v>6.3292126832279654E-5</v>
      </c>
      <c r="AN29" s="63">
        <f t="shared" si="27"/>
        <v>3.7876113633054362E-2</v>
      </c>
      <c r="AO29" s="63">
        <f t="shared" si="28"/>
        <v>210.40181123161699</v>
      </c>
      <c r="AP29" s="63">
        <f t="shared" si="50"/>
        <v>3.7876113633054362E-2</v>
      </c>
      <c r="AQ29" s="61">
        <f t="shared" si="29"/>
        <v>0.46248</v>
      </c>
      <c r="AR29" s="61">
        <f t="shared" si="30"/>
        <v>50128320000</v>
      </c>
      <c r="AS29" s="61">
        <f t="shared" si="51"/>
        <v>0.46248</v>
      </c>
      <c r="AT29" s="61">
        <f t="shared" si="52"/>
        <v>0.23869935483870966</v>
      </c>
      <c r="AU29" s="63">
        <f t="shared" si="53"/>
        <v>0.27663876059859632</v>
      </c>
      <c r="AV29" s="63">
        <f t="shared" si="31"/>
        <v>1.1581358442191481E-2</v>
      </c>
      <c r="AW29" s="63">
        <f t="shared" si="32"/>
        <v>2.9760000000000003E-3</v>
      </c>
      <c r="AX29" s="63">
        <f t="shared" si="33"/>
        <v>0.24299000000000001</v>
      </c>
      <c r="AY29" s="63">
        <f t="shared" si="34"/>
        <v>0.24596600000000002</v>
      </c>
      <c r="AZ29" s="63">
        <f t="shared" si="35"/>
        <v>2.5645201007123815</v>
      </c>
      <c r="BA29" s="64">
        <f t="shared" si="36"/>
        <v>39.949999999999996</v>
      </c>
      <c r="BB29" s="76">
        <f t="shared" si="54"/>
        <v>0.93967895922058386</v>
      </c>
      <c r="BC29" s="64">
        <f t="shared" si="55"/>
        <v>93.967895922058389</v>
      </c>
      <c r="BD29" s="63">
        <f t="shared" si="37"/>
        <v>1.6147589728729939</v>
      </c>
      <c r="BE29" s="63">
        <f t="shared" si="56"/>
        <v>0.69212996207191102</v>
      </c>
      <c r="BF29" s="63">
        <f t="shared" si="38"/>
        <v>0.4154912014733147</v>
      </c>
      <c r="BG29" s="63">
        <f t="shared" si="39"/>
        <v>0.27663876059859632</v>
      </c>
      <c r="BH29" s="63">
        <f t="shared" si="40"/>
        <v>1.1581358442191481E-2</v>
      </c>
      <c r="BI29" s="63">
        <f t="shared" si="57"/>
        <v>0.24596600000000002</v>
      </c>
      <c r="BJ29" s="63">
        <f t="shared" si="58"/>
        <v>5.7109272545680331E-5</v>
      </c>
      <c r="BK29" s="63">
        <f t="shared" si="59"/>
        <v>2.6698052739352528E-5</v>
      </c>
      <c r="BL29" s="63">
        <f t="shared" si="60"/>
        <v>2.5645201007123815</v>
      </c>
    </row>
    <row r="30" spans="3:71" x14ac:dyDescent="0.25">
      <c r="C30" s="61">
        <v>18</v>
      </c>
      <c r="D30" s="61">
        <f t="shared" si="0"/>
        <v>100</v>
      </c>
      <c r="E30" s="61">
        <f t="shared" si="1"/>
        <v>100</v>
      </c>
      <c r="F30" s="61">
        <f t="shared" si="2"/>
        <v>100</v>
      </c>
      <c r="G30" s="73">
        <f t="shared" si="3"/>
        <v>24</v>
      </c>
      <c r="H30" s="64">
        <f t="shared" si="4"/>
        <v>1</v>
      </c>
      <c r="I30" s="63">
        <f t="shared" si="41"/>
        <v>1.8</v>
      </c>
      <c r="J30" s="65">
        <f t="shared" si="5"/>
        <v>8.3533953124311573E-4</v>
      </c>
      <c r="K30" s="65">
        <f t="shared" si="6"/>
        <v>8.3533953124311573E-4</v>
      </c>
      <c r="L30" s="65">
        <f t="shared" si="7"/>
        <v>5.097492818882457E-3</v>
      </c>
      <c r="M30" s="65">
        <f t="shared" si="8"/>
        <v>4.0000000000000001E-3</v>
      </c>
      <c r="N30" s="63">
        <f t="shared" si="9"/>
        <v>0.97991162909292606</v>
      </c>
      <c r="O30" s="64">
        <f t="shared" si="10"/>
        <v>0.2531417377493746</v>
      </c>
      <c r="P30" s="64">
        <f t="shared" si="11"/>
        <v>1.9265708688746874</v>
      </c>
      <c r="Q30" s="64">
        <f t="shared" si="12"/>
        <v>1.6734291311253127</v>
      </c>
      <c r="R30" s="64">
        <f t="shared" si="13"/>
        <v>0</v>
      </c>
      <c r="S30" s="64">
        <f t="shared" si="14"/>
        <v>1.801482739749648</v>
      </c>
      <c r="T30" s="63">
        <f t="shared" si="42"/>
        <v>1.6543097658918589E-2</v>
      </c>
      <c r="U30" s="63">
        <f t="shared" si="15"/>
        <v>1.6</v>
      </c>
      <c r="V30" s="63">
        <f t="shared" si="43"/>
        <v>1.6165430976589186</v>
      </c>
      <c r="W30" s="64">
        <f t="shared" si="44"/>
        <v>7.3075725216365545E-2</v>
      </c>
      <c r="X30" s="63">
        <f t="shared" si="16"/>
        <v>2.6700308079488819E-5</v>
      </c>
      <c r="Y30" s="63">
        <f t="shared" si="45"/>
        <v>2.6700308079488819E-5</v>
      </c>
      <c r="Z30" s="64">
        <f t="shared" si="17"/>
        <v>0.25275276806133123</v>
      </c>
      <c r="AA30" s="74">
        <f t="shared" si="18"/>
        <v>6.3883961762665098E-5</v>
      </c>
      <c r="AB30" s="75">
        <f t="shared" si="46"/>
        <v>6.3883961762665098E-5</v>
      </c>
      <c r="AC30" s="63">
        <f t="shared" si="19"/>
        <v>1.7832965167740813</v>
      </c>
      <c r="AD30" s="63">
        <f t="shared" si="47"/>
        <v>2.6565020588098487E-3</v>
      </c>
      <c r="AE30" s="63">
        <f t="shared" si="20"/>
        <v>3.4557293541845357E-3</v>
      </c>
      <c r="AF30" s="63">
        <f t="shared" si="21"/>
        <v>0.15651220013298822</v>
      </c>
      <c r="AG30" s="63">
        <f t="shared" si="22"/>
        <v>4.0608000000000005E-2</v>
      </c>
      <c r="AH30" s="63">
        <f t="shared" si="23"/>
        <v>0</v>
      </c>
      <c r="AI30" s="63">
        <f t="shared" si="48"/>
        <v>0.22378064516129031</v>
      </c>
      <c r="AJ30" s="63">
        <f t="shared" si="49"/>
        <v>0.4243565746484631</v>
      </c>
      <c r="AK30" s="63">
        <f t="shared" si="24"/>
        <v>0.2553303641898596</v>
      </c>
      <c r="AL30" s="63">
        <f t="shared" si="25"/>
        <v>5.4458786984879377E-5</v>
      </c>
      <c r="AM30" s="63">
        <f t="shared" si="26"/>
        <v>7.0797379254113377E-5</v>
      </c>
      <c r="AN30" s="63">
        <f t="shared" si="27"/>
        <v>4.0132093533031182E-2</v>
      </c>
      <c r="AO30" s="63">
        <f t="shared" si="28"/>
        <v>222.93377957598824</v>
      </c>
      <c r="AP30" s="63">
        <f t="shared" si="50"/>
        <v>4.0132093533031182E-2</v>
      </c>
      <c r="AQ30" s="61">
        <f t="shared" si="29"/>
        <v>0.46248</v>
      </c>
      <c r="AR30" s="61">
        <f t="shared" si="30"/>
        <v>50128320000</v>
      </c>
      <c r="AS30" s="61">
        <f t="shared" si="51"/>
        <v>0.46248</v>
      </c>
      <c r="AT30" s="61">
        <f t="shared" si="52"/>
        <v>0.23869935483870966</v>
      </c>
      <c r="AU30" s="63">
        <f t="shared" si="53"/>
        <v>0.27890224575099498</v>
      </c>
      <c r="AV30" s="63">
        <f t="shared" si="31"/>
        <v>1.2981360246463592E-2</v>
      </c>
      <c r="AW30" s="63">
        <f t="shared" si="32"/>
        <v>2.9760000000000003E-3</v>
      </c>
      <c r="AX30" s="63">
        <f t="shared" si="33"/>
        <v>0.24299000000000001</v>
      </c>
      <c r="AY30" s="63">
        <f t="shared" si="34"/>
        <v>0.24596600000000002</v>
      </c>
      <c r="AZ30" s="63">
        <f t="shared" si="35"/>
        <v>2.5788398625746827</v>
      </c>
      <c r="BA30" s="64">
        <f t="shared" si="36"/>
        <v>42.300000000000004</v>
      </c>
      <c r="BB30" s="76">
        <f t="shared" si="54"/>
        <v>0.94253773336228275</v>
      </c>
      <c r="BC30" s="64">
        <f t="shared" si="55"/>
        <v>94.253773336228278</v>
      </c>
      <c r="BD30" s="63">
        <f t="shared" si="37"/>
        <v>1.6165430976589186</v>
      </c>
      <c r="BE30" s="63">
        <f t="shared" si="56"/>
        <v>0.70325882039945808</v>
      </c>
      <c r="BF30" s="63">
        <f t="shared" si="38"/>
        <v>0.4243565746484631</v>
      </c>
      <c r="BG30" s="63">
        <f t="shared" si="39"/>
        <v>0.27890224575099498</v>
      </c>
      <c r="BH30" s="63">
        <f t="shared" si="40"/>
        <v>1.2981360246463592E-2</v>
      </c>
      <c r="BI30" s="63">
        <f t="shared" si="57"/>
        <v>0.24596600000000002</v>
      </c>
      <c r="BJ30" s="63">
        <f t="shared" si="58"/>
        <v>6.3883961762665098E-5</v>
      </c>
      <c r="BK30" s="63">
        <f t="shared" si="59"/>
        <v>2.6700308079488819E-5</v>
      </c>
      <c r="BL30" s="63">
        <f t="shared" si="60"/>
        <v>2.5788398625746831</v>
      </c>
    </row>
    <row r="31" spans="3:71" x14ac:dyDescent="0.25">
      <c r="C31" s="61">
        <v>19</v>
      </c>
      <c r="D31" s="61">
        <f t="shared" si="0"/>
        <v>100</v>
      </c>
      <c r="E31" s="61">
        <f t="shared" si="1"/>
        <v>100</v>
      </c>
      <c r="F31" s="61">
        <f t="shared" si="2"/>
        <v>100</v>
      </c>
      <c r="G31" s="73">
        <f t="shared" si="3"/>
        <v>24</v>
      </c>
      <c r="H31" s="64">
        <f t="shared" si="4"/>
        <v>1</v>
      </c>
      <c r="I31" s="63">
        <f t="shared" si="41"/>
        <v>1.9</v>
      </c>
      <c r="J31" s="65">
        <f t="shared" si="5"/>
        <v>8.3533953124311573E-4</v>
      </c>
      <c r="K31" s="65">
        <f t="shared" si="6"/>
        <v>8.3533953124311573E-4</v>
      </c>
      <c r="L31" s="65">
        <f t="shared" si="7"/>
        <v>5.097492818882457E-3</v>
      </c>
      <c r="M31" s="65">
        <f t="shared" si="8"/>
        <v>4.0000000000000001E-3</v>
      </c>
      <c r="N31" s="63">
        <f t="shared" si="9"/>
        <v>0.97995301589438499</v>
      </c>
      <c r="O31" s="64">
        <f t="shared" si="10"/>
        <v>0.25315242925106735</v>
      </c>
      <c r="P31" s="64">
        <f t="shared" si="11"/>
        <v>2.0265762146255337</v>
      </c>
      <c r="Q31" s="64">
        <f t="shared" si="12"/>
        <v>1.7734237853744663</v>
      </c>
      <c r="R31" s="64">
        <f t="shared" si="13"/>
        <v>0</v>
      </c>
      <c r="S31" s="64">
        <f t="shared" si="14"/>
        <v>1.9014048786891697</v>
      </c>
      <c r="T31" s="63">
        <f t="shared" si="42"/>
        <v>1.8429172301318242E-2</v>
      </c>
      <c r="U31" s="63">
        <f t="shared" si="15"/>
        <v>1.6</v>
      </c>
      <c r="V31" s="63">
        <f t="shared" si="43"/>
        <v>1.6184291723013184</v>
      </c>
      <c r="W31" s="64">
        <f t="shared" si="44"/>
        <v>7.3078811587055717E-2</v>
      </c>
      <c r="X31" s="63">
        <f t="shared" si="16"/>
        <v>2.6702563514881946E-5</v>
      </c>
      <c r="Y31" s="63">
        <f t="shared" si="45"/>
        <v>2.6702563514881946E-5</v>
      </c>
      <c r="Z31" s="64">
        <f t="shared" si="17"/>
        <v>0.266502786227378</v>
      </c>
      <c r="AA31" s="74">
        <f t="shared" si="18"/>
        <v>7.1023735066955533E-5</v>
      </c>
      <c r="AB31" s="75">
        <f t="shared" si="46"/>
        <v>7.1023735066955533E-5</v>
      </c>
      <c r="AC31" s="63">
        <f t="shared" si="19"/>
        <v>1.8822496749656867</v>
      </c>
      <c r="AD31" s="63">
        <f t="shared" si="47"/>
        <v>2.9594942184519562E-3</v>
      </c>
      <c r="AE31" s="63">
        <f t="shared" si="20"/>
        <v>3.8501683326158131E-3</v>
      </c>
      <c r="AF31" s="63">
        <f t="shared" si="21"/>
        <v>0.16500453352403061</v>
      </c>
      <c r="AG31" s="63">
        <f t="shared" si="22"/>
        <v>4.0608000000000005E-2</v>
      </c>
      <c r="AH31" s="63">
        <f t="shared" si="23"/>
        <v>0</v>
      </c>
      <c r="AI31" s="63">
        <f t="shared" si="48"/>
        <v>0.22378064516129031</v>
      </c>
      <c r="AJ31" s="63">
        <f t="shared" si="49"/>
        <v>0.43324334701793676</v>
      </c>
      <c r="AK31" s="63">
        <f t="shared" si="24"/>
        <v>0.26921492119595186</v>
      </c>
      <c r="AL31" s="63">
        <f t="shared" si="25"/>
        <v>6.0542630713593404E-5</v>
      </c>
      <c r="AM31" s="63">
        <f t="shared" si="26"/>
        <v>7.8706601673641941E-5</v>
      </c>
      <c r="AN31" s="63">
        <f t="shared" si="27"/>
        <v>4.2388073433008003E-2</v>
      </c>
      <c r="AO31" s="63">
        <f t="shared" si="28"/>
        <v>235.46574792035943</v>
      </c>
      <c r="AP31" s="63">
        <f t="shared" si="50"/>
        <v>4.2388073433008003E-2</v>
      </c>
      <c r="AQ31" s="61">
        <f t="shared" si="29"/>
        <v>0.46248</v>
      </c>
      <c r="AR31" s="61">
        <f t="shared" si="30"/>
        <v>50128320000</v>
      </c>
      <c r="AS31" s="61">
        <f t="shared" si="51"/>
        <v>0.46248</v>
      </c>
      <c r="AT31" s="61">
        <f t="shared" si="52"/>
        <v>0.23869935483870966</v>
      </c>
      <c r="AU31" s="63">
        <f t="shared" si="53"/>
        <v>0.28116613487339132</v>
      </c>
      <c r="AV31" s="63">
        <f t="shared" si="31"/>
        <v>1.4461362050811905E-2</v>
      </c>
      <c r="AW31" s="63">
        <f t="shared" si="32"/>
        <v>2.9760000000000003E-3</v>
      </c>
      <c r="AX31" s="63">
        <f t="shared" si="33"/>
        <v>0.24299000000000001</v>
      </c>
      <c r="AY31" s="63">
        <f t="shared" si="34"/>
        <v>0.24596600000000002</v>
      </c>
      <c r="AZ31" s="63">
        <f t="shared" si="35"/>
        <v>2.5933637425420404</v>
      </c>
      <c r="BA31" s="64">
        <f t="shared" si="36"/>
        <v>44.65</v>
      </c>
      <c r="BB31" s="76">
        <f t="shared" si="54"/>
        <v>0.94510628505042815</v>
      </c>
      <c r="BC31" s="64">
        <f t="shared" si="55"/>
        <v>94.510628505042817</v>
      </c>
      <c r="BD31" s="63">
        <f t="shared" si="37"/>
        <v>1.6184291723013184</v>
      </c>
      <c r="BE31" s="63">
        <f t="shared" si="56"/>
        <v>0.71440948189132802</v>
      </c>
      <c r="BF31" s="63">
        <f t="shared" si="38"/>
        <v>0.43324334701793676</v>
      </c>
      <c r="BG31" s="63">
        <f t="shared" si="39"/>
        <v>0.28116613487339132</v>
      </c>
      <c r="BH31" s="63">
        <f t="shared" si="40"/>
        <v>1.4461362050811905E-2</v>
      </c>
      <c r="BI31" s="63">
        <f t="shared" si="57"/>
        <v>0.24596600000000002</v>
      </c>
      <c r="BJ31" s="63">
        <f t="shared" si="58"/>
        <v>7.1023735066955533E-5</v>
      </c>
      <c r="BK31" s="63">
        <f t="shared" si="59"/>
        <v>2.6702563514881946E-5</v>
      </c>
      <c r="BL31" s="63">
        <f t="shared" si="60"/>
        <v>2.5933637425420404</v>
      </c>
    </row>
    <row r="32" spans="3:71" x14ac:dyDescent="0.25">
      <c r="C32" s="61">
        <v>20</v>
      </c>
      <c r="D32" s="61">
        <f t="shared" si="0"/>
        <v>100</v>
      </c>
      <c r="E32" s="61">
        <f t="shared" si="1"/>
        <v>100</v>
      </c>
      <c r="F32" s="61">
        <f t="shared" si="2"/>
        <v>100</v>
      </c>
      <c r="G32" s="73">
        <f t="shared" si="3"/>
        <v>24</v>
      </c>
      <c r="H32" s="64">
        <f t="shared" si="4"/>
        <v>1</v>
      </c>
      <c r="I32" s="63">
        <f t="shared" si="41"/>
        <v>2</v>
      </c>
      <c r="J32" s="65">
        <f t="shared" si="5"/>
        <v>8.3533953124311573E-4</v>
      </c>
      <c r="K32" s="65">
        <f t="shared" si="6"/>
        <v>8.3533953124311573E-4</v>
      </c>
      <c r="L32" s="65">
        <f t="shared" si="7"/>
        <v>5.097492818882457E-3</v>
      </c>
      <c r="M32" s="65">
        <f t="shared" si="8"/>
        <v>4.0000000000000001E-3</v>
      </c>
      <c r="N32" s="63">
        <f t="shared" si="9"/>
        <v>0.97999440269584381</v>
      </c>
      <c r="O32" s="64">
        <f t="shared" si="10"/>
        <v>0.25316312075276004</v>
      </c>
      <c r="P32" s="64">
        <f t="shared" si="11"/>
        <v>2.1265815603763798</v>
      </c>
      <c r="Q32" s="64">
        <f t="shared" si="12"/>
        <v>1.87341843962362</v>
      </c>
      <c r="R32" s="64">
        <f t="shared" si="13"/>
        <v>0</v>
      </c>
      <c r="S32" s="64">
        <f t="shared" si="14"/>
        <v>2.0013347955324985</v>
      </c>
      <c r="T32" s="63">
        <f t="shared" si="42"/>
        <v>2.0417196800192664E-2</v>
      </c>
      <c r="U32" s="63">
        <f t="shared" si="15"/>
        <v>1.6</v>
      </c>
      <c r="V32" s="63">
        <f t="shared" si="43"/>
        <v>1.6204171968001928</v>
      </c>
      <c r="W32" s="64">
        <f t="shared" si="44"/>
        <v>7.3081897957745875E-2</v>
      </c>
      <c r="X32" s="63">
        <f t="shared" si="16"/>
        <v>2.6704819045531905E-5</v>
      </c>
      <c r="Y32" s="63">
        <f t="shared" si="45"/>
        <v>2.6704819045531905E-5</v>
      </c>
      <c r="Z32" s="64">
        <f t="shared" si="17"/>
        <v>0.28022527564859423</v>
      </c>
      <c r="AA32" s="74">
        <f t="shared" si="18"/>
        <v>7.8526205112330617E-5</v>
      </c>
      <c r="AB32" s="75">
        <f t="shared" si="46"/>
        <v>7.8526205112330617E-5</v>
      </c>
      <c r="AC32" s="63">
        <f t="shared" si="19"/>
        <v>1.9812147095712018</v>
      </c>
      <c r="AD32" s="63">
        <f t="shared" si="47"/>
        <v>3.2788845227434116E-3</v>
      </c>
      <c r="AE32" s="63">
        <f t="shared" si="20"/>
        <v>4.266018849795156E-3</v>
      </c>
      <c r="AF32" s="63">
        <f t="shared" si="21"/>
        <v>0.17349686691507291</v>
      </c>
      <c r="AG32" s="63">
        <f t="shared" si="22"/>
        <v>4.0608000000000005E-2</v>
      </c>
      <c r="AH32" s="63">
        <f t="shared" si="23"/>
        <v>0</v>
      </c>
      <c r="AI32" s="63">
        <f t="shared" si="48"/>
        <v>0.22378064516129031</v>
      </c>
      <c r="AJ32" s="63">
        <f t="shared" si="49"/>
        <v>0.44215153092615839</v>
      </c>
      <c r="AK32" s="63">
        <f t="shared" si="24"/>
        <v>0.28307108363060651</v>
      </c>
      <c r="AL32" s="63">
        <f t="shared" si="25"/>
        <v>6.693512043373759E-5</v>
      </c>
      <c r="AM32" s="63">
        <f t="shared" si="26"/>
        <v>8.701710103989307E-5</v>
      </c>
      <c r="AN32" s="63">
        <f t="shared" si="27"/>
        <v>4.4644053332984816E-2</v>
      </c>
      <c r="AO32" s="63">
        <f t="shared" si="28"/>
        <v>247.99771626473063</v>
      </c>
      <c r="AP32" s="63">
        <f t="shared" si="50"/>
        <v>4.4644053332984816E-2</v>
      </c>
      <c r="AQ32" s="61">
        <f t="shared" si="29"/>
        <v>0.46248</v>
      </c>
      <c r="AR32" s="61">
        <f t="shared" si="30"/>
        <v>50128320000</v>
      </c>
      <c r="AS32" s="61">
        <f t="shared" si="51"/>
        <v>0.46248</v>
      </c>
      <c r="AT32" s="61">
        <f t="shared" si="52"/>
        <v>0.23869935483870966</v>
      </c>
      <c r="AU32" s="63">
        <f t="shared" si="53"/>
        <v>0.28343042527273438</v>
      </c>
      <c r="AV32" s="63">
        <f t="shared" si="31"/>
        <v>1.6021363855236431E-2</v>
      </c>
      <c r="AW32" s="63">
        <f t="shared" si="32"/>
        <v>2.9760000000000003E-3</v>
      </c>
      <c r="AX32" s="63">
        <f t="shared" si="33"/>
        <v>0.24299000000000001</v>
      </c>
      <c r="AY32" s="63">
        <f t="shared" si="34"/>
        <v>0.24596600000000002</v>
      </c>
      <c r="AZ32" s="63">
        <f t="shared" si="35"/>
        <v>2.60809174787848</v>
      </c>
      <c r="BA32" s="64">
        <f t="shared" si="36"/>
        <v>47</v>
      </c>
      <c r="BB32" s="76">
        <f t="shared" si="54"/>
        <v>0.94742608199618927</v>
      </c>
      <c r="BC32" s="64">
        <f t="shared" si="55"/>
        <v>94.742608199618928</v>
      </c>
      <c r="BD32" s="63">
        <f t="shared" si="37"/>
        <v>1.6204171968001928</v>
      </c>
      <c r="BE32" s="63">
        <f t="shared" si="56"/>
        <v>0.72558195619889276</v>
      </c>
      <c r="BF32" s="63">
        <f t="shared" si="38"/>
        <v>0.44215153092615839</v>
      </c>
      <c r="BG32" s="63">
        <f t="shared" si="39"/>
        <v>0.28343042527273438</v>
      </c>
      <c r="BH32" s="63">
        <f t="shared" si="40"/>
        <v>1.6021363855236431E-2</v>
      </c>
      <c r="BI32" s="63">
        <f t="shared" si="57"/>
        <v>0.24596600000000002</v>
      </c>
      <c r="BJ32" s="63">
        <f t="shared" si="58"/>
        <v>7.8526205112330617E-5</v>
      </c>
      <c r="BK32" s="63">
        <f t="shared" si="59"/>
        <v>2.6704819045531905E-5</v>
      </c>
      <c r="BL32" s="63">
        <f t="shared" si="60"/>
        <v>2.60809174787848</v>
      </c>
    </row>
    <row r="33" spans="3:64" x14ac:dyDescent="0.25">
      <c r="C33" s="61">
        <v>21</v>
      </c>
      <c r="D33" s="61">
        <f t="shared" si="0"/>
        <v>100</v>
      </c>
      <c r="E33" s="61">
        <f t="shared" si="1"/>
        <v>100</v>
      </c>
      <c r="F33" s="61">
        <f t="shared" si="2"/>
        <v>100</v>
      </c>
      <c r="G33" s="73">
        <f t="shared" si="3"/>
        <v>24</v>
      </c>
      <c r="H33" s="64">
        <f t="shared" si="4"/>
        <v>1</v>
      </c>
      <c r="I33" s="63">
        <f t="shared" si="41"/>
        <v>2.1</v>
      </c>
      <c r="J33" s="65">
        <f t="shared" si="5"/>
        <v>8.3533953124311573E-4</v>
      </c>
      <c r="K33" s="65">
        <f t="shared" si="6"/>
        <v>8.3533953124311573E-4</v>
      </c>
      <c r="L33" s="65">
        <f t="shared" si="7"/>
        <v>5.097492818882457E-3</v>
      </c>
      <c r="M33" s="65">
        <f t="shared" si="8"/>
        <v>4.0000000000000001E-3</v>
      </c>
      <c r="N33" s="63">
        <f t="shared" si="9"/>
        <v>0.98003578949730263</v>
      </c>
      <c r="O33" s="64">
        <f t="shared" si="10"/>
        <v>0.25317381225445279</v>
      </c>
      <c r="P33" s="64">
        <f t="shared" si="11"/>
        <v>2.2265869061272263</v>
      </c>
      <c r="Q33" s="64">
        <f t="shared" si="12"/>
        <v>1.9734130938727736</v>
      </c>
      <c r="R33" s="64">
        <f t="shared" si="13"/>
        <v>0</v>
      </c>
      <c r="S33" s="64">
        <f t="shared" si="14"/>
        <v>2.1012713806013461</v>
      </c>
      <c r="T33" s="63">
        <f t="shared" si="42"/>
        <v>2.2507171155541839E-2</v>
      </c>
      <c r="U33" s="63">
        <f t="shared" si="15"/>
        <v>1.6</v>
      </c>
      <c r="V33" s="63">
        <f t="shared" si="43"/>
        <v>1.6225071711555419</v>
      </c>
      <c r="W33" s="64">
        <f t="shared" si="44"/>
        <v>7.3084984328436048E-2</v>
      </c>
      <c r="X33" s="63">
        <f t="shared" si="16"/>
        <v>2.6707074671438714E-5</v>
      </c>
      <c r="Y33" s="63">
        <f t="shared" si="45"/>
        <v>2.6707074671438714E-5</v>
      </c>
      <c r="Z33" s="64">
        <f t="shared" si="17"/>
        <v>0.29392003018079604</v>
      </c>
      <c r="AA33" s="74">
        <f t="shared" si="18"/>
        <v>8.6388984141480047E-5</v>
      </c>
      <c r="AB33" s="75">
        <f t="shared" si="46"/>
        <v>8.6388984141480047E-5</v>
      </c>
      <c r="AC33" s="63">
        <f t="shared" si="19"/>
        <v>2.0801905224005952</v>
      </c>
      <c r="AD33" s="63">
        <f t="shared" si="47"/>
        <v>3.614675046006093E-3</v>
      </c>
      <c r="AE33" s="63">
        <f t="shared" si="20"/>
        <v>4.7032937777137006E-3</v>
      </c>
      <c r="AF33" s="63">
        <f t="shared" si="21"/>
        <v>0.18198920030611529</v>
      </c>
      <c r="AG33" s="63">
        <f t="shared" si="22"/>
        <v>4.0608000000000005E-2</v>
      </c>
      <c r="AH33" s="63">
        <f t="shared" si="23"/>
        <v>0</v>
      </c>
      <c r="AI33" s="63">
        <f t="shared" si="48"/>
        <v>0.22378064516129031</v>
      </c>
      <c r="AJ33" s="63">
        <f t="shared" si="49"/>
        <v>0.45108113924511928</v>
      </c>
      <c r="AK33" s="63">
        <f t="shared" si="24"/>
        <v>0.29689864507778702</v>
      </c>
      <c r="AL33" s="63">
        <f t="shared" si="25"/>
        <v>7.3634181823429773E-5</v>
      </c>
      <c r="AM33" s="63">
        <f t="shared" si="26"/>
        <v>9.5726184452837984E-5</v>
      </c>
      <c r="AN33" s="63">
        <f t="shared" si="27"/>
        <v>4.690003323296163E-2</v>
      </c>
      <c r="AO33" s="63">
        <f t="shared" si="28"/>
        <v>260.52968460910188</v>
      </c>
      <c r="AP33" s="63">
        <f t="shared" si="50"/>
        <v>4.690003323296163E-2</v>
      </c>
      <c r="AQ33" s="61">
        <f t="shared" si="29"/>
        <v>0.46248</v>
      </c>
      <c r="AR33" s="61">
        <f t="shared" si="30"/>
        <v>50128320000</v>
      </c>
      <c r="AS33" s="61">
        <f t="shared" si="51"/>
        <v>0.46248</v>
      </c>
      <c r="AT33" s="61">
        <f t="shared" si="52"/>
        <v>0.23869935483870966</v>
      </c>
      <c r="AU33" s="63">
        <f t="shared" si="53"/>
        <v>0.28569511425612415</v>
      </c>
      <c r="AV33" s="63">
        <f t="shared" si="31"/>
        <v>1.7661365659737152E-2</v>
      </c>
      <c r="AW33" s="63">
        <f t="shared" si="32"/>
        <v>2.9760000000000003E-3</v>
      </c>
      <c r="AX33" s="63">
        <f t="shared" si="33"/>
        <v>0.24299000000000001</v>
      </c>
      <c r="AY33" s="63">
        <f t="shared" si="34"/>
        <v>0.24596600000000002</v>
      </c>
      <c r="AZ33" s="63">
        <f t="shared" si="35"/>
        <v>2.6230238863753352</v>
      </c>
      <c r="BA33" s="64">
        <f t="shared" si="36"/>
        <v>49.35</v>
      </c>
      <c r="BB33" s="76">
        <f t="shared" si="54"/>
        <v>0.94953105110624592</v>
      </c>
      <c r="BC33" s="64">
        <f t="shared" si="55"/>
        <v>94.953105110624591</v>
      </c>
      <c r="BD33" s="63">
        <f t="shared" si="37"/>
        <v>1.6225071711555419</v>
      </c>
      <c r="BE33" s="63">
        <f t="shared" si="56"/>
        <v>0.73677625350124343</v>
      </c>
      <c r="BF33" s="63">
        <f t="shared" si="38"/>
        <v>0.45108113924511928</v>
      </c>
      <c r="BG33" s="63">
        <f t="shared" si="39"/>
        <v>0.28569511425612415</v>
      </c>
      <c r="BH33" s="63">
        <f t="shared" si="40"/>
        <v>1.7661365659737152E-2</v>
      </c>
      <c r="BI33" s="63">
        <f t="shared" si="57"/>
        <v>0.24596600000000002</v>
      </c>
      <c r="BJ33" s="63">
        <f t="shared" si="58"/>
        <v>8.6388984141480047E-5</v>
      </c>
      <c r="BK33" s="63">
        <f t="shared" si="59"/>
        <v>2.6707074671438714E-5</v>
      </c>
      <c r="BL33" s="63">
        <f t="shared" si="60"/>
        <v>2.6230238863753352</v>
      </c>
    </row>
    <row r="34" spans="3:64" x14ac:dyDescent="0.25">
      <c r="C34" s="61">
        <v>22</v>
      </c>
      <c r="D34" s="61">
        <f t="shared" si="0"/>
        <v>100</v>
      </c>
      <c r="E34" s="61">
        <f t="shared" si="1"/>
        <v>100</v>
      </c>
      <c r="F34" s="61">
        <f t="shared" si="2"/>
        <v>100</v>
      </c>
      <c r="G34" s="73">
        <f t="shared" si="3"/>
        <v>24</v>
      </c>
      <c r="H34" s="64">
        <f t="shared" si="4"/>
        <v>1</v>
      </c>
      <c r="I34" s="63">
        <f t="shared" si="41"/>
        <v>2.2000000000000002</v>
      </c>
      <c r="J34" s="65">
        <f t="shared" si="5"/>
        <v>8.3533953124311573E-4</v>
      </c>
      <c r="K34" s="65">
        <f t="shared" si="6"/>
        <v>8.3533953124311573E-4</v>
      </c>
      <c r="L34" s="65">
        <f t="shared" si="7"/>
        <v>5.097492818882457E-3</v>
      </c>
      <c r="M34" s="65">
        <f t="shared" si="8"/>
        <v>4.0000000000000001E-3</v>
      </c>
      <c r="N34" s="63">
        <f t="shared" si="9"/>
        <v>0.98007717629876145</v>
      </c>
      <c r="O34" s="64">
        <f t="shared" si="10"/>
        <v>0.25318450375614554</v>
      </c>
      <c r="P34" s="64">
        <f t="shared" si="11"/>
        <v>2.3265922518780728</v>
      </c>
      <c r="Q34" s="64">
        <f t="shared" si="12"/>
        <v>2.0734077481219275</v>
      </c>
      <c r="R34" s="64">
        <f t="shared" si="13"/>
        <v>0</v>
      </c>
      <c r="S34" s="64">
        <f t="shared" si="14"/>
        <v>2.2012137256701179</v>
      </c>
      <c r="T34" s="63">
        <f t="shared" si="42"/>
        <v>2.4699095367365784E-2</v>
      </c>
      <c r="U34" s="63">
        <f t="shared" si="15"/>
        <v>1.6</v>
      </c>
      <c r="V34" s="63">
        <f t="shared" si="43"/>
        <v>1.6246990953673659</v>
      </c>
      <c r="W34" s="64">
        <f t="shared" si="44"/>
        <v>7.308807069912622E-2</v>
      </c>
      <c r="X34" s="63">
        <f t="shared" si="16"/>
        <v>2.6709330392602364E-5</v>
      </c>
      <c r="Y34" s="63">
        <f t="shared" si="45"/>
        <v>2.6709330392602364E-5</v>
      </c>
      <c r="Z34" s="64">
        <f t="shared" si="17"/>
        <v>0.30758687225888859</v>
      </c>
      <c r="AA34" s="74">
        <f t="shared" si="18"/>
        <v>9.4609683986005843E-5</v>
      </c>
      <c r="AB34" s="75">
        <f t="shared" si="46"/>
        <v>9.4609683986005843E-5</v>
      </c>
      <c r="AC34" s="63">
        <f t="shared" si="19"/>
        <v>2.1791762146068887</v>
      </c>
      <c r="AD34" s="63">
        <f t="shared" si="47"/>
        <v>3.9668678625618872E-3</v>
      </c>
      <c r="AE34" s="63">
        <f t="shared" si="20"/>
        <v>5.1620065167743701E-3</v>
      </c>
      <c r="AF34" s="63">
        <f t="shared" si="21"/>
        <v>0.19048153369715765</v>
      </c>
      <c r="AG34" s="63">
        <f t="shared" si="22"/>
        <v>4.0608000000000005E-2</v>
      </c>
      <c r="AH34" s="63">
        <f t="shared" si="23"/>
        <v>0</v>
      </c>
      <c r="AI34" s="63">
        <f t="shared" si="48"/>
        <v>0.22378064516129031</v>
      </c>
      <c r="AJ34" s="63">
        <f t="shared" si="49"/>
        <v>0.46003218537522234</v>
      </c>
      <c r="AK34" s="63">
        <f t="shared" si="24"/>
        <v>0.31069742800691569</v>
      </c>
      <c r="AL34" s="63">
        <f t="shared" si="25"/>
        <v>8.0637740560788251E-5</v>
      </c>
      <c r="AM34" s="63">
        <f t="shared" si="26"/>
        <v>1.0483115915928284E-4</v>
      </c>
      <c r="AN34" s="63">
        <f t="shared" si="27"/>
        <v>4.9156013132938457E-2</v>
      </c>
      <c r="AO34" s="63">
        <f t="shared" si="28"/>
        <v>273.06165295347313</v>
      </c>
      <c r="AP34" s="63">
        <f t="shared" si="50"/>
        <v>4.9156013132938457E-2</v>
      </c>
      <c r="AQ34" s="61">
        <f t="shared" si="29"/>
        <v>0.46248</v>
      </c>
      <c r="AR34" s="61">
        <f t="shared" si="30"/>
        <v>50128320000</v>
      </c>
      <c r="AS34" s="61">
        <f t="shared" si="51"/>
        <v>0.46248</v>
      </c>
      <c r="AT34" s="61">
        <f t="shared" si="52"/>
        <v>0.23869935483870966</v>
      </c>
      <c r="AU34" s="63">
        <f t="shared" si="53"/>
        <v>0.28796019913080739</v>
      </c>
      <c r="AV34" s="63">
        <f t="shared" si="31"/>
        <v>1.9381367464314084E-2</v>
      </c>
      <c r="AW34" s="63">
        <f t="shared" si="32"/>
        <v>2.9760000000000003E-3</v>
      </c>
      <c r="AX34" s="63">
        <f t="shared" si="33"/>
        <v>0.24299000000000001</v>
      </c>
      <c r="AY34" s="63">
        <f t="shared" si="34"/>
        <v>0.24596600000000002</v>
      </c>
      <c r="AZ34" s="63">
        <f t="shared" si="35"/>
        <v>2.6381601663520886</v>
      </c>
      <c r="BA34" s="64">
        <f t="shared" si="36"/>
        <v>51.7</v>
      </c>
      <c r="BB34" s="76">
        <f t="shared" si="54"/>
        <v>0.95144921803985338</v>
      </c>
      <c r="BC34" s="64">
        <f t="shared" si="55"/>
        <v>95.144921803985341</v>
      </c>
      <c r="BD34" s="63">
        <f t="shared" si="37"/>
        <v>1.6246990953673659</v>
      </c>
      <c r="BE34" s="63">
        <f t="shared" si="56"/>
        <v>0.74799238450602967</v>
      </c>
      <c r="BF34" s="63">
        <f t="shared" si="38"/>
        <v>0.46003218537522234</v>
      </c>
      <c r="BG34" s="63">
        <f t="shared" si="39"/>
        <v>0.28796019913080739</v>
      </c>
      <c r="BH34" s="63">
        <f t="shared" si="40"/>
        <v>1.9381367464314084E-2</v>
      </c>
      <c r="BI34" s="63">
        <f t="shared" si="57"/>
        <v>0.24596600000000002</v>
      </c>
      <c r="BJ34" s="63">
        <f t="shared" si="58"/>
        <v>9.4609683986005843E-5</v>
      </c>
      <c r="BK34" s="63">
        <f t="shared" si="59"/>
        <v>2.6709330392602364E-5</v>
      </c>
      <c r="BL34" s="63">
        <f t="shared" si="60"/>
        <v>2.6381601663520891</v>
      </c>
    </row>
    <row r="35" spans="3:64" x14ac:dyDescent="0.25">
      <c r="C35" s="61">
        <v>23</v>
      </c>
      <c r="D35" s="61">
        <f t="shared" si="0"/>
        <v>100</v>
      </c>
      <c r="E35" s="61">
        <f t="shared" si="1"/>
        <v>100</v>
      </c>
      <c r="F35" s="61">
        <f t="shared" si="2"/>
        <v>100</v>
      </c>
      <c r="G35" s="73">
        <f t="shared" si="3"/>
        <v>24</v>
      </c>
      <c r="H35" s="64">
        <f t="shared" si="4"/>
        <v>1</v>
      </c>
      <c r="I35" s="63">
        <f t="shared" si="41"/>
        <v>2.2999999999999998</v>
      </c>
      <c r="J35" s="65">
        <f t="shared" si="5"/>
        <v>8.3533953124311573E-4</v>
      </c>
      <c r="K35" s="65">
        <f t="shared" si="6"/>
        <v>8.3533953124311573E-4</v>
      </c>
      <c r="L35" s="65">
        <f t="shared" si="7"/>
        <v>5.097492818882457E-3</v>
      </c>
      <c r="M35" s="65">
        <f t="shared" si="8"/>
        <v>4.0000000000000001E-3</v>
      </c>
      <c r="N35" s="63">
        <f t="shared" si="9"/>
        <v>0.98011856310022039</v>
      </c>
      <c r="O35" s="64">
        <f t="shared" si="10"/>
        <v>0.25319519525783829</v>
      </c>
      <c r="P35" s="64">
        <f t="shared" si="11"/>
        <v>2.4265975976289189</v>
      </c>
      <c r="Q35" s="64">
        <f t="shared" si="12"/>
        <v>2.1734024023710807</v>
      </c>
      <c r="R35" s="64">
        <f t="shared" si="13"/>
        <v>0</v>
      </c>
      <c r="S35" s="64">
        <f t="shared" si="14"/>
        <v>2.3011610802466227</v>
      </c>
      <c r="T35" s="63">
        <f t="shared" si="42"/>
        <v>2.6992969435664482E-2</v>
      </c>
      <c r="U35" s="63">
        <f t="shared" si="15"/>
        <v>1.6</v>
      </c>
      <c r="V35" s="63">
        <f t="shared" si="43"/>
        <v>1.6269929694356646</v>
      </c>
      <c r="W35" s="64">
        <f t="shared" si="44"/>
        <v>7.3091157069816406E-2</v>
      </c>
      <c r="X35" s="63">
        <f t="shared" si="16"/>
        <v>2.6711586209022864E-5</v>
      </c>
      <c r="Y35" s="63">
        <f t="shared" si="45"/>
        <v>2.6711586209022864E-5</v>
      </c>
      <c r="Z35" s="64">
        <f t="shared" si="17"/>
        <v>0.32122564665110587</v>
      </c>
      <c r="AA35" s="74">
        <f t="shared" si="18"/>
        <v>1.0318591606642112E-4</v>
      </c>
      <c r="AB35" s="75">
        <f t="shared" si="46"/>
        <v>1.0318591606642112E-4</v>
      </c>
      <c r="AC35" s="63">
        <f t="shared" si="19"/>
        <v>2.2781710434247091</v>
      </c>
      <c r="AD35" s="63">
        <f t="shared" si="47"/>
        <v>4.3354650467326717E-3</v>
      </c>
      <c r="AE35" s="63">
        <f t="shared" si="20"/>
        <v>5.6421709966681223E-3</v>
      </c>
      <c r="AF35" s="63">
        <f t="shared" si="21"/>
        <v>0.19897386708819995</v>
      </c>
      <c r="AG35" s="63">
        <f t="shared" si="22"/>
        <v>4.0608000000000005E-2</v>
      </c>
      <c r="AH35" s="63">
        <f t="shared" si="23"/>
        <v>0</v>
      </c>
      <c r="AI35" s="63">
        <f t="shared" si="48"/>
        <v>0.22378064516129031</v>
      </c>
      <c r="AJ35" s="63">
        <f t="shared" si="49"/>
        <v>0.4690046832461584</v>
      </c>
      <c r="AK35" s="63">
        <f t="shared" si="24"/>
        <v>0.3244672774610341</v>
      </c>
      <c r="AL35" s="63">
        <f t="shared" si="25"/>
        <v>8.7943722323930671E-5</v>
      </c>
      <c r="AM35" s="63">
        <f t="shared" si="26"/>
        <v>1.1432933254878451E-4</v>
      </c>
      <c r="AN35" s="63">
        <f t="shared" si="27"/>
        <v>5.1411993032915257E-2</v>
      </c>
      <c r="AO35" s="63">
        <f t="shared" si="28"/>
        <v>285.59362129784427</v>
      </c>
      <c r="AP35" s="63">
        <f t="shared" si="50"/>
        <v>5.1411993032915257E-2</v>
      </c>
      <c r="AQ35" s="61">
        <f t="shared" si="29"/>
        <v>0.46248</v>
      </c>
      <c r="AR35" s="61">
        <f t="shared" si="30"/>
        <v>50128320000</v>
      </c>
      <c r="AS35" s="61">
        <f t="shared" si="51"/>
        <v>0.46248</v>
      </c>
      <c r="AT35" s="61">
        <f t="shared" si="52"/>
        <v>0.23869935483870966</v>
      </c>
      <c r="AU35" s="63">
        <f t="shared" si="53"/>
        <v>0.29022567720417369</v>
      </c>
      <c r="AV35" s="63">
        <f t="shared" si="31"/>
        <v>2.1181369268967215E-2</v>
      </c>
      <c r="AW35" s="63">
        <f t="shared" si="32"/>
        <v>2.9760000000000003E-3</v>
      </c>
      <c r="AX35" s="63">
        <f t="shared" si="33"/>
        <v>0.24299000000000001</v>
      </c>
      <c r="AY35" s="63">
        <f t="shared" si="34"/>
        <v>0.24596600000000002</v>
      </c>
      <c r="AZ35" s="63">
        <f t="shared" si="35"/>
        <v>2.6535005966572394</v>
      </c>
      <c r="BA35" s="64">
        <f t="shared" si="36"/>
        <v>54.05</v>
      </c>
      <c r="BB35" s="76">
        <f t="shared" si="54"/>
        <v>0.95320393681631599</v>
      </c>
      <c r="BC35" s="64">
        <f t="shared" si="55"/>
        <v>95.3203936816316</v>
      </c>
      <c r="BD35" s="63">
        <f t="shared" si="37"/>
        <v>1.6269929694356646</v>
      </c>
      <c r="BE35" s="63">
        <f t="shared" si="56"/>
        <v>0.7592303604503321</v>
      </c>
      <c r="BF35" s="63">
        <f t="shared" si="38"/>
        <v>0.4690046832461584</v>
      </c>
      <c r="BG35" s="63">
        <f t="shared" si="39"/>
        <v>0.29022567720417369</v>
      </c>
      <c r="BH35" s="63">
        <f t="shared" si="40"/>
        <v>2.1181369268967215E-2</v>
      </c>
      <c r="BI35" s="63">
        <f t="shared" si="57"/>
        <v>0.24596600000000002</v>
      </c>
      <c r="BJ35" s="63">
        <f t="shared" si="58"/>
        <v>1.0318591606642112E-4</v>
      </c>
      <c r="BK35" s="63">
        <f t="shared" si="59"/>
        <v>2.6711586209022864E-5</v>
      </c>
      <c r="BL35" s="63">
        <f t="shared" si="60"/>
        <v>2.6535005966572394</v>
      </c>
    </row>
    <row r="36" spans="3:64" x14ac:dyDescent="0.25">
      <c r="C36" s="61">
        <v>24</v>
      </c>
      <c r="D36" s="61">
        <f t="shared" si="0"/>
        <v>100</v>
      </c>
      <c r="E36" s="61">
        <f t="shared" si="1"/>
        <v>100</v>
      </c>
      <c r="F36" s="61">
        <f t="shared" si="2"/>
        <v>100</v>
      </c>
      <c r="G36" s="73">
        <f t="shared" si="3"/>
        <v>24</v>
      </c>
      <c r="H36" s="64">
        <f t="shared" si="4"/>
        <v>1</v>
      </c>
      <c r="I36" s="63">
        <f t="shared" si="41"/>
        <v>2.4</v>
      </c>
      <c r="J36" s="65">
        <f t="shared" si="5"/>
        <v>8.3533953124311573E-4</v>
      </c>
      <c r="K36" s="65">
        <f t="shared" si="6"/>
        <v>8.3533953124311573E-4</v>
      </c>
      <c r="L36" s="65">
        <f t="shared" si="7"/>
        <v>5.097492818882457E-3</v>
      </c>
      <c r="M36" s="65">
        <f t="shared" si="8"/>
        <v>4.0000000000000001E-3</v>
      </c>
      <c r="N36" s="63">
        <f t="shared" si="9"/>
        <v>0.98015994990167921</v>
      </c>
      <c r="O36" s="64">
        <f t="shared" si="10"/>
        <v>0.25320588675953104</v>
      </c>
      <c r="P36" s="64">
        <f t="shared" si="11"/>
        <v>2.5266029433797654</v>
      </c>
      <c r="Q36" s="64">
        <f t="shared" si="12"/>
        <v>2.2733970566202344</v>
      </c>
      <c r="R36" s="64">
        <f t="shared" si="13"/>
        <v>0</v>
      </c>
      <c r="S36" s="64">
        <f t="shared" si="14"/>
        <v>2.4011128187621962</v>
      </c>
      <c r="T36" s="63">
        <f t="shared" si="42"/>
        <v>2.9388793360437954E-2</v>
      </c>
      <c r="U36" s="63">
        <f t="shared" si="15"/>
        <v>1.6</v>
      </c>
      <c r="V36" s="63">
        <f t="shared" si="43"/>
        <v>1.6293887933604381</v>
      </c>
      <c r="W36" s="64">
        <f t="shared" si="44"/>
        <v>7.3094243440506579E-2</v>
      </c>
      <c r="X36" s="63">
        <f t="shared" si="16"/>
        <v>2.6713842120700199E-5</v>
      </c>
      <c r="Y36" s="63">
        <f t="shared" si="45"/>
        <v>2.6713842120700199E-5</v>
      </c>
      <c r="Z36" s="64">
        <f t="shared" si="17"/>
        <v>0.33483621577146128</v>
      </c>
      <c r="AA36" s="74">
        <f t="shared" si="18"/>
        <v>1.1211529139215259E-4</v>
      </c>
      <c r="AB36" s="75">
        <f t="shared" si="46"/>
        <v>1.1211529139215259E-4</v>
      </c>
      <c r="AC36" s="63">
        <f t="shared" si="19"/>
        <v>2.3771743897040061</v>
      </c>
      <c r="AD36" s="63">
        <f t="shared" si="47"/>
        <v>4.7204686728403323E-3</v>
      </c>
      <c r="AE36" s="63">
        <f t="shared" si="20"/>
        <v>6.1438016772831731E-3</v>
      </c>
      <c r="AF36" s="63">
        <f t="shared" si="21"/>
        <v>0.2074662004792423</v>
      </c>
      <c r="AG36" s="63">
        <f t="shared" si="22"/>
        <v>4.0608000000000005E-2</v>
      </c>
      <c r="AH36" s="63">
        <f t="shared" si="23"/>
        <v>0</v>
      </c>
      <c r="AI36" s="63">
        <f t="shared" si="48"/>
        <v>0.22378064516129031</v>
      </c>
      <c r="AJ36" s="63">
        <f t="shared" si="49"/>
        <v>0.47799864731781577</v>
      </c>
      <c r="AK36" s="63">
        <f t="shared" si="24"/>
        <v>0.33820805631966611</v>
      </c>
      <c r="AL36" s="63">
        <f t="shared" si="25"/>
        <v>9.5550052790976226E-5</v>
      </c>
      <c r="AM36" s="63">
        <f t="shared" si="26"/>
        <v>1.2421801214959846E-4</v>
      </c>
      <c r="AN36" s="63">
        <f t="shared" si="27"/>
        <v>5.3667972932892091E-2</v>
      </c>
      <c r="AO36" s="63">
        <f t="shared" si="28"/>
        <v>298.12558964221557</v>
      </c>
      <c r="AP36" s="63">
        <f t="shared" si="50"/>
        <v>5.3667972932892091E-2</v>
      </c>
      <c r="AQ36" s="61">
        <f t="shared" si="29"/>
        <v>0.46248</v>
      </c>
      <c r="AR36" s="61">
        <f t="shared" si="30"/>
        <v>50128320000</v>
      </c>
      <c r="AS36" s="61">
        <f t="shared" si="51"/>
        <v>0.46248</v>
      </c>
      <c r="AT36" s="61">
        <f t="shared" si="52"/>
        <v>0.23869935483870966</v>
      </c>
      <c r="AU36" s="63">
        <f t="shared" si="53"/>
        <v>0.29249154578375136</v>
      </c>
      <c r="AV36" s="63">
        <f t="shared" si="31"/>
        <v>2.3061371073696556E-2</v>
      </c>
      <c r="AW36" s="63">
        <f t="shared" si="32"/>
        <v>2.9760000000000003E-3</v>
      </c>
      <c r="AX36" s="63">
        <f t="shared" si="33"/>
        <v>0.24299000000000001</v>
      </c>
      <c r="AY36" s="63">
        <f t="shared" si="34"/>
        <v>0.24596600000000002</v>
      </c>
      <c r="AZ36" s="63">
        <f t="shared" si="35"/>
        <v>2.6690451866692149</v>
      </c>
      <c r="BA36" s="64">
        <f t="shared" si="36"/>
        <v>56.4</v>
      </c>
      <c r="BB36" s="76">
        <f t="shared" si="54"/>
        <v>0.95481482427497288</v>
      </c>
      <c r="BC36" s="64">
        <f t="shared" si="55"/>
        <v>95.481482427497284</v>
      </c>
      <c r="BD36" s="63">
        <f t="shared" si="37"/>
        <v>1.6293887933604381</v>
      </c>
      <c r="BE36" s="63">
        <f t="shared" si="56"/>
        <v>0.77049019310156708</v>
      </c>
      <c r="BF36" s="63">
        <f t="shared" si="38"/>
        <v>0.47799864731781577</v>
      </c>
      <c r="BG36" s="63">
        <f t="shared" si="39"/>
        <v>0.29249154578375136</v>
      </c>
      <c r="BH36" s="63">
        <f t="shared" si="40"/>
        <v>2.3061371073696556E-2</v>
      </c>
      <c r="BI36" s="63">
        <f t="shared" si="57"/>
        <v>0.24596600000000002</v>
      </c>
      <c r="BJ36" s="63">
        <f t="shared" si="58"/>
        <v>1.1211529139215259E-4</v>
      </c>
      <c r="BK36" s="63">
        <f t="shared" si="59"/>
        <v>2.6713842120700199E-5</v>
      </c>
      <c r="BL36" s="63">
        <f t="shared" si="60"/>
        <v>2.6690451866692149</v>
      </c>
    </row>
    <row r="37" spans="3:64" x14ac:dyDescent="0.25">
      <c r="C37" s="61">
        <v>25</v>
      </c>
      <c r="D37" s="61">
        <f t="shared" si="0"/>
        <v>100</v>
      </c>
      <c r="E37" s="61">
        <f t="shared" si="1"/>
        <v>100</v>
      </c>
      <c r="F37" s="61">
        <f t="shared" si="2"/>
        <v>100</v>
      </c>
      <c r="G37" s="73">
        <f t="shared" si="3"/>
        <v>24</v>
      </c>
      <c r="H37" s="64">
        <f t="shared" si="4"/>
        <v>1</v>
      </c>
      <c r="I37" s="63">
        <f t="shared" si="41"/>
        <v>2.5</v>
      </c>
      <c r="J37" s="65">
        <f t="shared" si="5"/>
        <v>8.3533953124311573E-4</v>
      </c>
      <c r="K37" s="65">
        <f t="shared" si="6"/>
        <v>8.3533953124311573E-4</v>
      </c>
      <c r="L37" s="65">
        <f t="shared" si="7"/>
        <v>5.097492818882457E-3</v>
      </c>
      <c r="M37" s="65">
        <f t="shared" si="8"/>
        <v>4.0000000000000001E-3</v>
      </c>
      <c r="N37" s="63">
        <f t="shared" si="9"/>
        <v>0.98020133670313803</v>
      </c>
      <c r="O37" s="64">
        <f t="shared" si="10"/>
        <v>0.25321657826122379</v>
      </c>
      <c r="P37" s="64">
        <f t="shared" si="11"/>
        <v>2.626608289130612</v>
      </c>
      <c r="Q37" s="64">
        <f t="shared" si="12"/>
        <v>2.373391710869388</v>
      </c>
      <c r="R37" s="64">
        <f t="shared" si="13"/>
        <v>0</v>
      </c>
      <c r="S37" s="64">
        <f t="shared" si="14"/>
        <v>2.5010684156227168</v>
      </c>
      <c r="T37" s="63">
        <f t="shared" si="42"/>
        <v>3.1886567141686188E-2</v>
      </c>
      <c r="U37" s="63">
        <f t="shared" si="15"/>
        <v>1.6</v>
      </c>
      <c r="V37" s="63">
        <f t="shared" si="43"/>
        <v>1.6318865671416862</v>
      </c>
      <c r="W37" s="64">
        <f t="shared" si="44"/>
        <v>7.3097329811196751E-2</v>
      </c>
      <c r="X37" s="63">
        <f t="shared" si="16"/>
        <v>2.6716098127634365E-5</v>
      </c>
      <c r="Y37" s="63">
        <f t="shared" si="45"/>
        <v>2.6716098127634365E-5</v>
      </c>
      <c r="Z37" s="64">
        <f t="shared" si="17"/>
        <v>0.34841845611496691</v>
      </c>
      <c r="AA37" s="74">
        <f t="shared" si="18"/>
        <v>1.2139542056153713E-4</v>
      </c>
      <c r="AB37" s="75">
        <f t="shared" si="46"/>
        <v>1.2139542056153713E-4</v>
      </c>
      <c r="AC37" s="63">
        <f t="shared" si="19"/>
        <v>2.4761857332223389</v>
      </c>
      <c r="AD37" s="63">
        <f t="shared" si="47"/>
        <v>5.1218808152067473E-3</v>
      </c>
      <c r="AE37" s="63">
        <f t="shared" si="20"/>
        <v>6.6669135496472028E-3</v>
      </c>
      <c r="AF37" s="63">
        <f t="shared" si="21"/>
        <v>0.21595853387028466</v>
      </c>
      <c r="AG37" s="63">
        <f t="shared" si="22"/>
        <v>4.0608000000000005E-2</v>
      </c>
      <c r="AH37" s="63">
        <f t="shared" si="23"/>
        <v>0</v>
      </c>
      <c r="AI37" s="63">
        <f t="shared" si="48"/>
        <v>0.22378064516129031</v>
      </c>
      <c r="AJ37" s="63">
        <f t="shared" si="49"/>
        <v>0.48701409258122219</v>
      </c>
      <c r="AK37" s="63">
        <f t="shared" si="24"/>
        <v>0.35191964169633144</v>
      </c>
      <c r="AL37" s="63">
        <f t="shared" si="25"/>
        <v>1.0345465764004263E-4</v>
      </c>
      <c r="AM37" s="63">
        <f t="shared" si="26"/>
        <v>1.3449450562464781E-4</v>
      </c>
      <c r="AN37" s="63">
        <f t="shared" si="27"/>
        <v>5.5923952832868905E-2</v>
      </c>
      <c r="AO37" s="63">
        <f t="shared" si="28"/>
        <v>310.65755798658677</v>
      </c>
      <c r="AP37" s="63">
        <f t="shared" si="50"/>
        <v>5.5923952832868905E-2</v>
      </c>
      <c r="AQ37" s="61">
        <f t="shared" si="29"/>
        <v>0.46248</v>
      </c>
      <c r="AR37" s="61">
        <f t="shared" si="30"/>
        <v>50128320000</v>
      </c>
      <c r="AS37" s="61">
        <f t="shared" si="51"/>
        <v>0.46248</v>
      </c>
      <c r="AT37" s="61">
        <f t="shared" si="52"/>
        <v>0.23869935483870966</v>
      </c>
      <c r="AU37" s="63">
        <f t="shared" si="53"/>
        <v>0.29475780217720321</v>
      </c>
      <c r="AV37" s="63">
        <f t="shared" si="31"/>
        <v>2.5021372878502108E-2</v>
      </c>
      <c r="AW37" s="63">
        <f t="shared" si="32"/>
        <v>2.9760000000000003E-3</v>
      </c>
      <c r="AX37" s="63">
        <f t="shared" si="33"/>
        <v>0.24299000000000001</v>
      </c>
      <c r="AY37" s="63">
        <f t="shared" si="34"/>
        <v>0.24596600000000002</v>
      </c>
      <c r="AZ37" s="63">
        <f t="shared" si="35"/>
        <v>2.6847939462973027</v>
      </c>
      <c r="BA37" s="64">
        <f t="shared" si="36"/>
        <v>58.75</v>
      </c>
      <c r="BB37" s="76">
        <f t="shared" si="54"/>
        <v>0.95629847886127539</v>
      </c>
      <c r="BC37" s="64">
        <f t="shared" si="55"/>
        <v>95.629847886127536</v>
      </c>
      <c r="BD37" s="63">
        <f t="shared" si="37"/>
        <v>1.6318865671416862</v>
      </c>
      <c r="BE37" s="63">
        <f t="shared" si="56"/>
        <v>0.78177189475842535</v>
      </c>
      <c r="BF37" s="63">
        <f t="shared" si="38"/>
        <v>0.48701409258122219</v>
      </c>
      <c r="BG37" s="63">
        <f t="shared" si="39"/>
        <v>0.29475780217720321</v>
      </c>
      <c r="BH37" s="63">
        <f t="shared" si="40"/>
        <v>2.5021372878502108E-2</v>
      </c>
      <c r="BI37" s="63">
        <f t="shared" si="57"/>
        <v>0.24596600000000002</v>
      </c>
      <c r="BJ37" s="63">
        <f t="shared" si="58"/>
        <v>1.2139542056153713E-4</v>
      </c>
      <c r="BK37" s="63">
        <f t="shared" si="59"/>
        <v>2.6716098127634365E-5</v>
      </c>
      <c r="BL37" s="63">
        <f t="shared" si="60"/>
        <v>2.6847939462973027</v>
      </c>
    </row>
    <row r="38" spans="3:64" x14ac:dyDescent="0.25">
      <c r="C38" s="61">
        <v>26</v>
      </c>
      <c r="D38" s="61">
        <f t="shared" si="0"/>
        <v>100</v>
      </c>
      <c r="E38" s="61">
        <f t="shared" si="1"/>
        <v>100</v>
      </c>
      <c r="F38" s="61">
        <f t="shared" si="2"/>
        <v>100</v>
      </c>
      <c r="G38" s="73">
        <f t="shared" si="3"/>
        <v>24</v>
      </c>
      <c r="H38" s="64">
        <f t="shared" si="4"/>
        <v>1</v>
      </c>
      <c r="I38" s="63">
        <f t="shared" si="41"/>
        <v>2.6</v>
      </c>
      <c r="J38" s="65">
        <f t="shared" si="5"/>
        <v>8.3533953124311573E-4</v>
      </c>
      <c r="K38" s="65">
        <f t="shared" si="6"/>
        <v>8.3533953124311573E-4</v>
      </c>
      <c r="L38" s="65">
        <f t="shared" si="7"/>
        <v>5.097492818882457E-3</v>
      </c>
      <c r="M38" s="65">
        <f t="shared" si="8"/>
        <v>4.0000000000000001E-3</v>
      </c>
      <c r="N38" s="63">
        <f t="shared" si="9"/>
        <v>0.98024272350459685</v>
      </c>
      <c r="O38" s="64">
        <f t="shared" si="10"/>
        <v>0.25322726976291648</v>
      </c>
      <c r="P38" s="64">
        <f t="shared" si="11"/>
        <v>2.7266136348814585</v>
      </c>
      <c r="Q38" s="64">
        <f t="shared" si="12"/>
        <v>2.4733863651185417</v>
      </c>
      <c r="R38" s="64">
        <f t="shared" si="13"/>
        <v>0</v>
      </c>
      <c r="S38" s="64">
        <f t="shared" si="14"/>
        <v>2.6010274260080317</v>
      </c>
      <c r="T38" s="63">
        <f t="shared" si="42"/>
        <v>3.44862907794092E-2</v>
      </c>
      <c r="U38" s="63">
        <f t="shared" si="15"/>
        <v>1.6</v>
      </c>
      <c r="V38" s="63">
        <f t="shared" si="43"/>
        <v>1.6344862907794093</v>
      </c>
      <c r="W38" s="64">
        <f t="shared" si="44"/>
        <v>7.310041618188691E-2</v>
      </c>
      <c r="X38" s="63">
        <f t="shared" si="16"/>
        <v>2.6718354229825367E-5</v>
      </c>
      <c r="Y38" s="63">
        <f t="shared" si="45"/>
        <v>2.6718354229825367E-5</v>
      </c>
      <c r="Z38" s="64">
        <f t="shared" si="17"/>
        <v>0.36197225551390549</v>
      </c>
      <c r="AA38" s="74">
        <f t="shared" si="18"/>
        <v>1.310239137618241E-4</v>
      </c>
      <c r="AB38" s="75">
        <f t="shared" si="46"/>
        <v>1.310239137618241E-4</v>
      </c>
      <c r="AC38" s="63">
        <f t="shared" si="19"/>
        <v>2.5752046336853769</v>
      </c>
      <c r="AD38" s="63">
        <f t="shared" si="47"/>
        <v>5.539703548153801E-3</v>
      </c>
      <c r="AE38" s="63">
        <f t="shared" si="20"/>
        <v>7.2115221369027501E-3</v>
      </c>
      <c r="AF38" s="63">
        <f t="shared" si="21"/>
        <v>0.22445086726132701</v>
      </c>
      <c r="AG38" s="63">
        <f t="shared" si="22"/>
        <v>4.0608000000000005E-2</v>
      </c>
      <c r="AH38" s="63">
        <f t="shared" si="23"/>
        <v>0</v>
      </c>
      <c r="AI38" s="63">
        <f t="shared" si="48"/>
        <v>0.22378064516129031</v>
      </c>
      <c r="AJ38" s="63">
        <f t="shared" si="49"/>
        <v>0.49605103455952004</v>
      </c>
      <c r="AK38" s="63">
        <f t="shared" si="24"/>
        <v>0.36560192216580245</v>
      </c>
      <c r="AL38" s="63">
        <f t="shared" si="25"/>
        <v>1.1165546254924814E-4</v>
      </c>
      <c r="AM38" s="63">
        <f t="shared" si="26"/>
        <v>1.451561207675265E-4</v>
      </c>
      <c r="AN38" s="63">
        <f t="shared" si="27"/>
        <v>5.8179932732845725E-2</v>
      </c>
      <c r="AO38" s="63">
        <f t="shared" si="28"/>
        <v>323.18952633095796</v>
      </c>
      <c r="AP38" s="63">
        <f t="shared" si="50"/>
        <v>5.8179932732845725E-2</v>
      </c>
      <c r="AQ38" s="61">
        <f t="shared" si="29"/>
        <v>0.46248</v>
      </c>
      <c r="AR38" s="61">
        <f t="shared" si="30"/>
        <v>50128320000</v>
      </c>
      <c r="AS38" s="61">
        <f t="shared" si="51"/>
        <v>0.46248</v>
      </c>
      <c r="AT38" s="61">
        <f t="shared" si="52"/>
        <v>0.23869935483870966</v>
      </c>
      <c r="AU38" s="63">
        <f t="shared" si="53"/>
        <v>0.29702444369232289</v>
      </c>
      <c r="AV38" s="63">
        <f t="shared" si="31"/>
        <v>2.7061374683383869E-2</v>
      </c>
      <c r="AW38" s="63">
        <f t="shared" si="32"/>
        <v>2.9760000000000003E-3</v>
      </c>
      <c r="AX38" s="63">
        <f t="shared" si="33"/>
        <v>0.24299000000000001</v>
      </c>
      <c r="AY38" s="63">
        <f t="shared" si="34"/>
        <v>0.24596600000000002</v>
      </c>
      <c r="AZ38" s="63">
        <f t="shared" si="35"/>
        <v>2.7007468859826274</v>
      </c>
      <c r="BA38" s="64">
        <f t="shared" si="36"/>
        <v>61.1</v>
      </c>
      <c r="BB38" s="76">
        <f t="shared" si="54"/>
        <v>0.95766903966172856</v>
      </c>
      <c r="BC38" s="64">
        <f t="shared" si="55"/>
        <v>95.766903966172862</v>
      </c>
      <c r="BD38" s="63">
        <f t="shared" si="37"/>
        <v>1.6344862907794093</v>
      </c>
      <c r="BE38" s="63">
        <f t="shared" si="56"/>
        <v>0.79307547825184299</v>
      </c>
      <c r="BF38" s="63">
        <f t="shared" si="38"/>
        <v>0.49605103455952004</v>
      </c>
      <c r="BG38" s="63">
        <f t="shared" si="39"/>
        <v>0.29702444369232289</v>
      </c>
      <c r="BH38" s="63">
        <f t="shared" si="40"/>
        <v>2.7061374683383869E-2</v>
      </c>
      <c r="BI38" s="63">
        <f t="shared" si="57"/>
        <v>0.24596600000000002</v>
      </c>
      <c r="BJ38" s="63">
        <f t="shared" si="58"/>
        <v>1.310239137618241E-4</v>
      </c>
      <c r="BK38" s="63">
        <f t="shared" si="59"/>
        <v>2.6718354229825367E-5</v>
      </c>
      <c r="BL38" s="63">
        <f t="shared" si="60"/>
        <v>2.7007468859826278</v>
      </c>
    </row>
    <row r="39" spans="3:64" x14ac:dyDescent="0.25">
      <c r="C39" s="61">
        <v>27</v>
      </c>
      <c r="D39" s="61">
        <f t="shared" si="0"/>
        <v>100</v>
      </c>
      <c r="E39" s="61">
        <f t="shared" si="1"/>
        <v>100</v>
      </c>
      <c r="F39" s="61">
        <f t="shared" si="2"/>
        <v>100</v>
      </c>
      <c r="G39" s="73">
        <f t="shared" si="3"/>
        <v>24</v>
      </c>
      <c r="H39" s="64">
        <f t="shared" si="4"/>
        <v>1</v>
      </c>
      <c r="I39" s="63">
        <f t="shared" si="41"/>
        <v>2.7</v>
      </c>
      <c r="J39" s="65">
        <f t="shared" si="5"/>
        <v>8.3533953124311573E-4</v>
      </c>
      <c r="K39" s="65">
        <f t="shared" si="6"/>
        <v>8.3533953124311573E-4</v>
      </c>
      <c r="L39" s="65">
        <f t="shared" si="7"/>
        <v>5.097492818882457E-3</v>
      </c>
      <c r="M39" s="65">
        <f t="shared" si="8"/>
        <v>4.0000000000000001E-3</v>
      </c>
      <c r="N39" s="63">
        <f t="shared" si="9"/>
        <v>0.98028411030605589</v>
      </c>
      <c r="O39" s="64">
        <f t="shared" si="10"/>
        <v>0.25323796126460929</v>
      </c>
      <c r="P39" s="64">
        <f t="shared" si="11"/>
        <v>2.826618980632305</v>
      </c>
      <c r="Q39" s="64">
        <f t="shared" si="12"/>
        <v>2.5733810193676954</v>
      </c>
      <c r="R39" s="64">
        <f t="shared" si="13"/>
        <v>0</v>
      </c>
      <c r="S39" s="64">
        <f t="shared" si="14"/>
        <v>2.700989470931987</v>
      </c>
      <c r="T39" s="63">
        <f t="shared" si="42"/>
        <v>3.7187964273606954E-2</v>
      </c>
      <c r="U39" s="63">
        <f t="shared" si="15"/>
        <v>1.6</v>
      </c>
      <c r="V39" s="63">
        <f t="shared" si="43"/>
        <v>1.6371879642736071</v>
      </c>
      <c r="W39" s="64">
        <f t="shared" si="44"/>
        <v>7.3103502552577096E-2</v>
      </c>
      <c r="X39" s="63">
        <f t="shared" si="16"/>
        <v>2.6720610427273228E-5</v>
      </c>
      <c r="Y39" s="63">
        <f t="shared" si="45"/>
        <v>2.6720610427273228E-5</v>
      </c>
      <c r="Z39" s="64">
        <f t="shared" si="17"/>
        <v>0.37549751100263362</v>
      </c>
      <c r="AA39" s="74">
        <f t="shared" si="18"/>
        <v>1.4099838076917295E-4</v>
      </c>
      <c r="AB39" s="75">
        <f t="shared" si="46"/>
        <v>1.4099838076917295E-4</v>
      </c>
      <c r="AC39" s="63">
        <f t="shared" si="19"/>
        <v>2.674230715943382</v>
      </c>
      <c r="AD39" s="63">
        <f t="shared" si="47"/>
        <v>5.9739389460033735E-3</v>
      </c>
      <c r="AE39" s="63">
        <f t="shared" si="20"/>
        <v>7.777643495315816E-3</v>
      </c>
      <c r="AF39" s="63">
        <f t="shared" si="21"/>
        <v>0.2329432006523694</v>
      </c>
      <c r="AG39" s="63">
        <f t="shared" si="22"/>
        <v>4.0608000000000005E-2</v>
      </c>
      <c r="AH39" s="63">
        <f t="shared" si="23"/>
        <v>0</v>
      </c>
      <c r="AI39" s="63">
        <f t="shared" si="48"/>
        <v>0.22378064516129031</v>
      </c>
      <c r="AJ39" s="63">
        <f t="shared" si="49"/>
        <v>0.50510948930897548</v>
      </c>
      <c r="AK39" s="63">
        <f t="shared" si="24"/>
        <v>0.37925479560633163</v>
      </c>
      <c r="AL39" s="63">
        <f t="shared" si="25"/>
        <v>1.201503931967096E-4</v>
      </c>
      <c r="AM39" s="63">
        <f t="shared" si="26"/>
        <v>1.5620016549852539E-4</v>
      </c>
      <c r="AN39" s="63">
        <f t="shared" si="27"/>
        <v>6.0435912632822539E-2</v>
      </c>
      <c r="AO39" s="63">
        <f t="shared" si="28"/>
        <v>335.72149467532927</v>
      </c>
      <c r="AP39" s="63">
        <f t="shared" si="50"/>
        <v>6.0435912632822539E-2</v>
      </c>
      <c r="AQ39" s="61">
        <f t="shared" si="29"/>
        <v>0.46248</v>
      </c>
      <c r="AR39" s="61">
        <f t="shared" si="30"/>
        <v>50128320000</v>
      </c>
      <c r="AS39" s="61">
        <f t="shared" si="51"/>
        <v>0.46248</v>
      </c>
      <c r="AT39" s="61">
        <f t="shared" si="52"/>
        <v>0.23869935483870966</v>
      </c>
      <c r="AU39" s="63">
        <f t="shared" si="53"/>
        <v>0.29929146763703074</v>
      </c>
      <c r="AV39" s="63">
        <f t="shared" si="31"/>
        <v>2.9181376488341824E-2</v>
      </c>
      <c r="AW39" s="63">
        <f t="shared" si="32"/>
        <v>2.9760000000000003E-3</v>
      </c>
      <c r="AX39" s="63">
        <f t="shared" si="33"/>
        <v>0.24299000000000001</v>
      </c>
      <c r="AY39" s="63">
        <f t="shared" si="34"/>
        <v>0.24596600000000002</v>
      </c>
      <c r="AZ39" s="63">
        <f t="shared" si="35"/>
        <v>2.7169040166991514</v>
      </c>
      <c r="BA39" s="64">
        <f t="shared" si="36"/>
        <v>63.45</v>
      </c>
      <c r="BB39" s="76">
        <f t="shared" si="54"/>
        <v>0.95893862563051979</v>
      </c>
      <c r="BC39" s="64">
        <f t="shared" si="55"/>
        <v>95.893862563051982</v>
      </c>
      <c r="BD39" s="63">
        <f t="shared" si="37"/>
        <v>1.6371879642736071</v>
      </c>
      <c r="BE39" s="63">
        <f t="shared" si="56"/>
        <v>0.80440095694600622</v>
      </c>
      <c r="BF39" s="63">
        <f t="shared" si="38"/>
        <v>0.50510948930897548</v>
      </c>
      <c r="BG39" s="63">
        <f t="shared" si="39"/>
        <v>0.29929146763703074</v>
      </c>
      <c r="BH39" s="63">
        <f t="shared" si="40"/>
        <v>2.9181376488341824E-2</v>
      </c>
      <c r="BI39" s="63">
        <f t="shared" si="57"/>
        <v>0.24596600000000002</v>
      </c>
      <c r="BJ39" s="63">
        <f t="shared" si="58"/>
        <v>1.4099838076917295E-4</v>
      </c>
      <c r="BK39" s="63">
        <f t="shared" si="59"/>
        <v>2.6720610427273228E-5</v>
      </c>
      <c r="BL39" s="63">
        <f t="shared" si="60"/>
        <v>2.7169040166991518</v>
      </c>
    </row>
    <row r="40" spans="3:64" x14ac:dyDescent="0.25">
      <c r="C40" s="61">
        <v>28</v>
      </c>
      <c r="D40" s="61">
        <f t="shared" si="0"/>
        <v>100</v>
      </c>
      <c r="E40" s="61">
        <f t="shared" si="1"/>
        <v>100</v>
      </c>
      <c r="F40" s="61">
        <f t="shared" si="2"/>
        <v>100</v>
      </c>
      <c r="G40" s="73">
        <f t="shared" si="3"/>
        <v>24</v>
      </c>
      <c r="H40" s="64">
        <f t="shared" si="4"/>
        <v>1</v>
      </c>
      <c r="I40" s="63">
        <f t="shared" si="41"/>
        <v>2.8</v>
      </c>
      <c r="J40" s="65">
        <f t="shared" si="5"/>
        <v>8.3533953124311573E-4</v>
      </c>
      <c r="K40" s="65">
        <f t="shared" si="6"/>
        <v>8.3533953124311573E-4</v>
      </c>
      <c r="L40" s="65">
        <f t="shared" si="7"/>
        <v>5.097492818882457E-3</v>
      </c>
      <c r="M40" s="65">
        <f t="shared" si="8"/>
        <v>4.0000000000000001E-3</v>
      </c>
      <c r="N40" s="63">
        <f t="shared" si="9"/>
        <v>0.98032549710751471</v>
      </c>
      <c r="O40" s="64">
        <f t="shared" si="10"/>
        <v>0.25324865276630198</v>
      </c>
      <c r="P40" s="64">
        <f t="shared" si="11"/>
        <v>2.9266243263831506</v>
      </c>
      <c r="Q40" s="64">
        <f t="shared" si="12"/>
        <v>2.673375673616849</v>
      </c>
      <c r="R40" s="64">
        <f t="shared" si="13"/>
        <v>0</v>
      </c>
      <c r="S40" s="64">
        <f t="shared" si="14"/>
        <v>2.8009542254995874</v>
      </c>
      <c r="T40" s="63">
        <f t="shared" si="42"/>
        <v>3.9991587624279464E-2</v>
      </c>
      <c r="U40" s="63">
        <f t="shared" si="15"/>
        <v>1.6</v>
      </c>
      <c r="V40" s="63">
        <f t="shared" si="43"/>
        <v>1.6399915876242797</v>
      </c>
      <c r="W40" s="64">
        <f t="shared" si="44"/>
        <v>7.3106588923267268E-2</v>
      </c>
      <c r="X40" s="63">
        <f t="shared" si="16"/>
        <v>2.6722866719977925E-5</v>
      </c>
      <c r="Y40" s="63">
        <f t="shared" si="45"/>
        <v>2.6722866719977925E-5</v>
      </c>
      <c r="Z40" s="64">
        <f t="shared" si="17"/>
        <v>0.38899412713903492</v>
      </c>
      <c r="AA40" s="74">
        <f t="shared" si="18"/>
        <v>1.5131643094865965E-4</v>
      </c>
      <c r="AB40" s="75">
        <f t="shared" si="46"/>
        <v>1.5131643094865965E-4</v>
      </c>
      <c r="AC40" s="63">
        <f t="shared" si="19"/>
        <v>2.773263658371341</v>
      </c>
      <c r="AD40" s="63">
        <f t="shared" si="47"/>
        <v>6.4245890830773459E-3</v>
      </c>
      <c r="AE40" s="63">
        <f t="shared" si="20"/>
        <v>8.3652942153178804E-3</v>
      </c>
      <c r="AF40" s="63">
        <f t="shared" si="21"/>
        <v>0.24143553404341167</v>
      </c>
      <c r="AG40" s="63">
        <f t="shared" si="22"/>
        <v>4.0608000000000005E-2</v>
      </c>
      <c r="AH40" s="63">
        <f t="shared" si="23"/>
        <v>0</v>
      </c>
      <c r="AI40" s="63">
        <f t="shared" si="48"/>
        <v>0.22378064516129031</v>
      </c>
      <c r="AJ40" s="63">
        <f t="shared" si="49"/>
        <v>0.51418947342001986</v>
      </c>
      <c r="AK40" s="63">
        <f t="shared" si="24"/>
        <v>0.39287816750336257</v>
      </c>
      <c r="AL40" s="63">
        <f t="shared" si="25"/>
        <v>1.2893737526054782E-4</v>
      </c>
      <c r="AM40" s="63">
        <f t="shared" si="26"/>
        <v>1.6762394786069541E-4</v>
      </c>
      <c r="AN40" s="63">
        <f t="shared" si="27"/>
        <v>6.2691892532799359E-2</v>
      </c>
      <c r="AO40" s="63">
        <f t="shared" si="28"/>
        <v>348.25346301970046</v>
      </c>
      <c r="AP40" s="63">
        <f t="shared" si="50"/>
        <v>6.2691892532799359E-2</v>
      </c>
      <c r="AQ40" s="61">
        <f t="shared" si="29"/>
        <v>0.46248</v>
      </c>
      <c r="AR40" s="61">
        <f t="shared" si="30"/>
        <v>50128320000</v>
      </c>
      <c r="AS40" s="61">
        <f t="shared" si="51"/>
        <v>0.46248</v>
      </c>
      <c r="AT40" s="61">
        <f t="shared" si="52"/>
        <v>0.23869935483870966</v>
      </c>
      <c r="AU40" s="63">
        <f t="shared" si="53"/>
        <v>0.3015588713193697</v>
      </c>
      <c r="AV40" s="63">
        <f t="shared" si="31"/>
        <v>3.1381378293375978E-2</v>
      </c>
      <c r="AW40" s="63">
        <f t="shared" si="32"/>
        <v>2.9760000000000003E-3</v>
      </c>
      <c r="AX40" s="63">
        <f t="shared" si="33"/>
        <v>0.24299000000000001</v>
      </c>
      <c r="AY40" s="63">
        <f t="shared" si="34"/>
        <v>0.24596600000000002</v>
      </c>
      <c r="AZ40" s="63">
        <f t="shared" si="35"/>
        <v>2.7332653499547135</v>
      </c>
      <c r="BA40" s="64">
        <f t="shared" si="36"/>
        <v>65.8</v>
      </c>
      <c r="BB40" s="76">
        <f t="shared" si="54"/>
        <v>0.96011768393060337</v>
      </c>
      <c r="BC40" s="64">
        <f t="shared" si="55"/>
        <v>96.011768393060336</v>
      </c>
      <c r="BD40" s="63">
        <f t="shared" si="37"/>
        <v>1.6399915876242797</v>
      </c>
      <c r="BE40" s="63">
        <f t="shared" si="56"/>
        <v>0.81574834473938962</v>
      </c>
      <c r="BF40" s="63">
        <f t="shared" si="38"/>
        <v>0.51418947342001986</v>
      </c>
      <c r="BG40" s="63">
        <f t="shared" si="39"/>
        <v>0.3015588713193697</v>
      </c>
      <c r="BH40" s="63">
        <f t="shared" si="40"/>
        <v>3.1381378293375978E-2</v>
      </c>
      <c r="BI40" s="63">
        <f t="shared" si="57"/>
        <v>0.24596600000000002</v>
      </c>
      <c r="BJ40" s="63">
        <f t="shared" si="58"/>
        <v>1.5131643094865965E-4</v>
      </c>
      <c r="BK40" s="63">
        <f t="shared" si="59"/>
        <v>2.6722866719977925E-5</v>
      </c>
      <c r="BL40" s="63">
        <f t="shared" si="60"/>
        <v>2.7332653499547139</v>
      </c>
    </row>
    <row r="41" spans="3:64" x14ac:dyDescent="0.25">
      <c r="C41" s="61">
        <v>29</v>
      </c>
      <c r="D41" s="61">
        <f t="shared" si="0"/>
        <v>100</v>
      </c>
      <c r="E41" s="61">
        <f t="shared" si="1"/>
        <v>100</v>
      </c>
      <c r="F41" s="61">
        <f t="shared" si="2"/>
        <v>100</v>
      </c>
      <c r="G41" s="73">
        <f t="shared" si="3"/>
        <v>24</v>
      </c>
      <c r="H41" s="64">
        <f t="shared" si="4"/>
        <v>1</v>
      </c>
      <c r="I41" s="63">
        <f t="shared" si="41"/>
        <v>2.9</v>
      </c>
      <c r="J41" s="65">
        <f t="shared" si="5"/>
        <v>8.3533953124311573E-4</v>
      </c>
      <c r="K41" s="65">
        <f t="shared" si="6"/>
        <v>8.3533953124311573E-4</v>
      </c>
      <c r="L41" s="65">
        <f t="shared" si="7"/>
        <v>5.097492818882457E-3</v>
      </c>
      <c r="M41" s="65">
        <f t="shared" si="8"/>
        <v>4.0000000000000001E-3</v>
      </c>
      <c r="N41" s="63">
        <f t="shared" si="9"/>
        <v>0.98036688390897353</v>
      </c>
      <c r="O41" s="64">
        <f t="shared" si="10"/>
        <v>0.25325934426799473</v>
      </c>
      <c r="P41" s="64">
        <f t="shared" si="11"/>
        <v>3.0266296721339971</v>
      </c>
      <c r="Q41" s="64">
        <f t="shared" si="12"/>
        <v>2.7733703278660027</v>
      </c>
      <c r="R41" s="64">
        <f t="shared" si="13"/>
        <v>0</v>
      </c>
      <c r="S41" s="64">
        <f t="shared" si="14"/>
        <v>2.9009214095906817</v>
      </c>
      <c r="T41" s="63">
        <f t="shared" si="42"/>
        <v>4.2897160831426751E-2</v>
      </c>
      <c r="U41" s="63">
        <f t="shared" si="15"/>
        <v>1.6</v>
      </c>
      <c r="V41" s="63">
        <f t="shared" si="43"/>
        <v>1.6428971608314269</v>
      </c>
      <c r="W41" s="64">
        <f t="shared" si="44"/>
        <v>7.3109675293957441E-2</v>
      </c>
      <c r="X41" s="63">
        <f t="shared" si="16"/>
        <v>2.6725123107939454E-5</v>
      </c>
      <c r="Y41" s="63">
        <f t="shared" si="45"/>
        <v>2.6725123107939454E-5</v>
      </c>
      <c r="Z41" s="64">
        <f t="shared" si="17"/>
        <v>0.40246201467252501</v>
      </c>
      <c r="AA41" s="74">
        <f t="shared" si="18"/>
        <v>1.6197567325426773E-4</v>
      </c>
      <c r="AB41" s="75">
        <f t="shared" si="46"/>
        <v>1.6197567325426773E-4</v>
      </c>
      <c r="AC41" s="63">
        <f t="shared" si="19"/>
        <v>2.8723031836502133</v>
      </c>
      <c r="AD41" s="63">
        <f t="shared" si="47"/>
        <v>6.8916560336976041E-3</v>
      </c>
      <c r="AE41" s="63">
        <f t="shared" si="20"/>
        <v>8.9744914225814119E-3</v>
      </c>
      <c r="AF41" s="63">
        <f t="shared" si="21"/>
        <v>0.24992786743445403</v>
      </c>
      <c r="AG41" s="63">
        <f t="shared" si="22"/>
        <v>4.0608000000000005E-2</v>
      </c>
      <c r="AH41" s="63">
        <f t="shared" si="23"/>
        <v>0</v>
      </c>
      <c r="AI41" s="63">
        <f t="shared" si="48"/>
        <v>0.22378064516129031</v>
      </c>
      <c r="AJ41" s="63">
        <f t="shared" si="49"/>
        <v>0.52329100401832573</v>
      </c>
      <c r="AK41" s="63">
        <f t="shared" si="24"/>
        <v>0.40647194960345989</v>
      </c>
      <c r="AL41" s="63">
        <f t="shared" si="25"/>
        <v>1.3801433441887971E-4</v>
      </c>
      <c r="AM41" s="63">
        <f t="shared" si="26"/>
        <v>1.7942477601592157E-4</v>
      </c>
      <c r="AN41" s="63">
        <f t="shared" si="27"/>
        <v>6.494787243277618E-2</v>
      </c>
      <c r="AO41" s="63">
        <f t="shared" si="28"/>
        <v>360.78543136407166</v>
      </c>
      <c r="AP41" s="63">
        <f t="shared" si="50"/>
        <v>6.494787243277618E-2</v>
      </c>
      <c r="AQ41" s="61">
        <f t="shared" si="29"/>
        <v>0.46248</v>
      </c>
      <c r="AR41" s="61">
        <f t="shared" si="30"/>
        <v>50128320000</v>
      </c>
      <c r="AS41" s="61">
        <f t="shared" si="51"/>
        <v>0.46248</v>
      </c>
      <c r="AT41" s="61">
        <f t="shared" si="52"/>
        <v>0.23869935483870966</v>
      </c>
      <c r="AU41" s="63">
        <f t="shared" si="53"/>
        <v>0.30382665204750176</v>
      </c>
      <c r="AV41" s="63">
        <f t="shared" si="31"/>
        <v>3.3661380098486349E-2</v>
      </c>
      <c r="AW41" s="63">
        <f t="shared" si="32"/>
        <v>2.9760000000000003E-3</v>
      </c>
      <c r="AX41" s="63">
        <f t="shared" si="33"/>
        <v>0.24299000000000001</v>
      </c>
      <c r="AY41" s="63">
        <f t="shared" si="34"/>
        <v>0.24596600000000002</v>
      </c>
      <c r="AZ41" s="63">
        <f t="shared" si="35"/>
        <v>2.7498308977921031</v>
      </c>
      <c r="BA41" s="64">
        <f t="shared" si="36"/>
        <v>68.149999999999991</v>
      </c>
      <c r="BB41" s="76">
        <f t="shared" si="54"/>
        <v>0.96121526859836637</v>
      </c>
      <c r="BC41" s="64">
        <f t="shared" si="55"/>
        <v>96.121526859836635</v>
      </c>
      <c r="BD41" s="63">
        <f t="shared" si="37"/>
        <v>1.6428971608314269</v>
      </c>
      <c r="BE41" s="63">
        <f t="shared" si="56"/>
        <v>0.82711765606582754</v>
      </c>
      <c r="BF41" s="63">
        <f t="shared" si="38"/>
        <v>0.52329100401832573</v>
      </c>
      <c r="BG41" s="63">
        <f t="shared" si="39"/>
        <v>0.30382665204750176</v>
      </c>
      <c r="BH41" s="63">
        <f t="shared" si="40"/>
        <v>3.3661380098486349E-2</v>
      </c>
      <c r="BI41" s="63">
        <f t="shared" si="57"/>
        <v>0.24596600000000002</v>
      </c>
      <c r="BJ41" s="63">
        <f t="shared" si="58"/>
        <v>1.6197567325426773E-4</v>
      </c>
      <c r="BK41" s="63">
        <f t="shared" si="59"/>
        <v>2.6725123107939454E-5</v>
      </c>
      <c r="BL41" s="63">
        <f t="shared" si="60"/>
        <v>2.7498308977921031</v>
      </c>
    </row>
    <row r="42" spans="3:64" x14ac:dyDescent="0.25">
      <c r="C42" s="61">
        <v>30</v>
      </c>
      <c r="D42" s="61">
        <f t="shared" si="0"/>
        <v>100</v>
      </c>
      <c r="E42" s="61">
        <f t="shared" si="1"/>
        <v>100</v>
      </c>
      <c r="F42" s="61">
        <f t="shared" si="2"/>
        <v>100</v>
      </c>
      <c r="G42" s="73">
        <f t="shared" si="3"/>
        <v>24</v>
      </c>
      <c r="H42" s="64">
        <f t="shared" si="4"/>
        <v>1</v>
      </c>
      <c r="I42" s="63">
        <f t="shared" si="41"/>
        <v>3</v>
      </c>
      <c r="J42" s="65">
        <f t="shared" si="5"/>
        <v>8.3533953124311573E-4</v>
      </c>
      <c r="K42" s="65">
        <f t="shared" si="6"/>
        <v>8.3533953124311573E-4</v>
      </c>
      <c r="L42" s="65">
        <f t="shared" si="7"/>
        <v>5.097492818882457E-3</v>
      </c>
      <c r="M42" s="65">
        <f t="shared" si="8"/>
        <v>4.0000000000000001E-3</v>
      </c>
      <c r="N42" s="63">
        <f t="shared" si="9"/>
        <v>0.98040827071043235</v>
      </c>
      <c r="O42" s="64">
        <f t="shared" si="10"/>
        <v>0.25327003576968748</v>
      </c>
      <c r="P42" s="64">
        <f t="shared" si="11"/>
        <v>3.1266350178848437</v>
      </c>
      <c r="Q42" s="64">
        <f t="shared" si="12"/>
        <v>2.8733649821151563</v>
      </c>
      <c r="R42" s="64">
        <f t="shared" si="13"/>
        <v>0</v>
      </c>
      <c r="S42" s="64">
        <f t="shared" si="14"/>
        <v>3.0008907804047502</v>
      </c>
      <c r="T42" s="63">
        <f t="shared" si="42"/>
        <v>4.5904683895048808E-2</v>
      </c>
      <c r="U42" s="63">
        <f t="shared" si="15"/>
        <v>1.6</v>
      </c>
      <c r="V42" s="63">
        <f t="shared" si="43"/>
        <v>1.6459046838950488</v>
      </c>
      <c r="W42" s="64">
        <f t="shared" si="44"/>
        <v>7.3112761664647613E-2</v>
      </c>
      <c r="X42" s="63">
        <f t="shared" si="16"/>
        <v>2.672737959115783E-5</v>
      </c>
      <c r="Y42" s="63">
        <f t="shared" si="45"/>
        <v>2.672737959115783E-5</v>
      </c>
      <c r="Z42" s="64">
        <f t="shared" si="17"/>
        <v>0.41590108947788729</v>
      </c>
      <c r="AA42" s="74">
        <f t="shared" si="18"/>
        <v>1.7297371622889359E-4</v>
      </c>
      <c r="AB42" s="75">
        <f t="shared" si="46"/>
        <v>1.7297371622889359E-4</v>
      </c>
      <c r="AC42" s="63">
        <f t="shared" si="19"/>
        <v>2.9713490513897907</v>
      </c>
      <c r="AD42" s="63">
        <f t="shared" si="47"/>
        <v>7.3751418721860248E-3</v>
      </c>
      <c r="AE42" s="63">
        <f t="shared" si="20"/>
        <v>9.6052527791289748E-3</v>
      </c>
      <c r="AF42" s="63">
        <f t="shared" si="21"/>
        <v>0.25842020082549638</v>
      </c>
      <c r="AG42" s="63">
        <f t="shared" si="22"/>
        <v>4.0608000000000005E-2</v>
      </c>
      <c r="AH42" s="63">
        <f t="shared" si="23"/>
        <v>0</v>
      </c>
      <c r="AI42" s="63">
        <f t="shared" si="48"/>
        <v>0.22378064516129031</v>
      </c>
      <c r="AJ42" s="63">
        <f t="shared" si="49"/>
        <v>0.53241409876591572</v>
      </c>
      <c r="AK42" s="63">
        <f t="shared" si="24"/>
        <v>0.42003605883688455</v>
      </c>
      <c r="AL42" s="63">
        <f t="shared" si="25"/>
        <v>1.4737919634982353E-4</v>
      </c>
      <c r="AM42" s="63">
        <f t="shared" si="26"/>
        <v>1.9159995824104143E-4</v>
      </c>
      <c r="AN42" s="63">
        <f t="shared" si="27"/>
        <v>6.7203852332753E-2</v>
      </c>
      <c r="AO42" s="63">
        <f t="shared" si="28"/>
        <v>373.31739970844285</v>
      </c>
      <c r="AP42" s="63">
        <f t="shared" si="50"/>
        <v>6.7203852332753E-2</v>
      </c>
      <c r="AQ42" s="61">
        <f t="shared" si="29"/>
        <v>0.46248</v>
      </c>
      <c r="AR42" s="61">
        <f t="shared" si="30"/>
        <v>50128320000</v>
      </c>
      <c r="AS42" s="61">
        <f t="shared" si="51"/>
        <v>0.46248</v>
      </c>
      <c r="AT42" s="61">
        <f t="shared" si="52"/>
        <v>0.23869935483870966</v>
      </c>
      <c r="AU42" s="63">
        <f t="shared" si="53"/>
        <v>0.30609480712970372</v>
      </c>
      <c r="AV42" s="63">
        <f t="shared" si="31"/>
        <v>3.6021381903672926E-2</v>
      </c>
      <c r="AW42" s="63">
        <f t="shared" si="32"/>
        <v>2.9760000000000003E-3</v>
      </c>
      <c r="AX42" s="63">
        <f t="shared" si="33"/>
        <v>0.24299000000000001</v>
      </c>
      <c r="AY42" s="63">
        <f t="shared" si="34"/>
        <v>0.24596600000000002</v>
      </c>
      <c r="AZ42" s="63">
        <f t="shared" si="35"/>
        <v>2.7666006727901613</v>
      </c>
      <c r="BA42" s="64">
        <f t="shared" si="36"/>
        <v>70.5</v>
      </c>
      <c r="BB42" s="76">
        <f t="shared" si="54"/>
        <v>0.96223926526705061</v>
      </c>
      <c r="BC42" s="64">
        <f t="shared" si="55"/>
        <v>96.223926526705057</v>
      </c>
      <c r="BD42" s="63">
        <f t="shared" si="37"/>
        <v>1.6459046838950488</v>
      </c>
      <c r="BE42" s="63">
        <f t="shared" si="56"/>
        <v>0.83850890589561944</v>
      </c>
      <c r="BF42" s="63">
        <f t="shared" si="38"/>
        <v>0.53241409876591572</v>
      </c>
      <c r="BG42" s="63">
        <f t="shared" si="39"/>
        <v>0.30609480712970372</v>
      </c>
      <c r="BH42" s="63">
        <f t="shared" si="40"/>
        <v>3.6021381903672926E-2</v>
      </c>
      <c r="BI42" s="63">
        <f t="shared" si="57"/>
        <v>0.24596600000000002</v>
      </c>
      <c r="BJ42" s="63">
        <f t="shared" si="58"/>
        <v>1.7297371622889359E-4</v>
      </c>
      <c r="BK42" s="63">
        <f t="shared" si="59"/>
        <v>2.672737959115783E-5</v>
      </c>
      <c r="BL42" s="63">
        <f t="shared" si="60"/>
        <v>2.7666006727901618</v>
      </c>
    </row>
    <row r="43" spans="3:64" x14ac:dyDescent="0.25">
      <c r="C43" s="61">
        <v>31</v>
      </c>
      <c r="D43" s="61">
        <f t="shared" si="0"/>
        <v>100</v>
      </c>
      <c r="E43" s="61">
        <f t="shared" si="1"/>
        <v>100</v>
      </c>
      <c r="F43" s="61">
        <f t="shared" si="2"/>
        <v>100</v>
      </c>
      <c r="G43" s="73">
        <f t="shared" si="3"/>
        <v>24</v>
      </c>
      <c r="H43" s="64">
        <f t="shared" si="4"/>
        <v>1</v>
      </c>
      <c r="I43" s="63">
        <f t="shared" si="41"/>
        <v>3.1</v>
      </c>
      <c r="J43" s="65">
        <f t="shared" si="5"/>
        <v>8.3533953124311573E-4</v>
      </c>
      <c r="K43" s="65">
        <f t="shared" si="6"/>
        <v>8.3533953124311573E-4</v>
      </c>
      <c r="L43" s="65">
        <f t="shared" si="7"/>
        <v>5.097492818882457E-3</v>
      </c>
      <c r="M43" s="65">
        <f t="shared" si="8"/>
        <v>4.0000000000000001E-3</v>
      </c>
      <c r="N43" s="63">
        <f t="shared" si="9"/>
        <v>0.98044965751189128</v>
      </c>
      <c r="O43" s="64">
        <f t="shared" si="10"/>
        <v>0.25328072727138023</v>
      </c>
      <c r="P43" s="64">
        <f t="shared" si="11"/>
        <v>3.2266403636356902</v>
      </c>
      <c r="Q43" s="64">
        <f t="shared" si="12"/>
        <v>2.97335963636431</v>
      </c>
      <c r="R43" s="64">
        <f t="shared" si="13"/>
        <v>0</v>
      </c>
      <c r="S43" s="64">
        <f t="shared" si="14"/>
        <v>3.1008621264470837</v>
      </c>
      <c r="T43" s="63">
        <f t="shared" si="42"/>
        <v>4.9014156815145642E-2</v>
      </c>
      <c r="U43" s="63">
        <f t="shared" si="15"/>
        <v>1.6</v>
      </c>
      <c r="V43" s="63">
        <f t="shared" si="43"/>
        <v>1.6490141568151457</v>
      </c>
      <c r="W43" s="64">
        <f t="shared" si="44"/>
        <v>7.3115848035337785E-2</v>
      </c>
      <c r="X43" s="63">
        <f t="shared" si="16"/>
        <v>2.6729636169633043E-5</v>
      </c>
      <c r="Y43" s="63">
        <f t="shared" si="45"/>
        <v>2.6729636169633043E-5</v>
      </c>
      <c r="Z43" s="64">
        <f t="shared" si="17"/>
        <v>0.42931127169496142</v>
      </c>
      <c r="AA43" s="74">
        <f t="shared" si="18"/>
        <v>1.84308168004345E-4</v>
      </c>
      <c r="AB43" s="75">
        <f t="shared" si="46"/>
        <v>1.84308168004345E-4</v>
      </c>
      <c r="AC43" s="63">
        <f t="shared" si="19"/>
        <v>3.0704010521778526</v>
      </c>
      <c r="AD43" s="63">
        <f t="shared" si="47"/>
        <v>7.8750486728644958E-3</v>
      </c>
      <c r="AE43" s="63">
        <f t="shared" si="20"/>
        <v>1.0257596484476144E-2</v>
      </c>
      <c r="AF43" s="63">
        <f t="shared" si="21"/>
        <v>0.26691253421653871</v>
      </c>
      <c r="AG43" s="63">
        <f t="shared" si="22"/>
        <v>4.0608000000000005E-2</v>
      </c>
      <c r="AH43" s="63">
        <f t="shared" si="23"/>
        <v>0</v>
      </c>
      <c r="AI43" s="63">
        <f t="shared" si="48"/>
        <v>0.22378064516129031</v>
      </c>
      <c r="AJ43" s="63">
        <f t="shared" si="49"/>
        <v>0.54155877586230516</v>
      </c>
      <c r="AK43" s="63">
        <f t="shared" si="24"/>
        <v>0.43357041644819894</v>
      </c>
      <c r="AL43" s="63">
        <f t="shared" si="25"/>
        <v>1.5702988673149665E-4</v>
      </c>
      <c r="AM43" s="63">
        <f t="shared" si="26"/>
        <v>2.0414680292398193E-4</v>
      </c>
      <c r="AN43" s="63">
        <f t="shared" si="27"/>
        <v>6.9459832232729807E-2</v>
      </c>
      <c r="AO43" s="63">
        <f t="shared" si="28"/>
        <v>385.84936805281416</v>
      </c>
      <c r="AP43" s="63">
        <f t="shared" si="50"/>
        <v>6.9459832232729807E-2</v>
      </c>
      <c r="AQ43" s="61">
        <f t="shared" si="29"/>
        <v>0.46248</v>
      </c>
      <c r="AR43" s="61">
        <f t="shared" si="30"/>
        <v>50128320000</v>
      </c>
      <c r="AS43" s="61">
        <f t="shared" si="51"/>
        <v>0.46248</v>
      </c>
      <c r="AT43" s="61">
        <f t="shared" si="52"/>
        <v>0.23869935483870966</v>
      </c>
      <c r="AU43" s="63">
        <f t="shared" si="53"/>
        <v>0.30836333387436343</v>
      </c>
      <c r="AV43" s="63">
        <f t="shared" si="31"/>
        <v>3.8461383708935724E-2</v>
      </c>
      <c r="AW43" s="63">
        <f t="shared" si="32"/>
        <v>2.9760000000000003E-3</v>
      </c>
      <c r="AX43" s="63">
        <f t="shared" si="33"/>
        <v>0.24299000000000001</v>
      </c>
      <c r="AY43" s="63">
        <f t="shared" si="34"/>
        <v>0.24596600000000002</v>
      </c>
      <c r="AZ43" s="63">
        <f t="shared" si="35"/>
        <v>2.7835746880649239</v>
      </c>
      <c r="BA43" s="64">
        <f t="shared" si="36"/>
        <v>72.850000000000009</v>
      </c>
      <c r="BB43" s="76">
        <f t="shared" si="54"/>
        <v>0.96319657374988299</v>
      </c>
      <c r="BC43" s="64">
        <f t="shared" si="55"/>
        <v>96.319657374988296</v>
      </c>
      <c r="BD43" s="63">
        <f t="shared" si="37"/>
        <v>1.6490141568151457</v>
      </c>
      <c r="BE43" s="63">
        <f t="shared" si="56"/>
        <v>0.8499221097366686</v>
      </c>
      <c r="BF43" s="63">
        <f t="shared" si="38"/>
        <v>0.54155877586230516</v>
      </c>
      <c r="BG43" s="63">
        <f t="shared" si="39"/>
        <v>0.30836333387436343</v>
      </c>
      <c r="BH43" s="63">
        <f t="shared" si="40"/>
        <v>3.8461383708935724E-2</v>
      </c>
      <c r="BI43" s="63">
        <f t="shared" si="57"/>
        <v>0.24596600000000002</v>
      </c>
      <c r="BJ43" s="63">
        <f t="shared" si="58"/>
        <v>1.84308168004345E-4</v>
      </c>
      <c r="BK43" s="63">
        <f t="shared" si="59"/>
        <v>2.6729636169633043E-5</v>
      </c>
      <c r="BL43" s="63">
        <f t="shared" si="60"/>
        <v>2.7835746880649239</v>
      </c>
    </row>
    <row r="44" spans="3:64" x14ac:dyDescent="0.25">
      <c r="C44" s="61">
        <v>32</v>
      </c>
      <c r="D44" s="61">
        <f t="shared" ref="D44:D75" si="61">T.amb+I44*$D$9</f>
        <v>100</v>
      </c>
      <c r="E44" s="61">
        <f t="shared" ref="E44:E75" si="62">T.amb+I44*$E$9</f>
        <v>100</v>
      </c>
      <c r="F44" s="61">
        <f t="shared" ref="F44:F75" si="63">T.amb+I44*$F$9</f>
        <v>100</v>
      </c>
      <c r="G44" s="73">
        <f t="shared" ref="G44:G75" si="64">V.supply_typ</f>
        <v>24</v>
      </c>
      <c r="H44" s="64">
        <f t="shared" ref="H44:H75" si="65">FPWM</f>
        <v>1</v>
      </c>
      <c r="I44" s="63">
        <f t="shared" si="41"/>
        <v>3.2</v>
      </c>
      <c r="J44" s="65">
        <f t="shared" ref="J44:J75" si="66">R.hs25*((D44+275)/300)^2.3</f>
        <v>8.3533953124311573E-4</v>
      </c>
      <c r="K44" s="65">
        <f t="shared" ref="K44:K75" si="67">R.ls25*((E44+275)/300)^2.3</f>
        <v>8.3533953124311573E-4</v>
      </c>
      <c r="L44" s="65">
        <f t="shared" ref="L44:L75" si="68">R.dcr25*((F44+275)/300)^1.2</f>
        <v>5.097492818882457E-3</v>
      </c>
      <c r="M44" s="65">
        <f t="shared" ref="M44:M75" si="69">R.s</f>
        <v>4.0000000000000001E-3</v>
      </c>
      <c r="N44" s="63">
        <f t="shared" ref="N44:N75" si="70">(V.load+I44*(K44+L44+M44))/(V.supply_typ+I44*(K44-J44))</f>
        <v>0.9804910443133501</v>
      </c>
      <c r="O44" s="64">
        <f t="shared" ref="O44:O75" si="71">(V.supply_typ-I.load*(J44+L44+M44)-V.load)*N44/(f.sw*L.out)</f>
        <v>0.25329141877307298</v>
      </c>
      <c r="P44" s="64">
        <f t="shared" ref="P44:P75" si="72">I44+O44/2</f>
        <v>3.3266457093865367</v>
      </c>
      <c r="Q44" s="64">
        <f t="shared" ref="Q44:Q75" si="73">I44-O44/2</f>
        <v>3.0733542906134637</v>
      </c>
      <c r="R44" s="64">
        <f t="shared" ref="R44:R75" si="74">IF(MIN(V.supply_typ, -Q44/(C.oss_hs+C.oss_ls)*0.00000002)&lt;0, 0, MIN(V.supply_typ, -Q44/(C.oss_hs+C.oss_ls)*0.00000002))</f>
        <v>0</v>
      </c>
      <c r="S44" s="64">
        <f t="shared" ref="S44:S75" si="75">SQRT(I44^2+(O44^2)/12)</f>
        <v>3.2008352626414056</v>
      </c>
      <c r="T44" s="63">
        <f t="shared" si="42"/>
        <v>5.2225579591717218E-2</v>
      </c>
      <c r="U44" s="63">
        <f t="shared" ref="U44:U75" si="76">IF(FPWM=1,P.core,MIN(P.core,P.core*(O44+Q44)/O44))</f>
        <v>1.6</v>
      </c>
      <c r="V44" s="63">
        <f t="shared" si="43"/>
        <v>1.6522255795917173</v>
      </c>
      <c r="W44" s="64">
        <f t="shared" si="44"/>
        <v>7.3118934406027958E-2</v>
      </c>
      <c r="X44" s="63">
        <f t="shared" ref="X44:X75" si="77">R.esrb*W44^2</f>
        <v>2.6731892843365097E-5</v>
      </c>
      <c r="Y44" s="63">
        <f t="shared" si="45"/>
        <v>2.6731892843365097E-5</v>
      </c>
      <c r="Z44" s="64">
        <f t="shared" ref="Z44:Z75" si="78">SQRT(N44*(1-N44))*SQRT(I44^2+(O44^2)/12)</f>
        <v>0.44269248502921732</v>
      </c>
      <c r="AA44" s="74">
        <f t="shared" ref="AA44:AA75" si="79">R.esr_cin*Z44^2</f>
        <v>1.959766363013438E-4</v>
      </c>
      <c r="AB44" s="75">
        <f t="shared" si="46"/>
        <v>1.959766363013438E-4</v>
      </c>
      <c r="AC44" s="63">
        <f t="shared" ref="AC44:AC75" si="80">SQRT(N44)*SQRT(I44^2+(O44^2)/12)</f>
        <v>3.1694590027439702</v>
      </c>
      <c r="AD44" s="63">
        <f t="shared" si="47"/>
        <v>8.3913785100548938E-3</v>
      </c>
      <c r="AE44" s="63">
        <f t="shared" ref="AE44:AE75" si="81">AD44*(1+TC_rdson_hs*(T.amb-25))/(1-AD44*TC_rdson_hs*theta.ja_hs)</f>
        <v>1.0931541276808256E-2</v>
      </c>
      <c r="AF44" s="63">
        <f t="shared" ref="AF44:AF75" si="82">(V.supply_typ*P44/2)*f.sw*T.rise+(V.supply_typ*MAX(Q44,0)/2)*f.sw*T.fall</f>
        <v>0.27540486760758109</v>
      </c>
      <c r="AG44" s="63">
        <f t="shared" ref="AG44:AG75" si="83">0.5*(C.oss_hs+C.oss_ls)*(V.supply_typ-R44)^2*f.sw</f>
        <v>4.0608000000000005E-2</v>
      </c>
      <c r="AH44" s="63">
        <f t="shared" ref="AH44:AH75" si="84">IF(I44&gt;O44/2,0,ABS(Q44)*V.bd_hs*t.d_loff_hon*f.sw)</f>
        <v>0</v>
      </c>
      <c r="AI44" s="63">
        <f t="shared" si="48"/>
        <v>0.22378064516129031</v>
      </c>
      <c r="AJ44" s="63">
        <f t="shared" si="49"/>
        <v>0.55072505404567962</v>
      </c>
      <c r="AK44" s="63">
        <f t="shared" ref="AK44:AK75" si="85">SQRT((1-N44))*SQRT(I44^2+(O44^2)/12)</f>
        <v>0.44707494728946212</v>
      </c>
      <c r="AL44" s="63">
        <f t="shared" ref="AL44:AL75" si="86">K44*AK44^2</f>
        <v>1.6696433124201884E-4</v>
      </c>
      <c r="AM44" s="63">
        <f t="shared" ref="AM44:AM75" si="87">AL44*(1+TC_rdson_ls*(T.amb-25))/(1-AL44*TC_rdson_ls*theta.ja_ls)</f>
        <v>2.1706261855993097E-4</v>
      </c>
      <c r="AN44" s="63">
        <f t="shared" ref="AN44:AN75" si="88">IF(I44&gt;O44/2, Q44*V.bd_ls*t.d_loff_hon*f.sw + P44*V.bd_ls*t.d_hoff_lon*f.sw,P44*V.bd_ls*t.d_hoff_lon*f.sw)</f>
        <v>7.1715812132706641E-2</v>
      </c>
      <c r="AO44" s="63">
        <f t="shared" ref="AO44:AO75" si="89">IF(I44&gt;O44/2, Q44*V.fwd_sch*t.d_loff_hon*f.sw + P44*V.fwd_sch*t.d_hoff_lon*f.sw,P44*V.fwd_sch*t.d_hoff_lon*f.sw)</f>
        <v>398.38133639718535</v>
      </c>
      <c r="AP44" s="63">
        <f t="shared" si="50"/>
        <v>7.1715812132706641E-2</v>
      </c>
      <c r="AQ44" s="61">
        <f t="shared" ref="AQ44:AQ75" si="90">Q.rr_ls*V.supply_typ*f.sw</f>
        <v>0.46248</v>
      </c>
      <c r="AR44" s="61">
        <f t="shared" ref="AR44:AR75" si="91">Q.rr_sch*V.supply_typ*f.sw</f>
        <v>50128320000</v>
      </c>
      <c r="AS44" s="61">
        <f t="shared" si="51"/>
        <v>0.46248</v>
      </c>
      <c r="AT44" s="61">
        <f t="shared" si="52"/>
        <v>0.23869935483870966</v>
      </c>
      <c r="AU44" s="63">
        <f t="shared" si="53"/>
        <v>0.31063222958997622</v>
      </c>
      <c r="AV44" s="63">
        <f t="shared" ref="AV44:AV75" si="92">R.s*S44^2</f>
        <v>4.0981385514274708E-2</v>
      </c>
      <c r="AW44" s="63">
        <f t="shared" ref="AW44:AW75" si="93">I.q_IC*V.supply_typ</f>
        <v>2.9760000000000003E-3</v>
      </c>
      <c r="AX44" s="63">
        <f t="shared" ref="AX44:AX75" si="94">IF(ExtVCC=1,  (Q.g_hs+Q.g_ls)*f.sw*V.load, (Q.g_hs+Q.g_ls)*f.sw*V.supply_typ)</f>
        <v>0.24299000000000001</v>
      </c>
      <c r="AY44" s="63">
        <f t="shared" ref="AY44:AY75" si="95">SUM(AW44:AX44)</f>
        <v>0.24596600000000002</v>
      </c>
      <c r="AZ44" s="63">
        <f t="shared" ref="AZ44:AZ75" si="96">V44+Y44+AB44+AJ44+AU44+AV44+AY44</f>
        <v>2.800752957270793</v>
      </c>
      <c r="BA44" s="64">
        <f t="shared" ref="BA44:BA75" si="97">V.load*I44</f>
        <v>75.2</v>
      </c>
      <c r="BB44" s="76">
        <f t="shared" si="54"/>
        <v>0.96409325742271934</v>
      </c>
      <c r="BC44" s="64">
        <f t="shared" si="55"/>
        <v>96.409325742271932</v>
      </c>
      <c r="BD44" s="63">
        <f t="shared" ref="BD44:BD75" si="98">V44</f>
        <v>1.6522255795917173</v>
      </c>
      <c r="BE44" s="63">
        <f t="shared" si="56"/>
        <v>0.86135728363565578</v>
      </c>
      <c r="BF44" s="63">
        <f t="shared" ref="BF44:BF75" si="99">AJ44</f>
        <v>0.55072505404567962</v>
      </c>
      <c r="BG44" s="63">
        <f t="shared" ref="BG44:BG75" si="100">AU44</f>
        <v>0.31063222958997622</v>
      </c>
      <c r="BH44" s="63">
        <f t="shared" ref="BH44:BH75" si="101">AV44</f>
        <v>4.0981385514274708E-2</v>
      </c>
      <c r="BI44" s="63">
        <f t="shared" si="57"/>
        <v>0.24596600000000002</v>
      </c>
      <c r="BJ44" s="63">
        <f t="shared" si="58"/>
        <v>1.959766363013438E-4</v>
      </c>
      <c r="BK44" s="63">
        <f t="shared" si="59"/>
        <v>2.6731892843365097E-5</v>
      </c>
      <c r="BL44" s="63">
        <f t="shared" si="60"/>
        <v>2.800752957270793</v>
      </c>
    </row>
    <row r="45" spans="3:64" x14ac:dyDescent="0.25">
      <c r="C45" s="61">
        <v>33</v>
      </c>
      <c r="D45" s="61">
        <f t="shared" si="61"/>
        <v>100</v>
      </c>
      <c r="E45" s="61">
        <f t="shared" si="62"/>
        <v>100</v>
      </c>
      <c r="F45" s="61">
        <f t="shared" si="63"/>
        <v>100</v>
      </c>
      <c r="G45" s="73">
        <f t="shared" si="64"/>
        <v>24</v>
      </c>
      <c r="H45" s="64">
        <f t="shared" si="65"/>
        <v>1</v>
      </c>
      <c r="I45" s="63">
        <f t="shared" ref="I45:I76" si="102">I.load*C45/100</f>
        <v>3.3</v>
      </c>
      <c r="J45" s="65">
        <f t="shared" si="66"/>
        <v>8.3533953124311573E-4</v>
      </c>
      <c r="K45" s="65">
        <f t="shared" si="67"/>
        <v>8.3533953124311573E-4</v>
      </c>
      <c r="L45" s="65">
        <f t="shared" si="68"/>
        <v>5.097492818882457E-3</v>
      </c>
      <c r="M45" s="65">
        <f t="shared" si="69"/>
        <v>4.0000000000000001E-3</v>
      </c>
      <c r="N45" s="63">
        <f t="shared" si="70"/>
        <v>0.98053243111480892</v>
      </c>
      <c r="O45" s="64">
        <f t="shared" si="71"/>
        <v>0.25330211027476573</v>
      </c>
      <c r="P45" s="64">
        <f t="shared" si="72"/>
        <v>3.4266510551373828</v>
      </c>
      <c r="Q45" s="64">
        <f t="shared" si="73"/>
        <v>3.1733489448626169</v>
      </c>
      <c r="R45" s="64">
        <f t="shared" si="74"/>
        <v>0</v>
      </c>
      <c r="S45" s="64">
        <f t="shared" si="75"/>
        <v>3.3008100263302751</v>
      </c>
      <c r="T45" s="63">
        <f t="shared" si="42"/>
        <v>5.5538952224763544E-2</v>
      </c>
      <c r="U45" s="63">
        <f t="shared" si="76"/>
        <v>1.6</v>
      </c>
      <c r="V45" s="63">
        <f t="shared" si="43"/>
        <v>1.6555389522247637</v>
      </c>
      <c r="W45" s="64">
        <f t="shared" si="44"/>
        <v>7.3122020776718144E-2</v>
      </c>
      <c r="X45" s="63">
        <f t="shared" si="77"/>
        <v>2.6734149612354002E-5</v>
      </c>
      <c r="Y45" s="63">
        <f t="shared" si="45"/>
        <v>2.6734149612354002E-5</v>
      </c>
      <c r="Z45" s="64">
        <f t="shared" si="78"/>
        <v>0.45604465617910872</v>
      </c>
      <c r="AA45" s="74">
        <f t="shared" si="79"/>
        <v>2.0797672842952147E-4</v>
      </c>
      <c r="AB45" s="75">
        <f t="shared" si="46"/>
        <v>2.0797672842952147E-4</v>
      </c>
      <c r="AC45" s="63">
        <f t="shared" si="80"/>
        <v>3.2685227420017915</v>
      </c>
      <c r="AD45" s="63">
        <f t="shared" si="47"/>
        <v>8.9241334580790997E-3</v>
      </c>
      <c r="AE45" s="63">
        <f t="shared" si="81"/>
        <v>1.1627106434191233E-2</v>
      </c>
      <c r="AF45" s="63">
        <f t="shared" si="82"/>
        <v>0.28389720099862342</v>
      </c>
      <c r="AG45" s="63">
        <f t="shared" si="83"/>
        <v>4.0608000000000005E-2</v>
      </c>
      <c r="AH45" s="63">
        <f t="shared" si="84"/>
        <v>0</v>
      </c>
      <c r="AI45" s="63">
        <f t="shared" si="48"/>
        <v>0.22378064516129031</v>
      </c>
      <c r="AJ45" s="63">
        <f t="shared" si="49"/>
        <v>0.55991295259410501</v>
      </c>
      <c r="AK45" s="63">
        <f t="shared" si="85"/>
        <v>0.46054957924154477</v>
      </c>
      <c r="AL45" s="63">
        <f t="shared" si="86"/>
        <v>1.7718045555950752E-4</v>
      </c>
      <c r="AM45" s="63">
        <f t="shared" si="87"/>
        <v>2.3034471374752655E-4</v>
      </c>
      <c r="AN45" s="63">
        <f t="shared" si="88"/>
        <v>7.3971792032683448E-2</v>
      </c>
      <c r="AO45" s="63">
        <f t="shared" si="89"/>
        <v>410.91330474155654</v>
      </c>
      <c r="AP45" s="63">
        <f t="shared" si="50"/>
        <v>7.3971792032683448E-2</v>
      </c>
      <c r="AQ45" s="61">
        <f t="shared" si="90"/>
        <v>0.46248</v>
      </c>
      <c r="AR45" s="61">
        <f t="shared" si="91"/>
        <v>50128320000</v>
      </c>
      <c r="AS45" s="61">
        <f t="shared" si="51"/>
        <v>0.46248</v>
      </c>
      <c r="AT45" s="61">
        <f t="shared" si="52"/>
        <v>0.23869935483870966</v>
      </c>
      <c r="AU45" s="63">
        <f t="shared" si="53"/>
        <v>0.31290149158514063</v>
      </c>
      <c r="AV45" s="63">
        <f t="shared" si="92"/>
        <v>4.3581387319689892E-2</v>
      </c>
      <c r="AW45" s="63">
        <f t="shared" si="93"/>
        <v>2.9760000000000003E-3</v>
      </c>
      <c r="AX45" s="63">
        <f t="shared" si="94"/>
        <v>0.24299000000000001</v>
      </c>
      <c r="AY45" s="63">
        <f t="shared" si="95"/>
        <v>0.24596600000000002</v>
      </c>
      <c r="AZ45" s="63">
        <f t="shared" si="96"/>
        <v>2.8181354946017412</v>
      </c>
      <c r="BA45" s="64">
        <f t="shared" si="97"/>
        <v>77.55</v>
      </c>
      <c r="BB45" s="76">
        <f t="shared" si="54"/>
        <v>0.9649346662423065</v>
      </c>
      <c r="BC45" s="64">
        <f t="shared" si="55"/>
        <v>96.493466624230649</v>
      </c>
      <c r="BD45" s="63">
        <f t="shared" si="98"/>
        <v>1.6555389522247637</v>
      </c>
      <c r="BE45" s="63">
        <f t="shared" si="56"/>
        <v>0.87281444417924559</v>
      </c>
      <c r="BF45" s="63">
        <f t="shared" si="99"/>
        <v>0.55991295259410501</v>
      </c>
      <c r="BG45" s="63">
        <f t="shared" si="100"/>
        <v>0.31290149158514063</v>
      </c>
      <c r="BH45" s="63">
        <f t="shared" si="101"/>
        <v>4.3581387319689892E-2</v>
      </c>
      <c r="BI45" s="63">
        <f t="shared" si="57"/>
        <v>0.24596600000000002</v>
      </c>
      <c r="BJ45" s="63">
        <f t="shared" si="58"/>
        <v>2.0797672842952147E-4</v>
      </c>
      <c r="BK45" s="63">
        <f t="shared" si="59"/>
        <v>2.6734149612354002E-5</v>
      </c>
      <c r="BL45" s="63">
        <f t="shared" si="60"/>
        <v>2.8181354946017407</v>
      </c>
    </row>
    <row r="46" spans="3:64" x14ac:dyDescent="0.25">
      <c r="C46" s="61">
        <v>34</v>
      </c>
      <c r="D46" s="61">
        <f t="shared" si="61"/>
        <v>100</v>
      </c>
      <c r="E46" s="61">
        <f t="shared" si="62"/>
        <v>100</v>
      </c>
      <c r="F46" s="61">
        <f t="shared" si="63"/>
        <v>100</v>
      </c>
      <c r="G46" s="73">
        <f t="shared" si="64"/>
        <v>24</v>
      </c>
      <c r="H46" s="64">
        <f t="shared" si="65"/>
        <v>1</v>
      </c>
      <c r="I46" s="63">
        <f t="shared" si="102"/>
        <v>3.4</v>
      </c>
      <c r="J46" s="65">
        <f t="shared" si="66"/>
        <v>8.3533953124311573E-4</v>
      </c>
      <c r="K46" s="65">
        <f t="shared" si="67"/>
        <v>8.3533953124311573E-4</v>
      </c>
      <c r="L46" s="65">
        <f t="shared" si="68"/>
        <v>5.097492818882457E-3</v>
      </c>
      <c r="M46" s="65">
        <f t="shared" si="69"/>
        <v>4.0000000000000001E-3</v>
      </c>
      <c r="N46" s="63">
        <f t="shared" si="70"/>
        <v>0.98057381791626774</v>
      </c>
      <c r="O46" s="64">
        <f t="shared" si="71"/>
        <v>0.25331280177645843</v>
      </c>
      <c r="P46" s="64">
        <f t="shared" si="72"/>
        <v>3.5266564008882293</v>
      </c>
      <c r="Q46" s="64">
        <f t="shared" si="73"/>
        <v>3.2733435991117705</v>
      </c>
      <c r="R46" s="64">
        <f t="shared" si="74"/>
        <v>0</v>
      </c>
      <c r="S46" s="64">
        <f t="shared" si="75"/>
        <v>3.4007862739806685</v>
      </c>
      <c r="T46" s="63">
        <f t="shared" si="42"/>
        <v>5.8954274714284632E-2</v>
      </c>
      <c r="U46" s="63">
        <f t="shared" si="76"/>
        <v>1.6</v>
      </c>
      <c r="V46" s="63">
        <f t="shared" si="43"/>
        <v>1.6589542747142847</v>
      </c>
      <c r="W46" s="64">
        <f t="shared" si="44"/>
        <v>7.3125107147408303E-2</v>
      </c>
      <c r="X46" s="63">
        <f t="shared" si="77"/>
        <v>2.6736406476599724E-5</v>
      </c>
      <c r="Y46" s="63">
        <f t="shared" si="45"/>
        <v>2.6736406476599724E-5</v>
      </c>
      <c r="Z46" s="64">
        <f t="shared" si="78"/>
        <v>0.46936771436414537</v>
      </c>
      <c r="AA46" s="74">
        <f t="shared" si="79"/>
        <v>2.2030605128742196E-4</v>
      </c>
      <c r="AB46" s="75">
        <f t="shared" si="46"/>
        <v>2.2030605128742196E-4</v>
      </c>
      <c r="AC46" s="63">
        <f t="shared" si="80"/>
        <v>3.3675921277891239</v>
      </c>
      <c r="AD46" s="63">
        <f t="shared" si="47"/>
        <v>9.4733155912589944E-3</v>
      </c>
      <c r="AE46" s="63">
        <f t="shared" si="81"/>
        <v>1.2344311775816578E-2</v>
      </c>
      <c r="AF46" s="63">
        <f t="shared" si="82"/>
        <v>0.29238953438966575</v>
      </c>
      <c r="AG46" s="63">
        <f t="shared" si="83"/>
        <v>4.0608000000000005E-2</v>
      </c>
      <c r="AH46" s="63">
        <f t="shared" si="84"/>
        <v>0</v>
      </c>
      <c r="AI46" s="63">
        <f t="shared" si="48"/>
        <v>0.22378064516129031</v>
      </c>
      <c r="AJ46" s="63">
        <f t="shared" si="49"/>
        <v>0.56912249132677262</v>
      </c>
      <c r="AK46" s="63">
        <f t="shared" si="85"/>
        <v>0.47399424273723056</v>
      </c>
      <c r="AL46" s="63">
        <f t="shared" si="86"/>
        <v>1.8767618536208095E-4</v>
      </c>
      <c r="AM46" s="63">
        <f t="shared" si="87"/>
        <v>2.4399039718508341E-4</v>
      </c>
      <c r="AN46" s="63">
        <f t="shared" si="88"/>
        <v>7.6227771932660268E-2</v>
      </c>
      <c r="AO46" s="63">
        <f t="shared" si="89"/>
        <v>423.44527308592774</v>
      </c>
      <c r="AP46" s="63">
        <f t="shared" si="50"/>
        <v>7.6227771932660268E-2</v>
      </c>
      <c r="AQ46" s="61">
        <f t="shared" si="90"/>
        <v>0.46248</v>
      </c>
      <c r="AR46" s="61">
        <f t="shared" si="91"/>
        <v>50128320000</v>
      </c>
      <c r="AS46" s="61">
        <f t="shared" si="51"/>
        <v>0.46248</v>
      </c>
      <c r="AT46" s="61">
        <f t="shared" si="52"/>
        <v>0.23869935483870966</v>
      </c>
      <c r="AU46" s="63">
        <f t="shared" si="53"/>
        <v>0.315171117168555</v>
      </c>
      <c r="AV46" s="63">
        <f t="shared" si="92"/>
        <v>4.6261389125181275E-2</v>
      </c>
      <c r="AW46" s="63">
        <f t="shared" si="93"/>
        <v>2.9760000000000003E-3</v>
      </c>
      <c r="AX46" s="63">
        <f t="shared" si="94"/>
        <v>0.24299000000000001</v>
      </c>
      <c r="AY46" s="63">
        <f t="shared" si="95"/>
        <v>0.24596600000000002</v>
      </c>
      <c r="AZ46" s="63">
        <f t="shared" si="96"/>
        <v>2.8357223147925579</v>
      </c>
      <c r="BA46" s="64">
        <f t="shared" si="97"/>
        <v>79.899999999999991</v>
      </c>
      <c r="BB46" s="76">
        <f t="shared" si="54"/>
        <v>0.96572553867357058</v>
      </c>
      <c r="BC46" s="64">
        <f t="shared" si="55"/>
        <v>96.572553867357058</v>
      </c>
      <c r="BD46" s="63">
        <f t="shared" si="98"/>
        <v>1.6589542747142847</v>
      </c>
      <c r="BE46" s="63">
        <f t="shared" si="56"/>
        <v>0.88429360849532768</v>
      </c>
      <c r="BF46" s="63">
        <f t="shared" si="99"/>
        <v>0.56912249132677262</v>
      </c>
      <c r="BG46" s="63">
        <f t="shared" si="100"/>
        <v>0.315171117168555</v>
      </c>
      <c r="BH46" s="63">
        <f t="shared" si="101"/>
        <v>4.6261389125181275E-2</v>
      </c>
      <c r="BI46" s="63">
        <f t="shared" si="57"/>
        <v>0.24596600000000002</v>
      </c>
      <c r="BJ46" s="63">
        <f t="shared" si="58"/>
        <v>2.2030605128742196E-4</v>
      </c>
      <c r="BK46" s="63">
        <f t="shared" si="59"/>
        <v>2.6736406476599724E-5</v>
      </c>
      <c r="BL46" s="63">
        <f t="shared" si="60"/>
        <v>2.8357223147925583</v>
      </c>
    </row>
    <row r="47" spans="3:64" x14ac:dyDescent="0.25">
      <c r="C47" s="61">
        <v>35</v>
      </c>
      <c r="D47" s="61">
        <f t="shared" si="61"/>
        <v>100</v>
      </c>
      <c r="E47" s="61">
        <f t="shared" si="62"/>
        <v>100</v>
      </c>
      <c r="F47" s="61">
        <f t="shared" si="63"/>
        <v>100</v>
      </c>
      <c r="G47" s="73">
        <f t="shared" si="64"/>
        <v>24</v>
      </c>
      <c r="H47" s="64">
        <f t="shared" si="65"/>
        <v>1</v>
      </c>
      <c r="I47" s="63">
        <f t="shared" si="102"/>
        <v>3.5</v>
      </c>
      <c r="J47" s="65">
        <f t="shared" si="66"/>
        <v>8.3533953124311573E-4</v>
      </c>
      <c r="K47" s="65">
        <f t="shared" si="67"/>
        <v>8.3533953124311573E-4</v>
      </c>
      <c r="L47" s="65">
        <f t="shared" si="68"/>
        <v>5.097492818882457E-3</v>
      </c>
      <c r="M47" s="65">
        <f t="shared" si="69"/>
        <v>4.0000000000000001E-3</v>
      </c>
      <c r="N47" s="63">
        <f t="shared" si="70"/>
        <v>0.98061520471772667</v>
      </c>
      <c r="O47" s="64">
        <f t="shared" si="71"/>
        <v>0.25332349327815118</v>
      </c>
      <c r="P47" s="64">
        <f t="shared" si="72"/>
        <v>3.6266617466390754</v>
      </c>
      <c r="Q47" s="64">
        <f t="shared" si="73"/>
        <v>3.3733382533609246</v>
      </c>
      <c r="R47" s="64">
        <f t="shared" si="74"/>
        <v>0</v>
      </c>
      <c r="S47" s="64">
        <f t="shared" si="75"/>
        <v>3.5007638784538466</v>
      </c>
      <c r="T47" s="63">
        <f t="shared" si="42"/>
        <v>6.2471547060280498E-2</v>
      </c>
      <c r="U47" s="63">
        <f t="shared" si="76"/>
        <v>1.6</v>
      </c>
      <c r="V47" s="63">
        <f t="shared" si="43"/>
        <v>1.6624715470602807</v>
      </c>
      <c r="W47" s="64">
        <f t="shared" si="44"/>
        <v>7.3128193518098475E-2</v>
      </c>
      <c r="X47" s="63">
        <f t="shared" si="77"/>
        <v>2.6738663436102303E-5</v>
      </c>
      <c r="Y47" s="63">
        <f t="shared" si="45"/>
        <v>2.6738663436102303E-5</v>
      </c>
      <c r="Z47" s="64">
        <f t="shared" si="78"/>
        <v>0.48266159093354416</v>
      </c>
      <c r="AA47" s="74">
        <f t="shared" si="79"/>
        <v>2.3296221136249993E-4</v>
      </c>
      <c r="AB47" s="75">
        <f t="shared" si="46"/>
        <v>2.3296221136249993E-4</v>
      </c>
      <c r="AC47" s="63">
        <f t="shared" si="80"/>
        <v>3.4666670341663912</v>
      </c>
      <c r="AD47" s="63">
        <f t="shared" si="47"/>
        <v>1.0038926983916466E-2</v>
      </c>
      <c r="AE47" s="63">
        <f t="shared" si="81"/>
        <v>1.3083177663280666E-2</v>
      </c>
      <c r="AF47" s="63">
        <f t="shared" si="82"/>
        <v>0.30088186778070808</v>
      </c>
      <c r="AG47" s="63">
        <f t="shared" si="83"/>
        <v>4.0608000000000005E-2</v>
      </c>
      <c r="AH47" s="63">
        <f t="shared" si="84"/>
        <v>0</v>
      </c>
      <c r="AI47" s="63">
        <f t="shared" si="48"/>
        <v>0.22378064516129031</v>
      </c>
      <c r="AJ47" s="63">
        <f t="shared" si="49"/>
        <v>0.57835369060527908</v>
      </c>
      <c r="AK47" s="63">
        <f t="shared" si="85"/>
        <v>0.48740887036574776</v>
      </c>
      <c r="AL47" s="63">
        <f t="shared" si="86"/>
        <v>1.984494463278563E-4</v>
      </c>
      <c r="AM47" s="63">
        <f t="shared" si="87"/>
        <v>2.5799697766684156E-4</v>
      </c>
      <c r="AN47" s="63">
        <f t="shared" si="88"/>
        <v>7.8483751832637089E-2</v>
      </c>
      <c r="AO47" s="63">
        <f t="shared" si="89"/>
        <v>435.97724143029899</v>
      </c>
      <c r="AP47" s="63">
        <f t="shared" si="50"/>
        <v>7.8483751832637089E-2</v>
      </c>
      <c r="AQ47" s="61">
        <f t="shared" si="90"/>
        <v>0.46248</v>
      </c>
      <c r="AR47" s="61">
        <f t="shared" si="91"/>
        <v>50128320000</v>
      </c>
      <c r="AS47" s="61">
        <f t="shared" si="51"/>
        <v>0.46248</v>
      </c>
      <c r="AT47" s="61">
        <f t="shared" si="52"/>
        <v>0.23869935483870966</v>
      </c>
      <c r="AU47" s="63">
        <f t="shared" si="53"/>
        <v>0.31744110364901357</v>
      </c>
      <c r="AV47" s="63">
        <f t="shared" si="92"/>
        <v>4.9021390930748872E-2</v>
      </c>
      <c r="AW47" s="63">
        <f t="shared" si="93"/>
        <v>2.9760000000000003E-3</v>
      </c>
      <c r="AX47" s="63">
        <f t="shared" si="94"/>
        <v>0.24299000000000001</v>
      </c>
      <c r="AY47" s="63">
        <f t="shared" si="95"/>
        <v>0.24596600000000002</v>
      </c>
      <c r="AZ47" s="63">
        <f t="shared" si="96"/>
        <v>2.8535134331201206</v>
      </c>
      <c r="BA47" s="64">
        <f t="shared" si="97"/>
        <v>82.25</v>
      </c>
      <c r="BB47" s="76">
        <f t="shared" si="54"/>
        <v>0.96647008662735645</v>
      </c>
      <c r="BC47" s="64">
        <f t="shared" si="55"/>
        <v>96.647008662735644</v>
      </c>
      <c r="BD47" s="63">
        <f t="shared" si="98"/>
        <v>1.6624715470602807</v>
      </c>
      <c r="BE47" s="63">
        <f t="shared" si="56"/>
        <v>0.89579479425429265</v>
      </c>
      <c r="BF47" s="63">
        <f t="shared" si="99"/>
        <v>0.57835369060527908</v>
      </c>
      <c r="BG47" s="63">
        <f t="shared" si="100"/>
        <v>0.31744110364901357</v>
      </c>
      <c r="BH47" s="63">
        <f t="shared" si="101"/>
        <v>4.9021390930748872E-2</v>
      </c>
      <c r="BI47" s="63">
        <f t="shared" si="57"/>
        <v>0.24596600000000002</v>
      </c>
      <c r="BJ47" s="63">
        <f t="shared" si="58"/>
        <v>2.3296221136249993E-4</v>
      </c>
      <c r="BK47" s="63">
        <f t="shared" si="59"/>
        <v>2.6738663436102303E-5</v>
      </c>
      <c r="BL47" s="63">
        <f t="shared" si="60"/>
        <v>2.8535134331201211</v>
      </c>
    </row>
    <row r="48" spans="3:64" x14ac:dyDescent="0.25">
      <c r="C48" s="61">
        <v>36</v>
      </c>
      <c r="D48" s="61">
        <f t="shared" si="61"/>
        <v>100</v>
      </c>
      <c r="E48" s="61">
        <f t="shared" si="62"/>
        <v>100</v>
      </c>
      <c r="F48" s="61">
        <f t="shared" si="63"/>
        <v>100</v>
      </c>
      <c r="G48" s="73">
        <f t="shared" si="64"/>
        <v>24</v>
      </c>
      <c r="H48" s="64">
        <f t="shared" si="65"/>
        <v>1</v>
      </c>
      <c r="I48" s="63">
        <f t="shared" si="102"/>
        <v>3.6</v>
      </c>
      <c r="J48" s="65">
        <f t="shared" si="66"/>
        <v>8.3533953124311573E-4</v>
      </c>
      <c r="K48" s="65">
        <f t="shared" si="67"/>
        <v>8.3533953124311573E-4</v>
      </c>
      <c r="L48" s="65">
        <f t="shared" si="68"/>
        <v>5.097492818882457E-3</v>
      </c>
      <c r="M48" s="65">
        <f t="shared" si="69"/>
        <v>4.0000000000000001E-3</v>
      </c>
      <c r="N48" s="63">
        <f t="shared" si="70"/>
        <v>0.98065659151918549</v>
      </c>
      <c r="O48" s="64">
        <f t="shared" si="71"/>
        <v>0.25333418477984393</v>
      </c>
      <c r="P48" s="64">
        <f t="shared" si="72"/>
        <v>3.7266670923899219</v>
      </c>
      <c r="Q48" s="64">
        <f t="shared" si="73"/>
        <v>3.4733329076100783</v>
      </c>
      <c r="R48" s="64">
        <f t="shared" si="74"/>
        <v>0</v>
      </c>
      <c r="S48" s="64">
        <f t="shared" si="75"/>
        <v>3.6007427267298859</v>
      </c>
      <c r="T48" s="63">
        <f t="shared" si="42"/>
        <v>6.6090769262751148E-2</v>
      </c>
      <c r="U48" s="63">
        <f t="shared" si="76"/>
        <v>1.6</v>
      </c>
      <c r="V48" s="63">
        <f t="shared" si="43"/>
        <v>1.6660907692627513</v>
      </c>
      <c r="W48" s="64">
        <f t="shared" si="44"/>
        <v>7.3131279888788647E-2</v>
      </c>
      <c r="X48" s="63">
        <f t="shared" si="77"/>
        <v>2.6740920490861717E-5</v>
      </c>
      <c r="Y48" s="63">
        <f t="shared" si="45"/>
        <v>2.6740920490861717E-5</v>
      </c>
      <c r="Z48" s="64">
        <f t="shared" si="78"/>
        <v>0.49592621903981382</v>
      </c>
      <c r="AA48" s="74">
        <f t="shared" si="79"/>
        <v>2.4594281473112542E-4</v>
      </c>
      <c r="AB48" s="75">
        <f t="shared" si="46"/>
        <v>2.4594281473112542E-4</v>
      </c>
      <c r="AC48" s="63">
        <f t="shared" si="80"/>
        <v>3.5657473491649934</v>
      </c>
      <c r="AD48" s="63">
        <f t="shared" si="47"/>
        <v>1.0620969710373398E-2</v>
      </c>
      <c r="AE48" s="63">
        <f t="shared" si="81"/>
        <v>1.3843725001898547E-2</v>
      </c>
      <c r="AF48" s="63">
        <f t="shared" si="82"/>
        <v>0.30937420117175046</v>
      </c>
      <c r="AG48" s="63">
        <f t="shared" si="83"/>
        <v>4.0608000000000005E-2</v>
      </c>
      <c r="AH48" s="63">
        <f t="shared" si="84"/>
        <v>0</v>
      </c>
      <c r="AI48" s="63">
        <f t="shared" si="48"/>
        <v>0.22378064516129031</v>
      </c>
      <c r="AJ48" s="63">
        <f t="shared" si="49"/>
        <v>0.58760657133493943</v>
      </c>
      <c r="AK48" s="63">
        <f t="shared" si="85"/>
        <v>0.50079339654292321</v>
      </c>
      <c r="AL48" s="63">
        <f t="shared" si="86"/>
        <v>2.0949816413495386E-4</v>
      </c>
      <c r="AM48" s="63">
        <f t="shared" si="87"/>
        <v>2.7236176407924968E-4</v>
      </c>
      <c r="AN48" s="63">
        <f t="shared" si="88"/>
        <v>8.0739731732613895E-2</v>
      </c>
      <c r="AO48" s="63">
        <f t="shared" si="89"/>
        <v>448.50920977467024</v>
      </c>
      <c r="AP48" s="63">
        <f t="shared" si="50"/>
        <v>8.0739731732613895E-2</v>
      </c>
      <c r="AQ48" s="61">
        <f t="shared" si="90"/>
        <v>0.46248</v>
      </c>
      <c r="AR48" s="61">
        <f t="shared" si="91"/>
        <v>50128320000</v>
      </c>
      <c r="AS48" s="61">
        <f t="shared" si="51"/>
        <v>0.46248</v>
      </c>
      <c r="AT48" s="61">
        <f t="shared" si="52"/>
        <v>0.23869935483870966</v>
      </c>
      <c r="AU48" s="63">
        <f t="shared" si="53"/>
        <v>0.31971144833540277</v>
      </c>
      <c r="AV48" s="63">
        <f t="shared" si="92"/>
        <v>5.1861392736392696E-2</v>
      </c>
      <c r="AW48" s="63">
        <f t="shared" si="93"/>
        <v>2.9760000000000003E-3</v>
      </c>
      <c r="AX48" s="63">
        <f t="shared" si="94"/>
        <v>0.24299000000000001</v>
      </c>
      <c r="AY48" s="63">
        <f t="shared" si="95"/>
        <v>0.24596600000000002</v>
      </c>
      <c r="AZ48" s="63">
        <f t="shared" si="96"/>
        <v>2.8715088654047087</v>
      </c>
      <c r="BA48" s="64">
        <f t="shared" si="97"/>
        <v>84.600000000000009</v>
      </c>
      <c r="BB48" s="76">
        <f t="shared" si="54"/>
        <v>0.96717206662316535</v>
      </c>
      <c r="BC48" s="64">
        <f t="shared" si="55"/>
        <v>96.717206662316528</v>
      </c>
      <c r="BD48" s="63">
        <f t="shared" si="98"/>
        <v>1.6660907692627513</v>
      </c>
      <c r="BE48" s="63">
        <f t="shared" si="56"/>
        <v>0.9073180196703422</v>
      </c>
      <c r="BF48" s="63">
        <f t="shared" si="99"/>
        <v>0.58760657133493943</v>
      </c>
      <c r="BG48" s="63">
        <f t="shared" si="100"/>
        <v>0.31971144833540277</v>
      </c>
      <c r="BH48" s="63">
        <f t="shared" si="101"/>
        <v>5.1861392736392696E-2</v>
      </c>
      <c r="BI48" s="63">
        <f t="shared" si="57"/>
        <v>0.24596600000000002</v>
      </c>
      <c r="BJ48" s="63">
        <f t="shared" si="58"/>
        <v>2.4594281473112542E-4</v>
      </c>
      <c r="BK48" s="63">
        <f t="shared" si="59"/>
        <v>2.6740920490861717E-5</v>
      </c>
      <c r="BL48" s="63">
        <f t="shared" si="60"/>
        <v>2.8715088654047087</v>
      </c>
    </row>
    <row r="49" spans="3:70" x14ac:dyDescent="0.25">
      <c r="C49" s="61">
        <v>37</v>
      </c>
      <c r="D49" s="61">
        <f t="shared" si="61"/>
        <v>100</v>
      </c>
      <c r="E49" s="61">
        <f t="shared" si="62"/>
        <v>100</v>
      </c>
      <c r="F49" s="61">
        <f t="shared" si="63"/>
        <v>100</v>
      </c>
      <c r="G49" s="73">
        <f t="shared" si="64"/>
        <v>24</v>
      </c>
      <c r="H49" s="64">
        <f t="shared" si="65"/>
        <v>1</v>
      </c>
      <c r="I49" s="63">
        <f t="shared" si="102"/>
        <v>3.7</v>
      </c>
      <c r="J49" s="65">
        <f t="shared" si="66"/>
        <v>8.3533953124311573E-4</v>
      </c>
      <c r="K49" s="65">
        <f t="shared" si="67"/>
        <v>8.3533953124311573E-4</v>
      </c>
      <c r="L49" s="65">
        <f t="shared" si="68"/>
        <v>5.097492818882457E-3</v>
      </c>
      <c r="M49" s="65">
        <f t="shared" si="69"/>
        <v>4.0000000000000001E-3</v>
      </c>
      <c r="N49" s="63">
        <f t="shared" si="70"/>
        <v>0.98069797832064431</v>
      </c>
      <c r="O49" s="64">
        <f t="shared" si="71"/>
        <v>0.25334487628153668</v>
      </c>
      <c r="P49" s="64">
        <f t="shared" si="72"/>
        <v>3.8266724381407684</v>
      </c>
      <c r="Q49" s="64">
        <f t="shared" si="73"/>
        <v>3.5733275618592319</v>
      </c>
      <c r="R49" s="64">
        <f t="shared" si="74"/>
        <v>0</v>
      </c>
      <c r="S49" s="64">
        <f t="shared" si="75"/>
        <v>3.7007227180009279</v>
      </c>
      <c r="T49" s="63">
        <f t="shared" si="42"/>
        <v>6.9811941321696533E-2</v>
      </c>
      <c r="U49" s="63">
        <f t="shared" si="76"/>
        <v>1.6</v>
      </c>
      <c r="V49" s="63">
        <f t="shared" si="43"/>
        <v>1.6698119413216965</v>
      </c>
      <c r="W49" s="64">
        <f t="shared" si="44"/>
        <v>7.313436625947882E-2</v>
      </c>
      <c r="X49" s="63">
        <f t="shared" si="77"/>
        <v>2.6743177640877971E-5</v>
      </c>
      <c r="Y49" s="63">
        <f t="shared" si="45"/>
        <v>2.6743177640877971E-5</v>
      </c>
      <c r="Z49" s="64">
        <f t="shared" si="78"/>
        <v>0.50916153336497905</v>
      </c>
      <c r="AA49" s="74">
        <f t="shared" si="79"/>
        <v>2.5924546705857667E-4</v>
      </c>
      <c r="AB49" s="75">
        <f t="shared" si="46"/>
        <v>2.5924546705857667E-4</v>
      </c>
      <c r="AC49" s="63">
        <f t="shared" si="80"/>
        <v>3.6648329729005216</v>
      </c>
      <c r="AD49" s="63">
        <f t="shared" si="47"/>
        <v>1.1219445844951659E-2</v>
      </c>
      <c r="AE49" s="63">
        <f t="shared" si="81"/>
        <v>1.4625975242052293E-2</v>
      </c>
      <c r="AF49" s="63">
        <f t="shared" si="82"/>
        <v>0.31786653456279279</v>
      </c>
      <c r="AG49" s="63">
        <f t="shared" si="83"/>
        <v>4.0608000000000005E-2</v>
      </c>
      <c r="AH49" s="63">
        <f t="shared" si="84"/>
        <v>0</v>
      </c>
      <c r="AI49" s="63">
        <f t="shared" si="48"/>
        <v>0.22378064516129031</v>
      </c>
      <c r="AJ49" s="63">
        <f t="shared" si="49"/>
        <v>0.59688115496613536</v>
      </c>
      <c r="AK49" s="63">
        <f t="shared" si="85"/>
        <v>0.51414775723453199</v>
      </c>
      <c r="AL49" s="63">
        <f t="shared" si="86"/>
        <v>2.2082026446149086E-4</v>
      </c>
      <c r="AM49" s="63">
        <f t="shared" si="87"/>
        <v>2.870820653972637E-4</v>
      </c>
      <c r="AN49" s="63">
        <f t="shared" si="88"/>
        <v>8.299571163259073E-2</v>
      </c>
      <c r="AO49" s="63">
        <f t="shared" si="89"/>
        <v>461.04117811904143</v>
      </c>
      <c r="AP49" s="63">
        <f t="shared" si="50"/>
        <v>8.299571163259073E-2</v>
      </c>
      <c r="AQ49" s="61">
        <f t="shared" si="90"/>
        <v>0.46248</v>
      </c>
      <c r="AR49" s="61">
        <f t="shared" si="91"/>
        <v>50128320000</v>
      </c>
      <c r="AS49" s="61">
        <f t="shared" si="51"/>
        <v>0.46248</v>
      </c>
      <c r="AT49" s="61">
        <f t="shared" si="52"/>
        <v>0.23869935483870966</v>
      </c>
      <c r="AU49" s="63">
        <f t="shared" si="53"/>
        <v>0.32198214853669765</v>
      </c>
      <c r="AV49" s="63">
        <f t="shared" si="92"/>
        <v>5.4781394542112699E-2</v>
      </c>
      <c r="AW49" s="63">
        <f t="shared" si="93"/>
        <v>2.9760000000000003E-3</v>
      </c>
      <c r="AX49" s="63">
        <f t="shared" si="94"/>
        <v>0.24299000000000001</v>
      </c>
      <c r="AY49" s="63">
        <f t="shared" si="95"/>
        <v>0.24596600000000002</v>
      </c>
      <c r="AZ49" s="63">
        <f t="shared" si="96"/>
        <v>2.8897086280113418</v>
      </c>
      <c r="BA49" s="64">
        <f t="shared" si="97"/>
        <v>86.95</v>
      </c>
      <c r="BB49" s="76">
        <f t="shared" si="54"/>
        <v>0.96783483971462525</v>
      </c>
      <c r="BC49" s="64">
        <f t="shared" si="55"/>
        <v>96.78348397146253</v>
      </c>
      <c r="BD49" s="63">
        <f t="shared" si="98"/>
        <v>1.6698119413216965</v>
      </c>
      <c r="BE49" s="63">
        <f t="shared" si="56"/>
        <v>0.91886330350283307</v>
      </c>
      <c r="BF49" s="63">
        <f t="shared" si="99"/>
        <v>0.59688115496613536</v>
      </c>
      <c r="BG49" s="63">
        <f t="shared" si="100"/>
        <v>0.32198214853669765</v>
      </c>
      <c r="BH49" s="63">
        <f t="shared" si="101"/>
        <v>5.4781394542112699E-2</v>
      </c>
      <c r="BI49" s="63">
        <f t="shared" si="57"/>
        <v>0.24596600000000002</v>
      </c>
      <c r="BJ49" s="63">
        <f t="shared" si="58"/>
        <v>2.5924546705857667E-4</v>
      </c>
      <c r="BK49" s="63">
        <f t="shared" si="59"/>
        <v>2.6743177640877971E-5</v>
      </c>
      <c r="BL49" s="63">
        <f t="shared" si="60"/>
        <v>2.8897086280113418</v>
      </c>
    </row>
    <row r="50" spans="3:70" x14ac:dyDescent="0.25">
      <c r="C50" s="61">
        <v>38</v>
      </c>
      <c r="D50" s="61">
        <f t="shared" si="61"/>
        <v>100</v>
      </c>
      <c r="E50" s="61">
        <f t="shared" si="62"/>
        <v>100</v>
      </c>
      <c r="F50" s="61">
        <f t="shared" si="63"/>
        <v>100</v>
      </c>
      <c r="G50" s="73">
        <f t="shared" si="64"/>
        <v>24</v>
      </c>
      <c r="H50" s="64">
        <f t="shared" si="65"/>
        <v>1</v>
      </c>
      <c r="I50" s="63">
        <f t="shared" si="102"/>
        <v>3.8</v>
      </c>
      <c r="J50" s="65">
        <f t="shared" si="66"/>
        <v>8.3533953124311573E-4</v>
      </c>
      <c r="K50" s="65">
        <f t="shared" si="67"/>
        <v>8.3533953124311573E-4</v>
      </c>
      <c r="L50" s="65">
        <f t="shared" si="68"/>
        <v>5.097492818882457E-3</v>
      </c>
      <c r="M50" s="65">
        <f t="shared" si="69"/>
        <v>4.0000000000000001E-3</v>
      </c>
      <c r="N50" s="63">
        <f t="shared" si="70"/>
        <v>0.98073936512210313</v>
      </c>
      <c r="O50" s="64">
        <f t="shared" si="71"/>
        <v>0.25335556778322937</v>
      </c>
      <c r="P50" s="64">
        <f t="shared" si="72"/>
        <v>3.9266777838916145</v>
      </c>
      <c r="Q50" s="64">
        <f t="shared" si="73"/>
        <v>3.6733222161083852</v>
      </c>
      <c r="R50" s="64">
        <f t="shared" si="74"/>
        <v>0</v>
      </c>
      <c r="S50" s="64">
        <f t="shared" si="75"/>
        <v>3.8007037620652873</v>
      </c>
      <c r="T50" s="63">
        <f t="shared" si="42"/>
        <v>7.3635063237116674E-2</v>
      </c>
      <c r="U50" s="63">
        <f t="shared" si="76"/>
        <v>1.6</v>
      </c>
      <c r="V50" s="63">
        <f t="shared" si="43"/>
        <v>1.6736350632371169</v>
      </c>
      <c r="W50" s="64">
        <f t="shared" si="44"/>
        <v>7.3137452630168978E-2</v>
      </c>
      <c r="X50" s="63">
        <f t="shared" si="77"/>
        <v>2.6745434886151056E-5</v>
      </c>
      <c r="Y50" s="63">
        <f t="shared" si="45"/>
        <v>2.6745434886151056E-5</v>
      </c>
      <c r="Z50" s="64">
        <f t="shared" si="78"/>
        <v>0.52236746988977512</v>
      </c>
      <c r="AA50" s="74">
        <f t="shared" si="79"/>
        <v>2.7286777359904511E-4</v>
      </c>
      <c r="AB50" s="75">
        <f t="shared" si="46"/>
        <v>2.7286777359904511E-4</v>
      </c>
      <c r="AC50" s="63">
        <f t="shared" si="80"/>
        <v>3.763923815983687</v>
      </c>
      <c r="AD50" s="63">
        <f t="shared" si="47"/>
        <v>1.1834357461973144E-2</v>
      </c>
      <c r="AE50" s="63">
        <f t="shared" si="81"/>
        <v>1.5429950380574296E-2</v>
      </c>
      <c r="AF50" s="63">
        <f t="shared" si="82"/>
        <v>0.32635886795383517</v>
      </c>
      <c r="AG50" s="63">
        <f t="shared" si="83"/>
        <v>4.0608000000000005E-2</v>
      </c>
      <c r="AH50" s="63">
        <f t="shared" si="84"/>
        <v>0</v>
      </c>
      <c r="AI50" s="63">
        <f t="shared" si="48"/>
        <v>0.22378064516129031</v>
      </c>
      <c r="AJ50" s="63">
        <f t="shared" si="49"/>
        <v>0.60617746349569979</v>
      </c>
      <c r="AK50" s="63">
        <f t="shared" si="85"/>
        <v>0.52747188972307257</v>
      </c>
      <c r="AL50" s="63">
        <f t="shared" si="86"/>
        <v>2.324136729855852E-4</v>
      </c>
      <c r="AM50" s="63">
        <f t="shared" si="87"/>
        <v>3.0215519068068486E-4</v>
      </c>
      <c r="AN50" s="63">
        <f t="shared" si="88"/>
        <v>8.5251691532567536E-2</v>
      </c>
      <c r="AO50" s="63">
        <f t="shared" si="89"/>
        <v>473.57314646341263</v>
      </c>
      <c r="AP50" s="63">
        <f t="shared" si="50"/>
        <v>8.5251691532567536E-2</v>
      </c>
      <c r="AQ50" s="61">
        <f t="shared" si="90"/>
        <v>0.46248</v>
      </c>
      <c r="AR50" s="61">
        <f t="shared" si="91"/>
        <v>50128320000</v>
      </c>
      <c r="AS50" s="61">
        <f t="shared" si="51"/>
        <v>0.46248</v>
      </c>
      <c r="AT50" s="61">
        <f t="shared" si="52"/>
        <v>0.23869935483870966</v>
      </c>
      <c r="AU50" s="63">
        <f t="shared" si="53"/>
        <v>0.32425320156195786</v>
      </c>
      <c r="AV50" s="63">
        <f t="shared" si="92"/>
        <v>5.7781396347908909E-2</v>
      </c>
      <c r="AW50" s="63">
        <f t="shared" si="93"/>
        <v>2.9760000000000003E-3</v>
      </c>
      <c r="AX50" s="63">
        <f t="shared" si="94"/>
        <v>0.24299000000000001</v>
      </c>
      <c r="AY50" s="63">
        <f t="shared" si="95"/>
        <v>0.24596600000000002</v>
      </c>
      <c r="AZ50" s="63">
        <f t="shared" si="96"/>
        <v>2.9081127378511691</v>
      </c>
      <c r="BA50" s="64">
        <f t="shared" si="97"/>
        <v>89.3</v>
      </c>
      <c r="BB50" s="76">
        <f t="shared" si="54"/>
        <v>0.9684614221948239</v>
      </c>
      <c r="BC50" s="64">
        <f t="shared" si="55"/>
        <v>96.846142219482388</v>
      </c>
      <c r="BD50" s="63">
        <f t="shared" si="98"/>
        <v>1.6736350632371169</v>
      </c>
      <c r="BE50" s="63">
        <f t="shared" si="56"/>
        <v>0.9304306650576577</v>
      </c>
      <c r="BF50" s="63">
        <f t="shared" si="99"/>
        <v>0.60617746349569979</v>
      </c>
      <c r="BG50" s="63">
        <f t="shared" si="100"/>
        <v>0.32425320156195786</v>
      </c>
      <c r="BH50" s="63">
        <f t="shared" si="101"/>
        <v>5.7781396347908909E-2</v>
      </c>
      <c r="BI50" s="63">
        <f t="shared" si="57"/>
        <v>0.24596600000000002</v>
      </c>
      <c r="BJ50" s="63">
        <f t="shared" si="58"/>
        <v>2.7286777359904511E-4</v>
      </c>
      <c r="BK50" s="63">
        <f t="shared" si="59"/>
        <v>2.6745434886151056E-5</v>
      </c>
      <c r="BL50" s="63">
        <f t="shared" si="60"/>
        <v>2.9081127378511691</v>
      </c>
    </row>
    <row r="51" spans="3:70" x14ac:dyDescent="0.25">
      <c r="C51" s="61">
        <v>39</v>
      </c>
      <c r="D51" s="61">
        <f t="shared" si="61"/>
        <v>100</v>
      </c>
      <c r="E51" s="61">
        <f t="shared" si="62"/>
        <v>100</v>
      </c>
      <c r="F51" s="61">
        <f t="shared" si="63"/>
        <v>100</v>
      </c>
      <c r="G51" s="73">
        <f t="shared" si="64"/>
        <v>24</v>
      </c>
      <c r="H51" s="64">
        <f t="shared" si="65"/>
        <v>1</v>
      </c>
      <c r="I51" s="63">
        <f t="shared" si="102"/>
        <v>3.9</v>
      </c>
      <c r="J51" s="65">
        <f t="shared" si="66"/>
        <v>8.3533953124311573E-4</v>
      </c>
      <c r="K51" s="65">
        <f t="shared" si="67"/>
        <v>8.3533953124311573E-4</v>
      </c>
      <c r="L51" s="65">
        <f t="shared" si="68"/>
        <v>5.097492818882457E-3</v>
      </c>
      <c r="M51" s="65">
        <f t="shared" si="69"/>
        <v>4.0000000000000001E-3</v>
      </c>
      <c r="N51" s="63">
        <f t="shared" si="70"/>
        <v>0.98078075192356218</v>
      </c>
      <c r="O51" s="64">
        <f t="shared" si="71"/>
        <v>0.25336625928492218</v>
      </c>
      <c r="P51" s="64">
        <f t="shared" si="72"/>
        <v>4.0266831296424606</v>
      </c>
      <c r="Q51" s="64">
        <f t="shared" si="73"/>
        <v>3.7733168703575388</v>
      </c>
      <c r="R51" s="64">
        <f t="shared" si="74"/>
        <v>0</v>
      </c>
      <c r="S51" s="64">
        <f t="shared" si="75"/>
        <v>3.9006857779684507</v>
      </c>
      <c r="T51" s="63">
        <f t="shared" si="42"/>
        <v>7.7560135009011613E-2</v>
      </c>
      <c r="U51" s="63">
        <f t="shared" si="76"/>
        <v>1.6</v>
      </c>
      <c r="V51" s="63">
        <f t="shared" si="43"/>
        <v>1.6775601350090117</v>
      </c>
      <c r="W51" s="64">
        <f t="shared" si="44"/>
        <v>7.3140539000859178E-2</v>
      </c>
      <c r="X51" s="63">
        <f t="shared" si="77"/>
        <v>2.6747692226681015E-5</v>
      </c>
      <c r="Y51" s="63">
        <f t="shared" si="45"/>
        <v>2.6747692226681015E-5</v>
      </c>
      <c r="Z51" s="64">
        <f t="shared" si="78"/>
        <v>0.53554396569808405</v>
      </c>
      <c r="AA51" s="74">
        <f t="shared" si="79"/>
        <v>2.868073391956306E-4</v>
      </c>
      <c r="AB51" s="75">
        <f t="shared" si="46"/>
        <v>2.868073391956306E-4</v>
      </c>
      <c r="AC51" s="63">
        <f t="shared" si="80"/>
        <v>3.863019798175547</v>
      </c>
      <c r="AD51" s="63">
        <f t="shared" si="47"/>
        <v>1.2465706635759733E-2</v>
      </c>
      <c r="AE51" s="63">
        <f t="shared" si="81"/>
        <v>1.6255672962165329E-2</v>
      </c>
      <c r="AF51" s="63">
        <f t="shared" si="82"/>
        <v>0.33485120134487745</v>
      </c>
      <c r="AG51" s="63">
        <f t="shared" si="83"/>
        <v>4.0608000000000005E-2</v>
      </c>
      <c r="AH51" s="63">
        <f t="shared" si="84"/>
        <v>0</v>
      </c>
      <c r="AI51" s="63">
        <f t="shared" si="48"/>
        <v>0.22378064516129031</v>
      </c>
      <c r="AJ51" s="63">
        <f t="shared" si="49"/>
        <v>0.61549551946833314</v>
      </c>
      <c r="AK51" s="63">
        <f t="shared" si="85"/>
        <v>0.54076573241015813</v>
      </c>
      <c r="AL51" s="63">
        <f t="shared" si="86"/>
        <v>2.4427631538535279E-4</v>
      </c>
      <c r="AM51" s="63">
        <f t="shared" si="87"/>
        <v>3.1757844907051808E-4</v>
      </c>
      <c r="AN51" s="63">
        <f t="shared" si="88"/>
        <v>8.7507671432544357E-2</v>
      </c>
      <c r="AO51" s="63">
        <f t="shared" si="89"/>
        <v>486.10511480778382</v>
      </c>
      <c r="AP51" s="63">
        <f t="shared" si="50"/>
        <v>8.7507671432544357E-2</v>
      </c>
      <c r="AQ51" s="61">
        <f t="shared" si="90"/>
        <v>0.46248</v>
      </c>
      <c r="AR51" s="61">
        <f t="shared" si="91"/>
        <v>50128320000</v>
      </c>
      <c r="AS51" s="61">
        <f t="shared" si="51"/>
        <v>0.46248</v>
      </c>
      <c r="AT51" s="61">
        <f t="shared" si="52"/>
        <v>0.23869935483870966</v>
      </c>
      <c r="AU51" s="63">
        <f t="shared" si="53"/>
        <v>0.32652460472032452</v>
      </c>
      <c r="AV51" s="63">
        <f t="shared" si="92"/>
        <v>6.0861398153781353E-2</v>
      </c>
      <c r="AW51" s="63">
        <f t="shared" si="93"/>
        <v>2.9760000000000003E-3</v>
      </c>
      <c r="AX51" s="63">
        <f t="shared" si="94"/>
        <v>0.24299000000000001</v>
      </c>
      <c r="AY51" s="63">
        <f t="shared" si="95"/>
        <v>0.24596600000000002</v>
      </c>
      <c r="AZ51" s="63">
        <f t="shared" si="96"/>
        <v>2.9267212123828732</v>
      </c>
      <c r="BA51" s="64">
        <f t="shared" si="97"/>
        <v>91.649999999999991</v>
      </c>
      <c r="BB51" s="76">
        <f t="shared" si="54"/>
        <v>0.96905452869516817</v>
      </c>
      <c r="BC51" s="64">
        <f t="shared" si="55"/>
        <v>96.905452869516822</v>
      </c>
      <c r="BD51" s="63">
        <f t="shared" si="98"/>
        <v>1.6775601350090117</v>
      </c>
      <c r="BE51" s="63">
        <f t="shared" si="56"/>
        <v>0.94202012418865766</v>
      </c>
      <c r="BF51" s="63">
        <f t="shared" si="99"/>
        <v>0.61549551946833314</v>
      </c>
      <c r="BG51" s="63">
        <f t="shared" si="100"/>
        <v>0.32652460472032452</v>
      </c>
      <c r="BH51" s="63">
        <f t="shared" si="101"/>
        <v>6.0861398153781353E-2</v>
      </c>
      <c r="BI51" s="63">
        <f t="shared" si="57"/>
        <v>0.24596600000000002</v>
      </c>
      <c r="BJ51" s="63">
        <f t="shared" si="58"/>
        <v>2.868073391956306E-4</v>
      </c>
      <c r="BK51" s="63">
        <f t="shared" si="59"/>
        <v>2.6747692226681015E-5</v>
      </c>
      <c r="BL51" s="63">
        <f t="shared" si="60"/>
        <v>2.9267212123828736</v>
      </c>
    </row>
    <row r="52" spans="3:70" s="81" customFormat="1" x14ac:dyDescent="0.25">
      <c r="C52" s="81">
        <v>40</v>
      </c>
      <c r="D52" s="61">
        <f t="shared" si="61"/>
        <v>100</v>
      </c>
      <c r="E52" s="61">
        <f t="shared" si="62"/>
        <v>100</v>
      </c>
      <c r="F52" s="61">
        <f t="shared" si="63"/>
        <v>100</v>
      </c>
      <c r="G52" s="89">
        <f t="shared" si="64"/>
        <v>24</v>
      </c>
      <c r="H52" s="85">
        <f t="shared" si="65"/>
        <v>1</v>
      </c>
      <c r="I52" s="86">
        <f t="shared" si="102"/>
        <v>4</v>
      </c>
      <c r="J52" s="90">
        <f t="shared" si="66"/>
        <v>8.3533953124311573E-4</v>
      </c>
      <c r="K52" s="90">
        <f t="shared" si="67"/>
        <v>8.3533953124311573E-4</v>
      </c>
      <c r="L52" s="90">
        <f t="shared" si="68"/>
        <v>5.097492818882457E-3</v>
      </c>
      <c r="M52" s="90">
        <f t="shared" si="69"/>
        <v>4.0000000000000001E-3</v>
      </c>
      <c r="N52" s="86">
        <f t="shared" si="70"/>
        <v>0.980822138725021</v>
      </c>
      <c r="O52" s="85">
        <f t="shared" si="71"/>
        <v>0.25337695078661493</v>
      </c>
      <c r="P52" s="85">
        <f t="shared" si="72"/>
        <v>4.1266884753933075</v>
      </c>
      <c r="Q52" s="85">
        <f t="shared" si="73"/>
        <v>3.8733115246066925</v>
      </c>
      <c r="R52" s="85">
        <f t="shared" si="74"/>
        <v>0</v>
      </c>
      <c r="S52" s="85">
        <f t="shared" si="75"/>
        <v>4.0006686928477961</v>
      </c>
      <c r="T52" s="86">
        <f t="shared" si="42"/>
        <v>8.1587156637381295E-2</v>
      </c>
      <c r="U52" s="86">
        <f t="shared" si="76"/>
        <v>1.6</v>
      </c>
      <c r="V52" s="86">
        <f t="shared" si="43"/>
        <v>1.6815871566373815</v>
      </c>
      <c r="W52" s="85">
        <f t="shared" si="44"/>
        <v>7.3143625371549351E-2</v>
      </c>
      <c r="X52" s="86">
        <f t="shared" si="77"/>
        <v>2.6749949662467789E-5</v>
      </c>
      <c r="Y52" s="86">
        <f t="shared" si="45"/>
        <v>2.6749949662467789E-5</v>
      </c>
      <c r="Z52" s="85">
        <f t="shared" si="78"/>
        <v>0.5486909588104717</v>
      </c>
      <c r="AA52" s="88">
        <f t="shared" si="79"/>
        <v>3.0106176828035474E-4</v>
      </c>
      <c r="AB52" s="87">
        <f t="shared" si="46"/>
        <v>3.0106176828035474E-4</v>
      </c>
      <c r="AC52" s="86">
        <f t="shared" si="80"/>
        <v>3.9621208472443241</v>
      </c>
      <c r="AD52" s="86">
        <f t="shared" si="47"/>
        <v>1.3113495440633298E-2</v>
      </c>
      <c r="AE52" s="86">
        <f t="shared" si="81"/>
        <v>1.7103166080847842E-2</v>
      </c>
      <c r="AF52" s="86">
        <f t="shared" si="82"/>
        <v>0.34334353473591983</v>
      </c>
      <c r="AG52" s="86">
        <f t="shared" si="83"/>
        <v>4.0608000000000005E-2</v>
      </c>
      <c r="AH52" s="86">
        <f t="shared" si="84"/>
        <v>0</v>
      </c>
      <c r="AI52" s="63">
        <f t="shared" si="48"/>
        <v>0.22378064516129031</v>
      </c>
      <c r="AJ52" s="63">
        <f t="shared" si="49"/>
        <v>0.62483534597805801</v>
      </c>
      <c r="AK52" s="86">
        <f t="shared" si="85"/>
        <v>0.55402922464831394</v>
      </c>
      <c r="AL52" s="86">
        <f t="shared" si="86"/>
        <v>2.5640611733891678E-4</v>
      </c>
      <c r="AM52" s="86">
        <f t="shared" si="87"/>
        <v>3.3334914978537311E-4</v>
      </c>
      <c r="AN52" s="86">
        <f t="shared" si="88"/>
        <v>8.9763651332521177E-2</v>
      </c>
      <c r="AO52" s="86">
        <f t="shared" si="89"/>
        <v>498.63708315215507</v>
      </c>
      <c r="AP52" s="86">
        <f t="shared" si="50"/>
        <v>8.9763651332521177E-2</v>
      </c>
      <c r="AQ52" s="81">
        <f t="shared" si="90"/>
        <v>0.46248</v>
      </c>
      <c r="AR52" s="81">
        <f t="shared" si="91"/>
        <v>50128320000</v>
      </c>
      <c r="AS52" s="81">
        <f t="shared" si="51"/>
        <v>0.46248</v>
      </c>
      <c r="AT52" s="61">
        <f t="shared" si="52"/>
        <v>0.23869935483870966</v>
      </c>
      <c r="AU52" s="63">
        <f t="shared" si="53"/>
        <v>0.3287963553210162</v>
      </c>
      <c r="AV52" s="86">
        <f t="shared" si="92"/>
        <v>6.4021399959729983E-2</v>
      </c>
      <c r="AW52" s="86">
        <f t="shared" si="93"/>
        <v>2.9760000000000003E-3</v>
      </c>
      <c r="AX52" s="86">
        <f t="shared" si="94"/>
        <v>0.24299000000000001</v>
      </c>
      <c r="AY52" s="86">
        <f t="shared" si="95"/>
        <v>0.24596600000000002</v>
      </c>
      <c r="AZ52" s="86">
        <f t="shared" si="96"/>
        <v>2.945534069614129</v>
      </c>
      <c r="BA52" s="85">
        <f t="shared" si="97"/>
        <v>94</v>
      </c>
      <c r="BB52" s="91">
        <f t="shared" si="54"/>
        <v>0.96961660897655155</v>
      </c>
      <c r="BC52" s="85">
        <f t="shared" si="55"/>
        <v>96.96166089765515</v>
      </c>
      <c r="BD52" s="86">
        <f t="shared" si="98"/>
        <v>1.6815871566373815</v>
      </c>
      <c r="BE52" s="86">
        <f t="shared" si="56"/>
        <v>0.95363170129907426</v>
      </c>
      <c r="BF52" s="86">
        <f t="shared" si="99"/>
        <v>0.62483534597805801</v>
      </c>
      <c r="BG52" s="86">
        <f t="shared" si="100"/>
        <v>0.3287963553210162</v>
      </c>
      <c r="BH52" s="86">
        <f t="shared" si="101"/>
        <v>6.4021399959729983E-2</v>
      </c>
      <c r="BI52" s="86">
        <f t="shared" si="57"/>
        <v>0.24596600000000002</v>
      </c>
      <c r="BJ52" s="86">
        <f t="shared" si="58"/>
        <v>3.0106176828035474E-4</v>
      </c>
      <c r="BK52" s="86">
        <f t="shared" si="59"/>
        <v>2.6749949662467789E-5</v>
      </c>
      <c r="BL52" s="86">
        <f t="shared" si="60"/>
        <v>2.9455340696141286</v>
      </c>
    </row>
    <row r="53" spans="3:70" x14ac:dyDescent="0.25">
      <c r="C53" s="61">
        <v>41</v>
      </c>
      <c r="D53" s="61">
        <f t="shared" si="61"/>
        <v>100</v>
      </c>
      <c r="E53" s="61">
        <f t="shared" si="62"/>
        <v>100</v>
      </c>
      <c r="F53" s="61">
        <f t="shared" si="63"/>
        <v>100</v>
      </c>
      <c r="G53" s="73">
        <f t="shared" si="64"/>
        <v>24</v>
      </c>
      <c r="H53" s="64">
        <f t="shared" si="65"/>
        <v>1</v>
      </c>
      <c r="I53" s="63">
        <f t="shared" si="102"/>
        <v>4.0999999999999996</v>
      </c>
      <c r="J53" s="65">
        <f t="shared" si="66"/>
        <v>8.3533953124311573E-4</v>
      </c>
      <c r="K53" s="65">
        <f t="shared" si="67"/>
        <v>8.3533953124311573E-4</v>
      </c>
      <c r="L53" s="65">
        <f t="shared" si="68"/>
        <v>5.097492818882457E-3</v>
      </c>
      <c r="M53" s="65">
        <f t="shared" si="69"/>
        <v>4.0000000000000001E-3</v>
      </c>
      <c r="N53" s="63">
        <f t="shared" si="70"/>
        <v>0.98086352552647982</v>
      </c>
      <c r="O53" s="64">
        <f t="shared" si="71"/>
        <v>0.25338764228830762</v>
      </c>
      <c r="P53" s="64">
        <f t="shared" si="72"/>
        <v>4.2266938211441536</v>
      </c>
      <c r="Q53" s="64">
        <f t="shared" si="73"/>
        <v>3.9733061788558457</v>
      </c>
      <c r="R53" s="64">
        <f t="shared" si="74"/>
        <v>0</v>
      </c>
      <c r="S53" s="64">
        <f t="shared" si="75"/>
        <v>4.1006524409462815</v>
      </c>
      <c r="T53" s="63">
        <f t="shared" si="42"/>
        <v>8.5716128122225704E-2</v>
      </c>
      <c r="U53" s="63">
        <f t="shared" si="76"/>
        <v>1.6</v>
      </c>
      <c r="V53" s="63">
        <f t="shared" si="43"/>
        <v>1.6857161281222257</v>
      </c>
      <c r="W53" s="64">
        <f t="shared" si="44"/>
        <v>7.3146711742239509E-2</v>
      </c>
      <c r="X53" s="63">
        <f t="shared" si="77"/>
        <v>2.6752207193511399E-5</v>
      </c>
      <c r="Y53" s="63">
        <f t="shared" si="45"/>
        <v>2.6752207193511399E-5</v>
      </c>
      <c r="Z53" s="64">
        <f t="shared" si="78"/>
        <v>0.56180838804181354</v>
      </c>
      <c r="AA53" s="74">
        <f t="shared" si="79"/>
        <v>3.1562866487414091E-4</v>
      </c>
      <c r="AB53" s="75">
        <f t="shared" si="46"/>
        <v>3.1562866487414091E-4</v>
      </c>
      <c r="AC53" s="63">
        <f t="shared" si="80"/>
        <v>4.0612268979894255</v>
      </c>
      <c r="AD53" s="63">
        <f t="shared" si="47"/>
        <v>1.3777725950915731E-2</v>
      </c>
      <c r="AE53" s="63">
        <f t="shared" si="81"/>
        <v>1.7972453381454562E-2</v>
      </c>
      <c r="AF53" s="63">
        <f t="shared" si="82"/>
        <v>0.35183586812696221</v>
      </c>
      <c r="AG53" s="63">
        <f t="shared" si="83"/>
        <v>4.0608000000000005E-2</v>
      </c>
      <c r="AH53" s="63">
        <f t="shared" si="84"/>
        <v>0</v>
      </c>
      <c r="AI53" s="63">
        <f t="shared" si="48"/>
        <v>0.22378064516129031</v>
      </c>
      <c r="AJ53" s="63">
        <f t="shared" si="49"/>
        <v>0.63419696666970715</v>
      </c>
      <c r="AK53" s="63">
        <f t="shared" si="85"/>
        <v>0.56726230659712251</v>
      </c>
      <c r="AL53" s="63">
        <f t="shared" si="86"/>
        <v>2.6880100452439295E-4</v>
      </c>
      <c r="AM53" s="63">
        <f t="shared" si="87"/>
        <v>3.4946460211786236E-4</v>
      </c>
      <c r="AN53" s="63">
        <f t="shared" si="88"/>
        <v>9.2019631232497984E-2</v>
      </c>
      <c r="AO53" s="63">
        <f t="shared" si="89"/>
        <v>511.16905149652627</v>
      </c>
      <c r="AP53" s="63">
        <f t="shared" si="50"/>
        <v>9.2019631232497984E-2</v>
      </c>
      <c r="AQ53" s="61">
        <f t="shared" si="90"/>
        <v>0.46248</v>
      </c>
      <c r="AR53" s="61">
        <f t="shared" si="91"/>
        <v>50128320000</v>
      </c>
      <c r="AS53" s="61">
        <f t="shared" si="51"/>
        <v>0.46248</v>
      </c>
      <c r="AT53" s="61">
        <f t="shared" si="52"/>
        <v>0.23869935483870966</v>
      </c>
      <c r="AU53" s="63">
        <f t="shared" si="53"/>
        <v>0.33106845067332552</v>
      </c>
      <c r="AV53" s="63">
        <f t="shared" si="92"/>
        <v>6.7261401765754791E-2</v>
      </c>
      <c r="AW53" s="63">
        <f t="shared" si="93"/>
        <v>2.9760000000000003E-3</v>
      </c>
      <c r="AX53" s="63">
        <f t="shared" si="94"/>
        <v>0.24299000000000001</v>
      </c>
      <c r="AY53" s="63">
        <f t="shared" si="95"/>
        <v>0.24596600000000002</v>
      </c>
      <c r="AZ53" s="63">
        <f t="shared" si="96"/>
        <v>2.9645513281030809</v>
      </c>
      <c r="BA53" s="64">
        <f t="shared" si="97"/>
        <v>96.35</v>
      </c>
      <c r="BB53" s="76">
        <f t="shared" si="54"/>
        <v>0.97014987946419684</v>
      </c>
      <c r="BC53" s="64">
        <f t="shared" si="55"/>
        <v>97.01498794641968</v>
      </c>
      <c r="BD53" s="63">
        <f t="shared" si="98"/>
        <v>1.6857161281222257</v>
      </c>
      <c r="BE53" s="63">
        <f t="shared" si="56"/>
        <v>0.96526541734303262</v>
      </c>
      <c r="BF53" s="63">
        <f t="shared" si="99"/>
        <v>0.63419696666970715</v>
      </c>
      <c r="BG53" s="63">
        <f t="shared" si="100"/>
        <v>0.33106845067332552</v>
      </c>
      <c r="BH53" s="63">
        <f t="shared" si="101"/>
        <v>6.7261401765754791E-2</v>
      </c>
      <c r="BI53" s="63">
        <f t="shared" si="57"/>
        <v>0.24596600000000002</v>
      </c>
      <c r="BJ53" s="63">
        <f t="shared" si="58"/>
        <v>3.1562866487414091E-4</v>
      </c>
      <c r="BK53" s="63">
        <f t="shared" si="59"/>
        <v>2.6752207193511399E-5</v>
      </c>
      <c r="BL53" s="63">
        <f t="shared" si="60"/>
        <v>2.9645513281030809</v>
      </c>
    </row>
    <row r="54" spans="3:70" x14ac:dyDescent="0.25">
      <c r="C54" s="61">
        <v>42</v>
      </c>
      <c r="D54" s="61">
        <f t="shared" si="61"/>
        <v>100</v>
      </c>
      <c r="E54" s="61">
        <f t="shared" si="62"/>
        <v>100</v>
      </c>
      <c r="F54" s="61">
        <f t="shared" si="63"/>
        <v>100</v>
      </c>
      <c r="G54" s="73">
        <f t="shared" si="64"/>
        <v>24</v>
      </c>
      <c r="H54" s="64">
        <f t="shared" si="65"/>
        <v>1</v>
      </c>
      <c r="I54" s="63">
        <f t="shared" si="102"/>
        <v>4.2</v>
      </c>
      <c r="J54" s="65">
        <f t="shared" si="66"/>
        <v>8.3533953124311573E-4</v>
      </c>
      <c r="K54" s="65">
        <f t="shared" si="67"/>
        <v>8.3533953124311573E-4</v>
      </c>
      <c r="L54" s="65">
        <f t="shared" si="68"/>
        <v>5.097492818882457E-3</v>
      </c>
      <c r="M54" s="65">
        <f t="shared" si="69"/>
        <v>4.0000000000000001E-3</v>
      </c>
      <c r="N54" s="63">
        <f t="shared" si="70"/>
        <v>0.98090491232793864</v>
      </c>
      <c r="O54" s="64">
        <f t="shared" si="71"/>
        <v>0.25339833379000037</v>
      </c>
      <c r="P54" s="64">
        <f t="shared" si="72"/>
        <v>4.3266991668950006</v>
      </c>
      <c r="Q54" s="64">
        <f t="shared" si="73"/>
        <v>4.0733008331049998</v>
      </c>
      <c r="R54" s="64">
        <f t="shared" si="74"/>
        <v>0</v>
      </c>
      <c r="S54" s="64">
        <f t="shared" si="75"/>
        <v>4.2006369627669518</v>
      </c>
      <c r="T54" s="63">
        <f t="shared" si="42"/>
        <v>8.994704946354494E-2</v>
      </c>
      <c r="U54" s="63">
        <f t="shared" si="76"/>
        <v>1.6</v>
      </c>
      <c r="V54" s="63">
        <f t="shared" si="43"/>
        <v>1.6899470494635451</v>
      </c>
      <c r="W54" s="64">
        <f t="shared" si="44"/>
        <v>7.3149798112929681E-2</v>
      </c>
      <c r="X54" s="63">
        <f t="shared" si="77"/>
        <v>2.6754464819811857E-5</v>
      </c>
      <c r="Y54" s="63">
        <f t="shared" si="45"/>
        <v>2.6754464819811857E-5</v>
      </c>
      <c r="Z54" s="64">
        <f t="shared" si="78"/>
        <v>0.57489619287905225</v>
      </c>
      <c r="AA54" s="74">
        <f t="shared" si="79"/>
        <v>3.3050563258682849E-4</v>
      </c>
      <c r="AB54" s="75">
        <f t="shared" si="46"/>
        <v>3.3050563258682849E-4</v>
      </c>
      <c r="AC54" s="63">
        <f t="shared" si="80"/>
        <v>4.160337891404799</v>
      </c>
      <c r="AD54" s="63">
        <f t="shared" si="47"/>
        <v>1.445840024092891E-2</v>
      </c>
      <c r="AE54" s="63">
        <f t="shared" si="81"/>
        <v>1.8863559061152474E-2</v>
      </c>
      <c r="AF54" s="63">
        <f t="shared" si="82"/>
        <v>0.36032820151800454</v>
      </c>
      <c r="AG54" s="63">
        <f t="shared" si="83"/>
        <v>4.0608000000000005E-2</v>
      </c>
      <c r="AH54" s="63">
        <f t="shared" si="84"/>
        <v>0</v>
      </c>
      <c r="AI54" s="63">
        <f t="shared" si="48"/>
        <v>0.22378064516129031</v>
      </c>
      <c r="AJ54" s="63">
        <f t="shared" si="49"/>
        <v>0.64358040574044728</v>
      </c>
      <c r="AK54" s="63">
        <f t="shared" si="85"/>
        <v>0.5804649190997101</v>
      </c>
      <c r="AL54" s="63">
        <f t="shared" si="86"/>
        <v>2.8145890261989972E-4</v>
      </c>
      <c r="AM54" s="63">
        <f t="shared" si="87"/>
        <v>3.6592211543105894E-4</v>
      </c>
      <c r="AN54" s="63">
        <f t="shared" si="88"/>
        <v>9.4275611132474818E-2</v>
      </c>
      <c r="AO54" s="63">
        <f t="shared" si="89"/>
        <v>523.70101984089752</v>
      </c>
      <c r="AP54" s="63">
        <f t="shared" si="50"/>
        <v>9.4275611132474818E-2</v>
      </c>
      <c r="AQ54" s="61">
        <f t="shared" si="90"/>
        <v>0.46248</v>
      </c>
      <c r="AR54" s="61">
        <f t="shared" si="91"/>
        <v>50128320000</v>
      </c>
      <c r="AS54" s="61">
        <f t="shared" si="51"/>
        <v>0.46248</v>
      </c>
      <c r="AT54" s="61">
        <f t="shared" si="52"/>
        <v>0.23869935483870966</v>
      </c>
      <c r="AU54" s="63">
        <f t="shared" si="53"/>
        <v>0.33334088808661555</v>
      </c>
      <c r="AV54" s="63">
        <f t="shared" si="92"/>
        <v>7.0581403571855841E-2</v>
      </c>
      <c r="AW54" s="63">
        <f t="shared" si="93"/>
        <v>2.9760000000000003E-3</v>
      </c>
      <c r="AX54" s="63">
        <f t="shared" si="94"/>
        <v>0.24299000000000001</v>
      </c>
      <c r="AY54" s="63">
        <f t="shared" si="95"/>
        <v>0.24596600000000002</v>
      </c>
      <c r="AZ54" s="63">
        <f t="shared" si="96"/>
        <v>2.9837730069598702</v>
      </c>
      <c r="BA54" s="64">
        <f t="shared" si="97"/>
        <v>98.7</v>
      </c>
      <c r="BB54" s="76">
        <f t="shared" si="54"/>
        <v>0.97065635038192732</v>
      </c>
      <c r="BC54" s="64">
        <f t="shared" si="55"/>
        <v>97.065635038192738</v>
      </c>
      <c r="BD54" s="63">
        <f t="shared" si="98"/>
        <v>1.6899470494635451</v>
      </c>
      <c r="BE54" s="63">
        <f t="shared" si="56"/>
        <v>0.97692129382706283</v>
      </c>
      <c r="BF54" s="63">
        <f t="shared" si="99"/>
        <v>0.64358040574044728</v>
      </c>
      <c r="BG54" s="63">
        <f t="shared" si="100"/>
        <v>0.33334088808661555</v>
      </c>
      <c r="BH54" s="63">
        <f t="shared" si="101"/>
        <v>7.0581403571855841E-2</v>
      </c>
      <c r="BI54" s="63">
        <f t="shared" si="57"/>
        <v>0.24596600000000002</v>
      </c>
      <c r="BJ54" s="63">
        <f t="shared" si="58"/>
        <v>3.3050563258682849E-4</v>
      </c>
      <c r="BK54" s="63">
        <f t="shared" si="59"/>
        <v>2.6754464819811857E-5</v>
      </c>
      <c r="BL54" s="63">
        <f t="shared" si="60"/>
        <v>2.9837730069598707</v>
      </c>
    </row>
    <row r="55" spans="3:70" x14ac:dyDescent="0.25">
      <c r="C55" s="61">
        <v>43</v>
      </c>
      <c r="D55" s="61">
        <f t="shared" si="61"/>
        <v>100</v>
      </c>
      <c r="E55" s="61">
        <f t="shared" si="62"/>
        <v>100</v>
      </c>
      <c r="F55" s="61">
        <f t="shared" si="63"/>
        <v>100</v>
      </c>
      <c r="G55" s="73">
        <f t="shared" si="64"/>
        <v>24</v>
      </c>
      <c r="H55" s="64">
        <f t="shared" si="65"/>
        <v>1</v>
      </c>
      <c r="I55" s="63">
        <f t="shared" si="102"/>
        <v>4.3</v>
      </c>
      <c r="J55" s="65">
        <f t="shared" si="66"/>
        <v>8.3533953124311573E-4</v>
      </c>
      <c r="K55" s="65">
        <f t="shared" si="67"/>
        <v>8.3533953124311573E-4</v>
      </c>
      <c r="L55" s="65">
        <f t="shared" si="68"/>
        <v>5.097492818882457E-3</v>
      </c>
      <c r="M55" s="65">
        <f t="shared" si="69"/>
        <v>4.0000000000000001E-3</v>
      </c>
      <c r="N55" s="63">
        <f t="shared" si="70"/>
        <v>0.98094629912939757</v>
      </c>
      <c r="O55" s="64">
        <f t="shared" si="71"/>
        <v>0.25340902529169312</v>
      </c>
      <c r="P55" s="64">
        <f t="shared" si="72"/>
        <v>4.4267045126458466</v>
      </c>
      <c r="Q55" s="64">
        <f t="shared" si="73"/>
        <v>4.173295487354153</v>
      </c>
      <c r="R55" s="64">
        <f t="shared" si="74"/>
        <v>0</v>
      </c>
      <c r="S55" s="64">
        <f t="shared" si="75"/>
        <v>4.3006222043453519</v>
      </c>
      <c r="T55" s="63">
        <f t="shared" si="42"/>
        <v>9.4279920661338931E-2</v>
      </c>
      <c r="U55" s="63">
        <f t="shared" si="76"/>
        <v>1.6</v>
      </c>
      <c r="V55" s="63">
        <f t="shared" si="43"/>
        <v>1.694279920661339</v>
      </c>
      <c r="W55" s="64">
        <f t="shared" si="44"/>
        <v>7.3152884483619854E-2</v>
      </c>
      <c r="X55" s="63">
        <f t="shared" si="77"/>
        <v>2.6756722541369153E-5</v>
      </c>
      <c r="Y55" s="63">
        <f t="shared" si="45"/>
        <v>2.6756722541369153E-5</v>
      </c>
      <c r="Z55" s="64">
        <f t="shared" si="78"/>
        <v>0.5879543133757632</v>
      </c>
      <c r="AA55" s="74">
        <f t="shared" si="79"/>
        <v>3.4569027461716517E-4</v>
      </c>
      <c r="AB55" s="75">
        <f t="shared" si="46"/>
        <v>3.4569027461716517E-4</v>
      </c>
      <c r="AC55" s="63">
        <f t="shared" si="80"/>
        <v>4.2594537739589704</v>
      </c>
      <c r="AD55" s="63">
        <f t="shared" si="47"/>
        <v>1.5155520384994715E-2</v>
      </c>
      <c r="AE55" s="63">
        <f t="shared" si="81"/>
        <v>1.9776507871002512E-2</v>
      </c>
      <c r="AF55" s="63">
        <f t="shared" si="82"/>
        <v>0.36882053490904687</v>
      </c>
      <c r="AG55" s="63">
        <f t="shared" si="83"/>
        <v>4.0608000000000005E-2</v>
      </c>
      <c r="AH55" s="63">
        <f t="shared" si="84"/>
        <v>0</v>
      </c>
      <c r="AI55" s="63">
        <f t="shared" si="48"/>
        <v>0.22378064516129031</v>
      </c>
      <c r="AJ55" s="63">
        <f t="shared" si="49"/>
        <v>0.6529856879413396</v>
      </c>
      <c r="AK55" s="63">
        <f t="shared" si="85"/>
        <v>0.59363700357622184</v>
      </c>
      <c r="AL55" s="63">
        <f t="shared" si="86"/>
        <v>2.9437773730355351E-4</v>
      </c>
      <c r="AM55" s="63">
        <f t="shared" si="87"/>
        <v>3.8271899915496215E-4</v>
      </c>
      <c r="AN55" s="63">
        <f t="shared" si="88"/>
        <v>9.6531591032451625E-2</v>
      </c>
      <c r="AO55" s="63">
        <f t="shared" si="89"/>
        <v>536.23298818526871</v>
      </c>
      <c r="AP55" s="63">
        <f t="shared" si="50"/>
        <v>9.6531591032451625E-2</v>
      </c>
      <c r="AQ55" s="61">
        <f t="shared" si="90"/>
        <v>0.46248</v>
      </c>
      <c r="AR55" s="61">
        <f t="shared" si="91"/>
        <v>50128320000</v>
      </c>
      <c r="AS55" s="61">
        <f t="shared" si="51"/>
        <v>0.46248</v>
      </c>
      <c r="AT55" s="61">
        <f t="shared" si="52"/>
        <v>0.23869935483870966</v>
      </c>
      <c r="AU55" s="63">
        <f t="shared" si="53"/>
        <v>0.33561366487031624</v>
      </c>
      <c r="AV55" s="63">
        <f t="shared" si="92"/>
        <v>7.3981405378033105E-2</v>
      </c>
      <c r="AW55" s="63">
        <f t="shared" si="93"/>
        <v>2.9760000000000003E-3</v>
      </c>
      <c r="AX55" s="63">
        <f t="shared" si="94"/>
        <v>0.24299000000000001</v>
      </c>
      <c r="AY55" s="63">
        <f t="shared" si="95"/>
        <v>0.24596600000000002</v>
      </c>
      <c r="AZ55" s="63">
        <f t="shared" si="96"/>
        <v>3.0031991258481865</v>
      </c>
      <c r="BA55" s="64">
        <f t="shared" si="97"/>
        <v>101.05</v>
      </c>
      <c r="BB55" s="76">
        <f t="shared" si="54"/>
        <v>0.97113784918601176</v>
      </c>
      <c r="BC55" s="64">
        <f t="shared" si="55"/>
        <v>97.113784918601169</v>
      </c>
      <c r="BD55" s="63">
        <f t="shared" si="98"/>
        <v>1.694279920661339</v>
      </c>
      <c r="BE55" s="63">
        <f t="shared" si="56"/>
        <v>0.9885993528116559</v>
      </c>
      <c r="BF55" s="63">
        <f t="shared" si="99"/>
        <v>0.6529856879413396</v>
      </c>
      <c r="BG55" s="63">
        <f t="shared" si="100"/>
        <v>0.33561366487031624</v>
      </c>
      <c r="BH55" s="63">
        <f t="shared" si="101"/>
        <v>7.3981405378033105E-2</v>
      </c>
      <c r="BI55" s="63">
        <f t="shared" si="57"/>
        <v>0.24596600000000002</v>
      </c>
      <c r="BJ55" s="63">
        <f t="shared" si="58"/>
        <v>3.4569027461716517E-4</v>
      </c>
      <c r="BK55" s="63">
        <f t="shared" si="59"/>
        <v>2.6756722541369153E-5</v>
      </c>
      <c r="BL55" s="63">
        <f t="shared" si="60"/>
        <v>3.0031991258481865</v>
      </c>
    </row>
    <row r="56" spans="3:70" x14ac:dyDescent="0.25">
      <c r="C56" s="61">
        <v>44</v>
      </c>
      <c r="D56" s="61">
        <f t="shared" si="61"/>
        <v>100</v>
      </c>
      <c r="E56" s="61">
        <f t="shared" si="62"/>
        <v>100</v>
      </c>
      <c r="F56" s="61">
        <f t="shared" si="63"/>
        <v>100</v>
      </c>
      <c r="G56" s="73">
        <f t="shared" si="64"/>
        <v>24</v>
      </c>
      <c r="H56" s="64">
        <f t="shared" si="65"/>
        <v>1</v>
      </c>
      <c r="I56" s="63">
        <f t="shared" si="102"/>
        <v>4.4000000000000004</v>
      </c>
      <c r="J56" s="65">
        <f t="shared" si="66"/>
        <v>8.3533953124311573E-4</v>
      </c>
      <c r="K56" s="65">
        <f t="shared" si="67"/>
        <v>8.3533953124311573E-4</v>
      </c>
      <c r="L56" s="65">
        <f t="shared" si="68"/>
        <v>5.097492818882457E-3</v>
      </c>
      <c r="M56" s="65">
        <f t="shared" si="69"/>
        <v>4.0000000000000001E-3</v>
      </c>
      <c r="N56" s="63">
        <f t="shared" si="70"/>
        <v>0.98098768593085639</v>
      </c>
      <c r="O56" s="64">
        <f t="shared" si="71"/>
        <v>0.25341971679338587</v>
      </c>
      <c r="P56" s="64">
        <f t="shared" si="72"/>
        <v>4.5267098583966936</v>
      </c>
      <c r="Q56" s="64">
        <f t="shared" si="73"/>
        <v>4.2732901416033071</v>
      </c>
      <c r="R56" s="64">
        <f t="shared" si="74"/>
        <v>0</v>
      </c>
      <c r="S56" s="64">
        <f t="shared" si="75"/>
        <v>4.4006081166211155</v>
      </c>
      <c r="T56" s="63">
        <f t="shared" si="42"/>
        <v>9.8714741715607693E-2</v>
      </c>
      <c r="U56" s="63">
        <f t="shared" si="76"/>
        <v>1.6</v>
      </c>
      <c r="V56" s="63">
        <f t="shared" si="43"/>
        <v>1.6987147417156079</v>
      </c>
      <c r="W56" s="64">
        <f t="shared" si="44"/>
        <v>7.315597085431004E-2</v>
      </c>
      <c r="X56" s="63">
        <f t="shared" si="77"/>
        <v>2.6758980358183299E-5</v>
      </c>
      <c r="Y56" s="63">
        <f t="shared" si="45"/>
        <v>2.6758980358183299E-5</v>
      </c>
      <c r="Z56" s="64">
        <f t="shared" si="78"/>
        <v>0.60098269006088512</v>
      </c>
      <c r="AA56" s="74">
        <f t="shared" si="79"/>
        <v>3.6118019375281789E-4</v>
      </c>
      <c r="AB56" s="75">
        <f t="shared" si="46"/>
        <v>3.6118019375281789E-4</v>
      </c>
      <c r="AC56" s="63">
        <f t="shared" si="80"/>
        <v>4.3585744969732101</v>
      </c>
      <c r="AD56" s="63">
        <f t="shared" si="47"/>
        <v>1.5869088457435038E-2</v>
      </c>
      <c r="AE56" s="63">
        <f t="shared" si="81"/>
        <v>2.0711325117555121E-2</v>
      </c>
      <c r="AF56" s="63">
        <f t="shared" si="82"/>
        <v>0.37731286830008925</v>
      </c>
      <c r="AG56" s="63">
        <f t="shared" si="83"/>
        <v>4.0608000000000005E-2</v>
      </c>
      <c r="AH56" s="63">
        <f t="shared" si="84"/>
        <v>0</v>
      </c>
      <c r="AI56" s="63">
        <f t="shared" si="48"/>
        <v>0.22378064516129031</v>
      </c>
      <c r="AJ56" s="63">
        <f t="shared" si="49"/>
        <v>0.66241283857893474</v>
      </c>
      <c r="AK56" s="63">
        <f t="shared" si="85"/>
        <v>0.60677850193160965</v>
      </c>
      <c r="AL56" s="63">
        <f t="shared" si="86"/>
        <v>3.0755543425347562E-4</v>
      </c>
      <c r="AM56" s="63">
        <f t="shared" si="87"/>
        <v>3.9985256278300717E-4</v>
      </c>
      <c r="AN56" s="63">
        <f t="shared" si="88"/>
        <v>9.8787570932428459E-2</v>
      </c>
      <c r="AO56" s="63">
        <f t="shared" si="89"/>
        <v>548.76495652964013</v>
      </c>
      <c r="AP56" s="63">
        <f t="shared" si="50"/>
        <v>9.8787570932428459E-2</v>
      </c>
      <c r="AQ56" s="61">
        <f t="shared" si="90"/>
        <v>0.46248</v>
      </c>
      <c r="AR56" s="61">
        <f t="shared" si="91"/>
        <v>50128320000</v>
      </c>
      <c r="AS56" s="61">
        <f t="shared" si="51"/>
        <v>0.46248</v>
      </c>
      <c r="AT56" s="61">
        <f t="shared" si="52"/>
        <v>0.23869935483870966</v>
      </c>
      <c r="AU56" s="63">
        <f t="shared" si="53"/>
        <v>0.33788677833392111</v>
      </c>
      <c r="AV56" s="63">
        <f t="shared" si="92"/>
        <v>7.7461407184286568E-2</v>
      </c>
      <c r="AW56" s="63">
        <f t="shared" si="93"/>
        <v>2.9760000000000003E-3</v>
      </c>
      <c r="AX56" s="63">
        <f t="shared" si="94"/>
        <v>0.24299000000000001</v>
      </c>
      <c r="AY56" s="63">
        <f t="shared" si="95"/>
        <v>0.24596600000000002</v>
      </c>
      <c r="AZ56" s="63">
        <f t="shared" si="96"/>
        <v>3.0228297049868615</v>
      </c>
      <c r="BA56" s="64">
        <f t="shared" si="97"/>
        <v>103.4</v>
      </c>
      <c r="BB56" s="76">
        <f t="shared" si="54"/>
        <v>0.97159604087425222</v>
      </c>
      <c r="BC56" s="64">
        <f t="shared" si="55"/>
        <v>97.159604087425222</v>
      </c>
      <c r="BD56" s="63">
        <f t="shared" si="98"/>
        <v>1.6987147417156079</v>
      </c>
      <c r="BE56" s="63">
        <f t="shared" si="56"/>
        <v>1.000299616912856</v>
      </c>
      <c r="BF56" s="63">
        <f t="shared" si="99"/>
        <v>0.66241283857893474</v>
      </c>
      <c r="BG56" s="63">
        <f t="shared" si="100"/>
        <v>0.33788677833392111</v>
      </c>
      <c r="BH56" s="63">
        <f t="shared" si="101"/>
        <v>7.7461407184286568E-2</v>
      </c>
      <c r="BI56" s="63">
        <f t="shared" si="57"/>
        <v>0.24596600000000002</v>
      </c>
      <c r="BJ56" s="63">
        <f t="shared" si="58"/>
        <v>3.6118019375281789E-4</v>
      </c>
      <c r="BK56" s="63">
        <f t="shared" si="59"/>
        <v>2.6758980358183299E-5</v>
      </c>
      <c r="BL56" s="63">
        <f t="shared" si="60"/>
        <v>3.0228297049868615</v>
      </c>
    </row>
    <row r="57" spans="3:70" x14ac:dyDescent="0.25">
      <c r="C57" s="61">
        <v>45</v>
      </c>
      <c r="D57" s="61">
        <f t="shared" si="61"/>
        <v>100</v>
      </c>
      <c r="E57" s="61">
        <f t="shared" si="62"/>
        <v>100</v>
      </c>
      <c r="F57" s="61">
        <f t="shared" si="63"/>
        <v>100</v>
      </c>
      <c r="G57" s="73">
        <f t="shared" si="64"/>
        <v>24</v>
      </c>
      <c r="H57" s="64">
        <f t="shared" si="65"/>
        <v>1</v>
      </c>
      <c r="I57" s="63">
        <f t="shared" si="102"/>
        <v>4.5</v>
      </c>
      <c r="J57" s="65">
        <f t="shared" si="66"/>
        <v>8.3533953124311573E-4</v>
      </c>
      <c r="K57" s="65">
        <f t="shared" si="67"/>
        <v>8.3533953124311573E-4</v>
      </c>
      <c r="L57" s="65">
        <f t="shared" si="68"/>
        <v>5.097492818882457E-3</v>
      </c>
      <c r="M57" s="65">
        <f t="shared" si="69"/>
        <v>4.0000000000000001E-3</v>
      </c>
      <c r="N57" s="63">
        <f t="shared" si="70"/>
        <v>0.98102907273231521</v>
      </c>
      <c r="O57" s="64">
        <f t="shared" si="71"/>
        <v>0.25343040829507857</v>
      </c>
      <c r="P57" s="64">
        <f t="shared" si="72"/>
        <v>4.6267152041475397</v>
      </c>
      <c r="Q57" s="64">
        <f t="shared" si="73"/>
        <v>4.3732847958524603</v>
      </c>
      <c r="R57" s="64">
        <f t="shared" si="74"/>
        <v>0</v>
      </c>
      <c r="S57" s="64">
        <f t="shared" si="75"/>
        <v>4.5005946548932902</v>
      </c>
      <c r="T57" s="63">
        <f t="shared" si="42"/>
        <v>0.10325151262635118</v>
      </c>
      <c r="U57" s="63">
        <f t="shared" si="76"/>
        <v>1.6</v>
      </c>
      <c r="V57" s="63">
        <f t="shared" si="43"/>
        <v>1.7032515126263512</v>
      </c>
      <c r="W57" s="64">
        <f t="shared" si="44"/>
        <v>7.3159057225000199E-2</v>
      </c>
      <c r="X57" s="63">
        <f t="shared" si="77"/>
        <v>2.6761238270254269E-5</v>
      </c>
      <c r="Y57" s="63">
        <f t="shared" si="45"/>
        <v>2.6761238270254269E-5</v>
      </c>
      <c r="Z57" s="64">
        <f t="shared" si="78"/>
        <v>0.61398126385937757</v>
      </c>
      <c r="AA57" s="74">
        <f t="shared" si="79"/>
        <v>3.7697299237035863E-4</v>
      </c>
      <c r="AB57" s="75">
        <f t="shared" si="46"/>
        <v>3.7697299237035863E-4</v>
      </c>
      <c r="AC57" s="63">
        <f t="shared" si="80"/>
        <v>4.4577000160825619</v>
      </c>
      <c r="AD57" s="63">
        <f t="shared" si="47"/>
        <v>1.6599106532571746E-2</v>
      </c>
      <c r="AE57" s="63">
        <f t="shared" si="81"/>
        <v>2.1668036664481732E-2</v>
      </c>
      <c r="AF57" s="63">
        <f t="shared" si="82"/>
        <v>0.38580520169113158</v>
      </c>
      <c r="AG57" s="63">
        <f t="shared" si="83"/>
        <v>4.0608000000000005E-2</v>
      </c>
      <c r="AH57" s="63">
        <f t="shared" si="84"/>
        <v>0</v>
      </c>
      <c r="AI57" s="63">
        <f t="shared" si="48"/>
        <v>0.22378064516129031</v>
      </c>
      <c r="AJ57" s="63">
        <f t="shared" si="49"/>
        <v>0.67186188351690368</v>
      </c>
      <c r="AK57" s="63">
        <f t="shared" si="85"/>
        <v>0.61988935647547683</v>
      </c>
      <c r="AL57" s="63">
        <f t="shared" si="86"/>
        <v>3.2098991914778272E-4</v>
      </c>
      <c r="AM57" s="63">
        <f t="shared" si="87"/>
        <v>4.1732011586857992E-4</v>
      </c>
      <c r="AN57" s="63">
        <f t="shared" si="88"/>
        <v>0.10104355083240527</v>
      </c>
      <c r="AO57" s="63">
        <f t="shared" si="89"/>
        <v>561.29692487401121</v>
      </c>
      <c r="AP57" s="63">
        <f t="shared" si="50"/>
        <v>0.10104355083240527</v>
      </c>
      <c r="AQ57" s="61">
        <f t="shared" si="90"/>
        <v>0.46248</v>
      </c>
      <c r="AR57" s="61">
        <f t="shared" si="91"/>
        <v>50128320000</v>
      </c>
      <c r="AS57" s="61">
        <f t="shared" si="51"/>
        <v>0.46248</v>
      </c>
      <c r="AT57" s="61">
        <f t="shared" si="52"/>
        <v>0.23869935483870966</v>
      </c>
      <c r="AU57" s="63">
        <f t="shared" si="53"/>
        <v>0.34016022578698352</v>
      </c>
      <c r="AV57" s="63">
        <f t="shared" si="92"/>
        <v>8.1021408990616231E-2</v>
      </c>
      <c r="AW57" s="63">
        <f t="shared" si="93"/>
        <v>2.9760000000000003E-3</v>
      </c>
      <c r="AX57" s="63">
        <f t="shared" si="94"/>
        <v>0.24299000000000001</v>
      </c>
      <c r="AY57" s="63">
        <f t="shared" si="95"/>
        <v>0.24596600000000002</v>
      </c>
      <c r="AZ57" s="63">
        <f t="shared" si="96"/>
        <v>3.0426647651514953</v>
      </c>
      <c r="BA57" s="64">
        <f t="shared" si="97"/>
        <v>105.75</v>
      </c>
      <c r="BB57" s="76">
        <f t="shared" si="54"/>
        <v>0.97203244564585634</v>
      </c>
      <c r="BC57" s="64">
        <f t="shared" si="55"/>
        <v>97.203244564585631</v>
      </c>
      <c r="BD57" s="63">
        <f t="shared" si="98"/>
        <v>1.7032515126263512</v>
      </c>
      <c r="BE57" s="63">
        <f t="shared" si="56"/>
        <v>1.0120221093038873</v>
      </c>
      <c r="BF57" s="63">
        <f t="shared" si="99"/>
        <v>0.67186188351690368</v>
      </c>
      <c r="BG57" s="63">
        <f t="shared" si="100"/>
        <v>0.34016022578698352</v>
      </c>
      <c r="BH57" s="63">
        <f t="shared" si="101"/>
        <v>8.1021408990616231E-2</v>
      </c>
      <c r="BI57" s="63">
        <f t="shared" si="57"/>
        <v>0.24596600000000002</v>
      </c>
      <c r="BJ57" s="63">
        <f t="shared" si="58"/>
        <v>3.7697299237035863E-4</v>
      </c>
      <c r="BK57" s="63">
        <f t="shared" si="59"/>
        <v>2.6761238270254269E-5</v>
      </c>
      <c r="BL57" s="63">
        <f t="shared" si="60"/>
        <v>3.0426647651514953</v>
      </c>
    </row>
    <row r="58" spans="3:70" x14ac:dyDescent="0.25">
      <c r="C58" s="61">
        <v>46</v>
      </c>
      <c r="D58" s="61">
        <f t="shared" si="61"/>
        <v>100</v>
      </c>
      <c r="E58" s="61">
        <f t="shared" si="62"/>
        <v>100</v>
      </c>
      <c r="F58" s="61">
        <f t="shared" si="63"/>
        <v>100</v>
      </c>
      <c r="G58" s="73">
        <f t="shared" si="64"/>
        <v>24</v>
      </c>
      <c r="H58" s="64">
        <f t="shared" si="65"/>
        <v>1</v>
      </c>
      <c r="I58" s="63">
        <f t="shared" si="102"/>
        <v>4.5999999999999996</v>
      </c>
      <c r="J58" s="65">
        <f t="shared" si="66"/>
        <v>8.3533953124311573E-4</v>
      </c>
      <c r="K58" s="65">
        <f t="shared" si="67"/>
        <v>8.3533953124311573E-4</v>
      </c>
      <c r="L58" s="65">
        <f t="shared" si="68"/>
        <v>5.097492818882457E-3</v>
      </c>
      <c r="M58" s="65">
        <f t="shared" si="69"/>
        <v>4.0000000000000001E-3</v>
      </c>
      <c r="N58" s="63">
        <f t="shared" si="70"/>
        <v>0.98107045953377403</v>
      </c>
      <c r="O58" s="64">
        <f t="shared" si="71"/>
        <v>0.25344109979677132</v>
      </c>
      <c r="P58" s="64">
        <f t="shared" si="72"/>
        <v>4.7267205498983849</v>
      </c>
      <c r="Q58" s="64">
        <f t="shared" si="73"/>
        <v>4.4732794501016144</v>
      </c>
      <c r="R58" s="64">
        <f t="shared" si="74"/>
        <v>0</v>
      </c>
      <c r="S58" s="64">
        <f t="shared" si="75"/>
        <v>4.6005817783466814</v>
      </c>
      <c r="T58" s="63">
        <f t="shared" si="42"/>
        <v>0.10789023339356942</v>
      </c>
      <c r="U58" s="63">
        <f t="shared" si="76"/>
        <v>1.6</v>
      </c>
      <c r="V58" s="63">
        <f t="shared" si="43"/>
        <v>1.7078902333935695</v>
      </c>
      <c r="W58" s="64">
        <f t="shared" si="44"/>
        <v>7.3162143595690371E-2</v>
      </c>
      <c r="X58" s="63">
        <f t="shared" si="77"/>
        <v>2.676349627758209E-5</v>
      </c>
      <c r="Y58" s="63">
        <f t="shared" si="45"/>
        <v>2.676349627758209E-5</v>
      </c>
      <c r="Z58" s="64">
        <f t="shared" si="78"/>
        <v>0.62694997602302649</v>
      </c>
      <c r="AA58" s="74">
        <f t="shared" si="79"/>
        <v>3.9306627243527347E-4</v>
      </c>
      <c r="AB58" s="75">
        <f t="shared" si="46"/>
        <v>3.9306627243527347E-4</v>
      </c>
      <c r="AC58" s="63">
        <f t="shared" si="80"/>
        <v>4.5568302907671479</v>
      </c>
      <c r="AD58" s="63">
        <f t="shared" si="47"/>
        <v>1.7345576684726721E-2</v>
      </c>
      <c r="AE58" s="63">
        <f t="shared" si="81"/>
        <v>2.264666893424256E-2</v>
      </c>
      <c r="AF58" s="63">
        <f t="shared" si="82"/>
        <v>0.39429753508217386</v>
      </c>
      <c r="AG58" s="63">
        <f t="shared" si="83"/>
        <v>4.0608000000000005E-2</v>
      </c>
      <c r="AH58" s="63">
        <f t="shared" si="84"/>
        <v>0</v>
      </c>
      <c r="AI58" s="63">
        <f t="shared" si="48"/>
        <v>0.22378064516129031</v>
      </c>
      <c r="AJ58" s="63">
        <f t="shared" si="49"/>
        <v>0.68133284917770676</v>
      </c>
      <c r="AK58" s="63">
        <f t="shared" si="85"/>
        <v>0.63296950985217471</v>
      </c>
      <c r="AL58" s="63">
        <f t="shared" si="86"/>
        <v>3.3467911766459286E-4</v>
      </c>
      <c r="AM58" s="63">
        <f t="shared" si="87"/>
        <v>4.3511896802158028E-4</v>
      </c>
      <c r="AN58" s="63">
        <f t="shared" si="88"/>
        <v>0.10329953073238207</v>
      </c>
      <c r="AO58" s="63">
        <f t="shared" si="89"/>
        <v>573.8288932183824</v>
      </c>
      <c r="AP58" s="63">
        <f t="shared" si="50"/>
        <v>0.10329953073238207</v>
      </c>
      <c r="AQ58" s="61">
        <f t="shared" si="90"/>
        <v>0.46248</v>
      </c>
      <c r="AR58" s="61">
        <f t="shared" si="91"/>
        <v>50128320000</v>
      </c>
      <c r="AS58" s="61">
        <f t="shared" si="51"/>
        <v>0.46248</v>
      </c>
      <c r="AT58" s="61">
        <f t="shared" si="52"/>
        <v>0.23869935483870966</v>
      </c>
      <c r="AU58" s="63">
        <f t="shared" si="53"/>
        <v>0.34243400453911332</v>
      </c>
      <c r="AV58" s="63">
        <f t="shared" si="92"/>
        <v>8.4661410797022066E-2</v>
      </c>
      <c r="AW58" s="63">
        <f t="shared" si="93"/>
        <v>2.9760000000000003E-3</v>
      </c>
      <c r="AX58" s="63">
        <f t="shared" si="94"/>
        <v>0.24299000000000001</v>
      </c>
      <c r="AY58" s="63">
        <f t="shared" si="95"/>
        <v>0.24596600000000002</v>
      </c>
      <c r="AZ58" s="63">
        <f t="shared" si="96"/>
        <v>3.062704327676125</v>
      </c>
      <c r="BA58" s="64">
        <f t="shared" si="97"/>
        <v>108.1</v>
      </c>
      <c r="BB58" s="76">
        <f t="shared" si="54"/>
        <v>0.97244845430668769</v>
      </c>
      <c r="BC58" s="64">
        <f t="shared" si="55"/>
        <v>97.244845430668775</v>
      </c>
      <c r="BD58" s="63">
        <f t="shared" si="98"/>
        <v>1.7078902333935695</v>
      </c>
      <c r="BE58" s="63">
        <f t="shared" si="56"/>
        <v>1.0237668537168201</v>
      </c>
      <c r="BF58" s="63">
        <f t="shared" si="99"/>
        <v>0.68133284917770676</v>
      </c>
      <c r="BG58" s="63">
        <f t="shared" si="100"/>
        <v>0.34243400453911332</v>
      </c>
      <c r="BH58" s="63">
        <f t="shared" si="101"/>
        <v>8.4661410797022066E-2</v>
      </c>
      <c r="BI58" s="63">
        <f t="shared" si="57"/>
        <v>0.24596600000000002</v>
      </c>
      <c r="BJ58" s="63">
        <f t="shared" si="58"/>
        <v>3.9306627243527347E-4</v>
      </c>
      <c r="BK58" s="63">
        <f t="shared" si="59"/>
        <v>2.676349627758209E-5</v>
      </c>
      <c r="BL58" s="63">
        <f t="shared" si="60"/>
        <v>3.062704327676125</v>
      </c>
    </row>
    <row r="59" spans="3:70" x14ac:dyDescent="0.25">
      <c r="C59" s="61">
        <v>47</v>
      </c>
      <c r="D59" s="61">
        <f t="shared" si="61"/>
        <v>100</v>
      </c>
      <c r="E59" s="61">
        <f t="shared" si="62"/>
        <v>100</v>
      </c>
      <c r="F59" s="61">
        <f t="shared" si="63"/>
        <v>100</v>
      </c>
      <c r="G59" s="73">
        <f t="shared" si="64"/>
        <v>24</v>
      </c>
      <c r="H59" s="64">
        <f t="shared" si="65"/>
        <v>1</v>
      </c>
      <c r="I59" s="63">
        <f t="shared" si="102"/>
        <v>4.7</v>
      </c>
      <c r="J59" s="65">
        <f t="shared" si="66"/>
        <v>8.3533953124311573E-4</v>
      </c>
      <c r="K59" s="65">
        <f t="shared" si="67"/>
        <v>8.3533953124311573E-4</v>
      </c>
      <c r="L59" s="65">
        <f t="shared" si="68"/>
        <v>5.097492818882457E-3</v>
      </c>
      <c r="M59" s="65">
        <f t="shared" si="69"/>
        <v>4.0000000000000001E-3</v>
      </c>
      <c r="N59" s="63">
        <f t="shared" si="70"/>
        <v>0.98111184633523285</v>
      </c>
      <c r="O59" s="64">
        <f t="shared" si="71"/>
        <v>0.25345179129846401</v>
      </c>
      <c r="P59" s="64">
        <f t="shared" si="72"/>
        <v>4.8267258956492318</v>
      </c>
      <c r="Q59" s="64">
        <f t="shared" si="73"/>
        <v>4.5732741043507685</v>
      </c>
      <c r="R59" s="64">
        <f t="shared" si="74"/>
        <v>0</v>
      </c>
      <c r="S59" s="64">
        <f t="shared" si="75"/>
        <v>4.7005694496386328</v>
      </c>
      <c r="T59" s="63">
        <f t="shared" si="42"/>
        <v>0.11263090401726249</v>
      </c>
      <c r="U59" s="63">
        <f t="shared" si="76"/>
        <v>1.6</v>
      </c>
      <c r="V59" s="63">
        <f t="shared" si="43"/>
        <v>1.7126309040172625</v>
      </c>
      <c r="W59" s="64">
        <f t="shared" si="44"/>
        <v>7.3165229966380529E-2</v>
      </c>
      <c r="X59" s="63">
        <f t="shared" si="77"/>
        <v>2.6765754380166738E-5</v>
      </c>
      <c r="Y59" s="63">
        <f t="shared" si="45"/>
        <v>2.6765754380166738E-5</v>
      </c>
      <c r="Z59" s="64">
        <f t="shared" si="78"/>
        <v>0.63988876806985806</v>
      </c>
      <c r="AA59" s="74">
        <f t="shared" si="79"/>
        <v>4.0945763550196063E-4</v>
      </c>
      <c r="AB59" s="75">
        <f t="shared" si="46"/>
        <v>4.0945763550196063E-4</v>
      </c>
      <c r="AC59" s="63">
        <f t="shared" si="80"/>
        <v>4.6559652839432761</v>
      </c>
      <c r="AD59" s="63">
        <f t="shared" si="47"/>
        <v>1.8108500988221865E-2</v>
      </c>
      <c r="AE59" s="63">
        <f t="shared" si="81"/>
        <v>2.3647248909790843E-2</v>
      </c>
      <c r="AF59" s="63">
        <f t="shared" si="82"/>
        <v>0.40278986847321629</v>
      </c>
      <c r="AG59" s="63">
        <f t="shared" si="83"/>
        <v>4.0608000000000005E-2</v>
      </c>
      <c r="AH59" s="63">
        <f t="shared" si="84"/>
        <v>0</v>
      </c>
      <c r="AI59" s="63">
        <f t="shared" si="48"/>
        <v>0.22378064516129031</v>
      </c>
      <c r="AJ59" s="63">
        <f t="shared" si="49"/>
        <v>0.69082576254429751</v>
      </c>
      <c r="AK59" s="63">
        <f t="shared" si="85"/>
        <v>0.64601890497960157</v>
      </c>
      <c r="AL59" s="63">
        <f t="shared" si="86"/>
        <v>3.4862095548202472E-4</v>
      </c>
      <c r="AM59" s="63">
        <f t="shared" si="87"/>
        <v>4.5324642890500437E-4</v>
      </c>
      <c r="AN59" s="63">
        <f t="shared" si="88"/>
        <v>0.10555551063235891</v>
      </c>
      <c r="AO59" s="63">
        <f t="shared" si="89"/>
        <v>586.3608615627536</v>
      </c>
      <c r="AP59" s="63">
        <f t="shared" si="50"/>
        <v>0.10555551063235891</v>
      </c>
      <c r="AQ59" s="61">
        <f t="shared" si="90"/>
        <v>0.46248</v>
      </c>
      <c r="AR59" s="61">
        <f t="shared" si="91"/>
        <v>50128320000</v>
      </c>
      <c r="AS59" s="61">
        <f t="shared" si="51"/>
        <v>0.46248</v>
      </c>
      <c r="AT59" s="61">
        <f t="shared" si="52"/>
        <v>0.23869935483870966</v>
      </c>
      <c r="AU59" s="63">
        <f t="shared" si="53"/>
        <v>0.34470811189997358</v>
      </c>
      <c r="AV59" s="63">
        <f t="shared" si="92"/>
        <v>8.8381412603504156E-2</v>
      </c>
      <c r="AW59" s="63">
        <f t="shared" si="93"/>
        <v>2.9760000000000003E-3</v>
      </c>
      <c r="AX59" s="63">
        <f t="shared" si="94"/>
        <v>0.24299000000000001</v>
      </c>
      <c r="AY59" s="63">
        <f t="shared" si="95"/>
        <v>0.24596600000000002</v>
      </c>
      <c r="AZ59" s="63">
        <f t="shared" si="96"/>
        <v>3.0829484144549202</v>
      </c>
      <c r="BA59" s="64">
        <f t="shared" si="97"/>
        <v>110.45</v>
      </c>
      <c r="BB59" s="76">
        <f t="shared" si="54"/>
        <v>0.97284534174871828</v>
      </c>
      <c r="BC59" s="64">
        <f t="shared" si="55"/>
        <v>97.284534174871823</v>
      </c>
      <c r="BD59" s="63">
        <f t="shared" si="98"/>
        <v>1.7126309040172625</v>
      </c>
      <c r="BE59" s="63">
        <f t="shared" si="56"/>
        <v>1.035533874444271</v>
      </c>
      <c r="BF59" s="63">
        <f t="shared" si="99"/>
        <v>0.69082576254429751</v>
      </c>
      <c r="BG59" s="63">
        <f t="shared" si="100"/>
        <v>0.34470811189997358</v>
      </c>
      <c r="BH59" s="63">
        <f t="shared" si="101"/>
        <v>8.8381412603504156E-2</v>
      </c>
      <c r="BI59" s="63">
        <f t="shared" si="57"/>
        <v>0.24596600000000002</v>
      </c>
      <c r="BJ59" s="63">
        <f t="shared" si="58"/>
        <v>4.0945763550196063E-4</v>
      </c>
      <c r="BK59" s="63">
        <f t="shared" si="59"/>
        <v>2.6765754380166738E-5</v>
      </c>
      <c r="BL59" s="63">
        <f t="shared" si="60"/>
        <v>3.0829484144549197</v>
      </c>
      <c r="BQ59" s="77"/>
      <c r="BR59" s="78"/>
    </row>
    <row r="60" spans="3:70" x14ac:dyDescent="0.25">
      <c r="C60" s="61">
        <v>48</v>
      </c>
      <c r="D60" s="61">
        <f t="shared" si="61"/>
        <v>100</v>
      </c>
      <c r="E60" s="61">
        <f t="shared" si="62"/>
        <v>100</v>
      </c>
      <c r="F60" s="61">
        <f t="shared" si="63"/>
        <v>100</v>
      </c>
      <c r="G60" s="73">
        <f t="shared" si="64"/>
        <v>24</v>
      </c>
      <c r="H60" s="64">
        <f t="shared" si="65"/>
        <v>1</v>
      </c>
      <c r="I60" s="63">
        <f t="shared" si="102"/>
        <v>4.8</v>
      </c>
      <c r="J60" s="65">
        <f t="shared" si="66"/>
        <v>8.3533953124311573E-4</v>
      </c>
      <c r="K60" s="65">
        <f t="shared" si="67"/>
        <v>8.3533953124311573E-4</v>
      </c>
      <c r="L60" s="65">
        <f t="shared" si="68"/>
        <v>5.097492818882457E-3</v>
      </c>
      <c r="M60" s="65">
        <f t="shared" si="69"/>
        <v>4.0000000000000001E-3</v>
      </c>
      <c r="N60" s="63">
        <f t="shared" si="70"/>
        <v>0.98115323313669178</v>
      </c>
      <c r="O60" s="64">
        <f t="shared" si="71"/>
        <v>0.25346248280015682</v>
      </c>
      <c r="P60" s="64">
        <f t="shared" si="72"/>
        <v>4.9267312414000779</v>
      </c>
      <c r="Q60" s="64">
        <f t="shared" si="73"/>
        <v>4.6732687585999217</v>
      </c>
      <c r="R60" s="64">
        <f t="shared" si="74"/>
        <v>0</v>
      </c>
      <c r="S60" s="64">
        <f t="shared" si="75"/>
        <v>4.8005576345374292</v>
      </c>
      <c r="T60" s="63">
        <f t="shared" si="42"/>
        <v>0.11747352449743022</v>
      </c>
      <c r="U60" s="63">
        <f t="shared" si="76"/>
        <v>1.6</v>
      </c>
      <c r="V60" s="63">
        <f t="shared" si="43"/>
        <v>1.7174735244974304</v>
      </c>
      <c r="W60" s="64">
        <f t="shared" si="44"/>
        <v>7.3168316337070716E-2</v>
      </c>
      <c r="X60" s="63">
        <f t="shared" si="77"/>
        <v>2.6768012578008251E-5</v>
      </c>
      <c r="Y60" s="63">
        <f t="shared" si="45"/>
        <v>2.6768012578008251E-5</v>
      </c>
      <c r="Z60" s="64">
        <f t="shared" si="78"/>
        <v>0.65279758173091207</v>
      </c>
      <c r="AA60" s="74">
        <f t="shared" si="79"/>
        <v>4.261446827137268E-4</v>
      </c>
      <c r="AB60" s="75">
        <f t="shared" si="46"/>
        <v>4.261446827137268E-4</v>
      </c>
      <c r="AC60" s="63">
        <f t="shared" si="80"/>
        <v>4.7551049616056309</v>
      </c>
      <c r="AD60" s="63">
        <f t="shared" si="47"/>
        <v>1.8887881517379038E-2</v>
      </c>
      <c r="AE60" s="63">
        <f t="shared" si="81"/>
        <v>2.4669804136313488E-2</v>
      </c>
      <c r="AF60" s="63">
        <f t="shared" si="82"/>
        <v>0.41128220186425857</v>
      </c>
      <c r="AG60" s="63">
        <f t="shared" si="83"/>
        <v>4.0608000000000005E-2</v>
      </c>
      <c r="AH60" s="63">
        <f t="shared" si="84"/>
        <v>0</v>
      </c>
      <c r="AI60" s="63">
        <f t="shared" si="48"/>
        <v>0.22378064516129031</v>
      </c>
      <c r="AJ60" s="63">
        <f t="shared" si="49"/>
        <v>0.70034065116186239</v>
      </c>
      <c r="AK60" s="63">
        <f t="shared" si="85"/>
        <v>0.65903748499543768</v>
      </c>
      <c r="AL60" s="63">
        <f t="shared" si="86"/>
        <v>3.6281335827819408E-4</v>
      </c>
      <c r="AM60" s="63">
        <f t="shared" si="87"/>
        <v>4.7169980823155017E-4</v>
      </c>
      <c r="AN60" s="63">
        <f t="shared" si="88"/>
        <v>0.10781149053233571</v>
      </c>
      <c r="AO60" s="63">
        <f t="shared" si="89"/>
        <v>598.89282990712491</v>
      </c>
      <c r="AP60" s="63">
        <f t="shared" si="50"/>
        <v>0.10781149053233571</v>
      </c>
      <c r="AQ60" s="61">
        <f t="shared" si="90"/>
        <v>0.46248</v>
      </c>
      <c r="AR60" s="61">
        <f t="shared" si="91"/>
        <v>50128320000</v>
      </c>
      <c r="AS60" s="61">
        <f t="shared" si="51"/>
        <v>0.46248</v>
      </c>
      <c r="AT60" s="61">
        <f t="shared" si="52"/>
        <v>0.23869935483870966</v>
      </c>
      <c r="AU60" s="63">
        <f t="shared" si="53"/>
        <v>0.34698254517927696</v>
      </c>
      <c r="AV60" s="63">
        <f t="shared" si="92"/>
        <v>9.218141441006239E-2</v>
      </c>
      <c r="AW60" s="63">
        <f t="shared" si="93"/>
        <v>2.9760000000000003E-3</v>
      </c>
      <c r="AX60" s="63">
        <f t="shared" si="94"/>
        <v>0.24299000000000001</v>
      </c>
      <c r="AY60" s="63">
        <f t="shared" si="95"/>
        <v>0.24596600000000002</v>
      </c>
      <c r="AZ60" s="63">
        <f t="shared" si="96"/>
        <v>3.1033970479439237</v>
      </c>
      <c r="BA60" s="64">
        <f t="shared" si="97"/>
        <v>112.8</v>
      </c>
      <c r="BB60" s="76">
        <f t="shared" si="54"/>
        <v>0.97322427877881612</v>
      </c>
      <c r="BC60" s="64">
        <f t="shared" si="55"/>
        <v>97.322427877881609</v>
      </c>
      <c r="BD60" s="63">
        <f t="shared" si="98"/>
        <v>1.7174735244974304</v>
      </c>
      <c r="BE60" s="63">
        <f t="shared" si="56"/>
        <v>1.0473231963411394</v>
      </c>
      <c r="BF60" s="63">
        <f t="shared" si="99"/>
        <v>0.70034065116186239</v>
      </c>
      <c r="BG60" s="63">
        <f t="shared" si="100"/>
        <v>0.34698254517927696</v>
      </c>
      <c r="BH60" s="63">
        <f t="shared" si="101"/>
        <v>9.218141441006239E-2</v>
      </c>
      <c r="BI60" s="63">
        <f t="shared" si="57"/>
        <v>0.24596600000000002</v>
      </c>
      <c r="BJ60" s="63">
        <f t="shared" si="58"/>
        <v>4.261446827137268E-4</v>
      </c>
      <c r="BK60" s="63">
        <f t="shared" si="59"/>
        <v>2.6768012578008251E-5</v>
      </c>
      <c r="BL60" s="63">
        <f t="shared" si="60"/>
        <v>3.1033970479439241</v>
      </c>
      <c r="BQ60" s="77"/>
      <c r="BR60" s="78"/>
    </row>
    <row r="61" spans="3:70" x14ac:dyDescent="0.25">
      <c r="C61" s="61">
        <v>49</v>
      </c>
      <c r="D61" s="61">
        <f t="shared" si="61"/>
        <v>100</v>
      </c>
      <c r="E61" s="61">
        <f t="shared" si="62"/>
        <v>100</v>
      </c>
      <c r="F61" s="61">
        <f t="shared" si="63"/>
        <v>100</v>
      </c>
      <c r="G61" s="73">
        <f t="shared" si="64"/>
        <v>24</v>
      </c>
      <c r="H61" s="64">
        <f t="shared" si="65"/>
        <v>1</v>
      </c>
      <c r="I61" s="63">
        <f t="shared" si="102"/>
        <v>4.9000000000000004</v>
      </c>
      <c r="J61" s="65">
        <f t="shared" si="66"/>
        <v>8.3533953124311573E-4</v>
      </c>
      <c r="K61" s="65">
        <f t="shared" si="67"/>
        <v>8.3533953124311573E-4</v>
      </c>
      <c r="L61" s="65">
        <f t="shared" si="68"/>
        <v>5.097492818882457E-3</v>
      </c>
      <c r="M61" s="65">
        <f t="shared" si="69"/>
        <v>4.0000000000000001E-3</v>
      </c>
      <c r="N61" s="63">
        <f t="shared" si="70"/>
        <v>0.9811946199381506</v>
      </c>
      <c r="O61" s="64">
        <f t="shared" si="71"/>
        <v>0.25347317430184951</v>
      </c>
      <c r="P61" s="64">
        <f t="shared" si="72"/>
        <v>5.0267365871509249</v>
      </c>
      <c r="Q61" s="64">
        <f t="shared" si="73"/>
        <v>4.7732634128490758</v>
      </c>
      <c r="R61" s="64">
        <f t="shared" si="74"/>
        <v>0</v>
      </c>
      <c r="S61" s="64">
        <f t="shared" si="75"/>
        <v>4.9005463016049777</v>
      </c>
      <c r="T61" s="63">
        <f t="shared" si="42"/>
        <v>0.12241809483407282</v>
      </c>
      <c r="U61" s="63">
        <f t="shared" si="76"/>
        <v>1.6</v>
      </c>
      <c r="V61" s="63">
        <f t="shared" si="43"/>
        <v>1.7224180948340728</v>
      </c>
      <c r="W61" s="64">
        <f t="shared" si="44"/>
        <v>7.3171402707760874E-2</v>
      </c>
      <c r="X61" s="63">
        <f t="shared" si="77"/>
        <v>2.6770270871106581E-5</v>
      </c>
      <c r="Y61" s="63">
        <f t="shared" si="45"/>
        <v>2.6770270871106581E-5</v>
      </c>
      <c r="Z61" s="64">
        <f t="shared" si="78"/>
        <v>0.66567635890333321</v>
      </c>
      <c r="AA61" s="74">
        <f t="shared" si="79"/>
        <v>4.4312501480279934E-4</v>
      </c>
      <c r="AB61" s="75">
        <f t="shared" si="46"/>
        <v>4.4312501480279934E-4</v>
      </c>
      <c r="AC61" s="63">
        <f t="shared" si="80"/>
        <v>4.8542492925132716</v>
      </c>
      <c r="AD61" s="63">
        <f t="shared" si="47"/>
        <v>1.9683720346520127E-2</v>
      </c>
      <c r="AE61" s="63">
        <f t="shared" si="81"/>
        <v>2.5714362723008883E-2</v>
      </c>
      <c r="AF61" s="63">
        <f t="shared" si="82"/>
        <v>0.41977453525530095</v>
      </c>
      <c r="AG61" s="63">
        <f t="shared" si="83"/>
        <v>4.0608000000000005E-2</v>
      </c>
      <c r="AH61" s="63">
        <f t="shared" si="84"/>
        <v>0</v>
      </c>
      <c r="AI61" s="63">
        <f t="shared" si="48"/>
        <v>0.22378064516129031</v>
      </c>
      <c r="AJ61" s="63">
        <f t="shared" si="49"/>
        <v>0.70987754313960005</v>
      </c>
      <c r="AK61" s="63">
        <f t="shared" si="85"/>
        <v>0.67202519320976506</v>
      </c>
      <c r="AL61" s="63">
        <f t="shared" si="86"/>
        <v>3.7725425173122326E-4</v>
      </c>
      <c r="AM61" s="63">
        <f t="shared" si="87"/>
        <v>4.9047641576026866E-4</v>
      </c>
      <c r="AN61" s="63">
        <f t="shared" si="88"/>
        <v>0.11006747043231255</v>
      </c>
      <c r="AO61" s="63">
        <f t="shared" si="89"/>
        <v>611.42479825149621</v>
      </c>
      <c r="AP61" s="63">
        <f t="shared" si="50"/>
        <v>0.11006747043231255</v>
      </c>
      <c r="AQ61" s="61">
        <f t="shared" si="90"/>
        <v>0.46248</v>
      </c>
      <c r="AR61" s="61">
        <f t="shared" si="91"/>
        <v>50128320000</v>
      </c>
      <c r="AS61" s="61">
        <f t="shared" si="51"/>
        <v>0.46248</v>
      </c>
      <c r="AT61" s="61">
        <f t="shared" si="52"/>
        <v>0.23869935483870966</v>
      </c>
      <c r="AU61" s="63">
        <f t="shared" si="53"/>
        <v>0.34925730168678248</v>
      </c>
      <c r="AV61" s="63">
        <f t="shared" si="92"/>
        <v>9.6061416216696893E-2</v>
      </c>
      <c r="AW61" s="63">
        <f t="shared" si="93"/>
        <v>2.9760000000000003E-3</v>
      </c>
      <c r="AX61" s="63">
        <f t="shared" si="94"/>
        <v>0.24299000000000001</v>
      </c>
      <c r="AY61" s="63">
        <f t="shared" si="95"/>
        <v>0.24596600000000002</v>
      </c>
      <c r="AZ61" s="63">
        <f t="shared" si="96"/>
        <v>3.1240502511628261</v>
      </c>
      <c r="BA61" s="64">
        <f t="shared" si="97"/>
        <v>115.15</v>
      </c>
      <c r="BB61" s="76">
        <f t="shared" si="54"/>
        <v>0.97358634252797893</v>
      </c>
      <c r="BC61" s="64">
        <f t="shared" si="55"/>
        <v>97.358634252797899</v>
      </c>
      <c r="BD61" s="63">
        <f t="shared" si="98"/>
        <v>1.7224180948340728</v>
      </c>
      <c r="BE61" s="63">
        <f t="shared" si="56"/>
        <v>1.0591348448263824</v>
      </c>
      <c r="BF61" s="63">
        <f t="shared" si="99"/>
        <v>0.70987754313960005</v>
      </c>
      <c r="BG61" s="63">
        <f t="shared" si="100"/>
        <v>0.34925730168678248</v>
      </c>
      <c r="BH61" s="63">
        <f t="shared" si="101"/>
        <v>9.6061416216696893E-2</v>
      </c>
      <c r="BI61" s="63">
        <f t="shared" si="57"/>
        <v>0.24596600000000002</v>
      </c>
      <c r="BJ61" s="63">
        <f t="shared" si="58"/>
        <v>4.4312501480279934E-4</v>
      </c>
      <c r="BK61" s="63">
        <f t="shared" si="59"/>
        <v>2.6770270871106581E-5</v>
      </c>
      <c r="BL61" s="63">
        <f t="shared" si="60"/>
        <v>3.1240502511628261</v>
      </c>
      <c r="BQ61" s="77"/>
      <c r="BR61" s="78"/>
    </row>
    <row r="62" spans="3:70" x14ac:dyDescent="0.25">
      <c r="C62" s="61">
        <v>50</v>
      </c>
      <c r="D62" s="61">
        <f t="shared" si="61"/>
        <v>100</v>
      </c>
      <c r="E62" s="61">
        <f t="shared" si="62"/>
        <v>100</v>
      </c>
      <c r="F62" s="61">
        <f t="shared" si="63"/>
        <v>100</v>
      </c>
      <c r="G62" s="73">
        <f t="shared" si="64"/>
        <v>24</v>
      </c>
      <c r="H62" s="64">
        <f t="shared" si="65"/>
        <v>1</v>
      </c>
      <c r="I62" s="63">
        <f t="shared" si="102"/>
        <v>5</v>
      </c>
      <c r="J62" s="65">
        <f t="shared" si="66"/>
        <v>8.3533953124311573E-4</v>
      </c>
      <c r="K62" s="65">
        <f t="shared" si="67"/>
        <v>8.3533953124311573E-4</v>
      </c>
      <c r="L62" s="65">
        <f t="shared" si="68"/>
        <v>5.097492818882457E-3</v>
      </c>
      <c r="M62" s="65">
        <f t="shared" si="69"/>
        <v>4.0000000000000001E-3</v>
      </c>
      <c r="N62" s="63">
        <f t="shared" si="70"/>
        <v>0.98123600673960942</v>
      </c>
      <c r="O62" s="64">
        <f t="shared" si="71"/>
        <v>0.25348386580354226</v>
      </c>
      <c r="P62" s="64">
        <f t="shared" si="72"/>
        <v>5.1267419329017709</v>
      </c>
      <c r="Q62" s="64">
        <f t="shared" si="73"/>
        <v>4.8732580670982291</v>
      </c>
      <c r="R62" s="64">
        <f t="shared" si="74"/>
        <v>0</v>
      </c>
      <c r="S62" s="64">
        <f t="shared" si="75"/>
        <v>5.000535421917526</v>
      </c>
      <c r="T62" s="63">
        <f t="shared" si="42"/>
        <v>0.12746461502719011</v>
      </c>
      <c r="U62" s="63">
        <f t="shared" si="76"/>
        <v>1.6</v>
      </c>
      <c r="V62" s="63">
        <f t="shared" si="43"/>
        <v>1.7274646150271902</v>
      </c>
      <c r="W62" s="64">
        <f t="shared" si="44"/>
        <v>7.317448907845106E-2</v>
      </c>
      <c r="X62" s="63">
        <f t="shared" si="77"/>
        <v>2.6772529259461768E-5</v>
      </c>
      <c r="Y62" s="63">
        <f t="shared" si="45"/>
        <v>2.6772529259461768E-5</v>
      </c>
      <c r="Z62" s="64">
        <f t="shared" si="78"/>
        <v>0.67852504160886218</v>
      </c>
      <c r="AA62" s="74">
        <f t="shared" si="79"/>
        <v>4.603962320903082E-4</v>
      </c>
      <c r="AB62" s="75">
        <f t="shared" si="46"/>
        <v>4.603962320903082E-4</v>
      </c>
      <c r="AC62" s="63">
        <f t="shared" si="80"/>
        <v>4.9533982479132854</v>
      </c>
      <c r="AD62" s="63">
        <f t="shared" si="47"/>
        <v>2.0496019549967021E-2</v>
      </c>
      <c r="AE62" s="63">
        <f t="shared" si="81"/>
        <v>2.6780953344901444E-2</v>
      </c>
      <c r="AF62" s="63">
        <f t="shared" si="82"/>
        <v>0.42826686864634333</v>
      </c>
      <c r="AG62" s="63">
        <f t="shared" si="83"/>
        <v>4.0608000000000005E-2</v>
      </c>
      <c r="AH62" s="63">
        <f t="shared" si="84"/>
        <v>0</v>
      </c>
      <c r="AI62" s="63">
        <f t="shared" si="48"/>
        <v>0.22378064516129031</v>
      </c>
      <c r="AJ62" s="63">
        <f t="shared" si="49"/>
        <v>0.71943646715253506</v>
      </c>
      <c r="AK62" s="63">
        <f t="shared" si="85"/>
        <v>0.68498197306314712</v>
      </c>
      <c r="AL62" s="63">
        <f t="shared" si="86"/>
        <v>3.9194156151922845E-4</v>
      </c>
      <c r="AM62" s="63">
        <f t="shared" si="87"/>
        <v>5.095735612932129E-4</v>
      </c>
      <c r="AN62" s="63">
        <f t="shared" si="88"/>
        <v>0.11232345033228937</v>
      </c>
      <c r="AO62" s="63">
        <f t="shared" si="89"/>
        <v>623.95676659586729</v>
      </c>
      <c r="AP62" s="63">
        <f t="shared" si="50"/>
        <v>0.11232345033228937</v>
      </c>
      <c r="AQ62" s="61">
        <f t="shared" si="90"/>
        <v>0.46248</v>
      </c>
      <c r="AR62" s="61">
        <f t="shared" si="91"/>
        <v>50128320000</v>
      </c>
      <c r="AS62" s="61">
        <f t="shared" si="51"/>
        <v>0.46248</v>
      </c>
      <c r="AT62" s="61">
        <f t="shared" si="52"/>
        <v>0.23869935483870966</v>
      </c>
      <c r="AU62" s="63">
        <f t="shared" si="53"/>
        <v>0.35153237873229226</v>
      </c>
      <c r="AV62" s="63">
        <f t="shared" si="92"/>
        <v>0.10002141802340757</v>
      </c>
      <c r="AW62" s="63">
        <f t="shared" si="93"/>
        <v>2.9760000000000003E-3</v>
      </c>
      <c r="AX62" s="63">
        <f t="shared" si="94"/>
        <v>0.24299000000000001</v>
      </c>
      <c r="AY62" s="63">
        <f t="shared" si="95"/>
        <v>0.24596600000000002</v>
      </c>
      <c r="AZ62" s="63">
        <f t="shared" si="96"/>
        <v>3.144908047696775</v>
      </c>
      <c r="BA62" s="64">
        <f t="shared" si="97"/>
        <v>117.5</v>
      </c>
      <c r="BB62" s="76">
        <f t="shared" si="54"/>
        <v>0.97393252563586485</v>
      </c>
      <c r="BC62" s="64">
        <f t="shared" si="55"/>
        <v>97.393252563586486</v>
      </c>
      <c r="BD62" s="63">
        <f t="shared" si="98"/>
        <v>1.7274646150271902</v>
      </c>
      <c r="BE62" s="63">
        <f t="shared" si="56"/>
        <v>1.0709688458848272</v>
      </c>
      <c r="BF62" s="63">
        <f t="shared" si="99"/>
        <v>0.71943646715253506</v>
      </c>
      <c r="BG62" s="63">
        <f t="shared" si="100"/>
        <v>0.35153237873229226</v>
      </c>
      <c r="BH62" s="63">
        <f t="shared" si="101"/>
        <v>0.10002141802340757</v>
      </c>
      <c r="BI62" s="63">
        <f t="shared" si="57"/>
        <v>0.24596600000000002</v>
      </c>
      <c r="BJ62" s="63">
        <f t="shared" si="58"/>
        <v>4.603962320903082E-4</v>
      </c>
      <c r="BK62" s="63">
        <f t="shared" si="59"/>
        <v>2.6772529259461768E-5</v>
      </c>
      <c r="BL62" s="63">
        <f t="shared" si="60"/>
        <v>3.1449080476967746</v>
      </c>
      <c r="BQ62" s="77"/>
      <c r="BR62" s="78"/>
    </row>
    <row r="63" spans="3:70" x14ac:dyDescent="0.25">
      <c r="C63" s="61">
        <v>51</v>
      </c>
      <c r="D63" s="61">
        <f t="shared" si="61"/>
        <v>100</v>
      </c>
      <c r="E63" s="61">
        <f t="shared" si="62"/>
        <v>100</v>
      </c>
      <c r="F63" s="61">
        <f t="shared" si="63"/>
        <v>100</v>
      </c>
      <c r="G63" s="73">
        <f t="shared" si="64"/>
        <v>24</v>
      </c>
      <c r="H63" s="64">
        <f t="shared" si="65"/>
        <v>1</v>
      </c>
      <c r="I63" s="63">
        <f t="shared" si="102"/>
        <v>5.0999999999999996</v>
      </c>
      <c r="J63" s="65">
        <f t="shared" si="66"/>
        <v>8.3533953124311573E-4</v>
      </c>
      <c r="K63" s="65">
        <f t="shared" si="67"/>
        <v>8.3533953124311573E-4</v>
      </c>
      <c r="L63" s="65">
        <f t="shared" si="68"/>
        <v>5.097492818882457E-3</v>
      </c>
      <c r="M63" s="65">
        <f t="shared" si="69"/>
        <v>4.0000000000000001E-3</v>
      </c>
      <c r="N63" s="63">
        <f t="shared" si="70"/>
        <v>0.98127739354106824</v>
      </c>
      <c r="O63" s="64">
        <f t="shared" si="71"/>
        <v>0.25349455730523501</v>
      </c>
      <c r="P63" s="64">
        <f t="shared" si="72"/>
        <v>5.226747278652617</v>
      </c>
      <c r="Q63" s="64">
        <f t="shared" si="73"/>
        <v>4.9732527213473823</v>
      </c>
      <c r="R63" s="64">
        <f t="shared" si="74"/>
        <v>0</v>
      </c>
      <c r="S63" s="64">
        <f t="shared" si="75"/>
        <v>5.1005249688192498</v>
      </c>
      <c r="T63" s="63">
        <f t="shared" si="42"/>
        <v>0.13261308507678216</v>
      </c>
      <c r="U63" s="63">
        <f t="shared" si="76"/>
        <v>1.6</v>
      </c>
      <c r="V63" s="63">
        <f t="shared" si="43"/>
        <v>1.7326130850767822</v>
      </c>
      <c r="W63" s="64">
        <f t="shared" si="44"/>
        <v>7.3177575449141233E-2</v>
      </c>
      <c r="X63" s="63">
        <f t="shared" si="77"/>
        <v>2.6774787743073786E-5</v>
      </c>
      <c r="Y63" s="63">
        <f t="shared" si="45"/>
        <v>2.6774787743073786E-5</v>
      </c>
      <c r="Z63" s="64">
        <f t="shared" si="78"/>
        <v>0.69134357195702567</v>
      </c>
      <c r="AA63" s="74">
        <f t="shared" si="79"/>
        <v>4.7795593448629917E-4</v>
      </c>
      <c r="AB63" s="75">
        <f t="shared" si="46"/>
        <v>4.7795593448629917E-4</v>
      </c>
      <c r="AC63" s="63">
        <f t="shared" si="80"/>
        <v>5.0525518012969455</v>
      </c>
      <c r="AD63" s="63">
        <f t="shared" si="47"/>
        <v>2.1324781202041593E-2</v>
      </c>
      <c r="AE63" s="63">
        <f t="shared" si="81"/>
        <v>2.7869605244693601E-2</v>
      </c>
      <c r="AF63" s="63">
        <f t="shared" si="82"/>
        <v>0.43675920203738561</v>
      </c>
      <c r="AG63" s="63">
        <f t="shared" si="83"/>
        <v>4.0608000000000005E-2</v>
      </c>
      <c r="AH63" s="63">
        <f t="shared" si="84"/>
        <v>0</v>
      </c>
      <c r="AI63" s="63">
        <f t="shared" si="48"/>
        <v>0.22378064516129031</v>
      </c>
      <c r="AJ63" s="63">
        <f t="shared" si="49"/>
        <v>0.72901745244336946</v>
      </c>
      <c r="AK63" s="63">
        <f t="shared" si="85"/>
        <v>0.6979077680894531</v>
      </c>
      <c r="AL63" s="63">
        <f t="shared" si="86"/>
        <v>4.0687321332032791E-4</v>
      </c>
      <c r="AM63" s="63">
        <f t="shared" si="87"/>
        <v>5.2898855467214251E-4</v>
      </c>
      <c r="AN63" s="63">
        <f t="shared" si="88"/>
        <v>0.11457943023226616</v>
      </c>
      <c r="AO63" s="63">
        <f t="shared" si="89"/>
        <v>636.4887349402386</v>
      </c>
      <c r="AP63" s="63">
        <f t="shared" si="50"/>
        <v>0.11457943023226616</v>
      </c>
      <c r="AQ63" s="61">
        <f t="shared" si="90"/>
        <v>0.46248</v>
      </c>
      <c r="AR63" s="61">
        <f t="shared" si="91"/>
        <v>50128320000</v>
      </c>
      <c r="AS63" s="61">
        <f t="shared" si="51"/>
        <v>0.46248</v>
      </c>
      <c r="AT63" s="61">
        <f t="shared" si="52"/>
        <v>0.23869935483870966</v>
      </c>
      <c r="AU63" s="63">
        <f t="shared" si="53"/>
        <v>0.35380777362564797</v>
      </c>
      <c r="AV63" s="63">
        <f t="shared" si="92"/>
        <v>0.10406141983019444</v>
      </c>
      <c r="AW63" s="63">
        <f t="shared" si="93"/>
        <v>2.9760000000000003E-3</v>
      </c>
      <c r="AX63" s="63">
        <f t="shared" si="94"/>
        <v>0.24299000000000001</v>
      </c>
      <c r="AY63" s="63">
        <f t="shared" si="95"/>
        <v>0.24596600000000002</v>
      </c>
      <c r="AZ63" s="63">
        <f t="shared" si="96"/>
        <v>3.1659704616982234</v>
      </c>
      <c r="BA63" s="64">
        <f t="shared" si="97"/>
        <v>119.85</v>
      </c>
      <c r="BB63" s="76">
        <f t="shared" si="54"/>
        <v>0.9742637443754999</v>
      </c>
      <c r="BC63" s="64">
        <f t="shared" si="55"/>
        <v>97.426374437549995</v>
      </c>
      <c r="BD63" s="63">
        <f t="shared" si="98"/>
        <v>1.7326130850767822</v>
      </c>
      <c r="BE63" s="63">
        <f t="shared" si="56"/>
        <v>1.0828252260690174</v>
      </c>
      <c r="BF63" s="63">
        <f t="shared" si="99"/>
        <v>0.72901745244336946</v>
      </c>
      <c r="BG63" s="63">
        <f t="shared" si="100"/>
        <v>0.35380777362564797</v>
      </c>
      <c r="BH63" s="63">
        <f t="shared" si="101"/>
        <v>0.10406141983019444</v>
      </c>
      <c r="BI63" s="63">
        <f t="shared" si="57"/>
        <v>0.24596600000000002</v>
      </c>
      <c r="BJ63" s="63">
        <f t="shared" si="58"/>
        <v>4.7795593448629917E-4</v>
      </c>
      <c r="BK63" s="63">
        <f t="shared" si="59"/>
        <v>2.6774787743073786E-5</v>
      </c>
      <c r="BL63" s="63">
        <f t="shared" si="60"/>
        <v>3.1659704616982229</v>
      </c>
      <c r="BQ63" s="77"/>
      <c r="BR63" s="78"/>
    </row>
    <row r="64" spans="3:70" x14ac:dyDescent="0.25">
      <c r="C64" s="61">
        <v>52</v>
      </c>
      <c r="D64" s="61">
        <f t="shared" si="61"/>
        <v>100</v>
      </c>
      <c r="E64" s="61">
        <f t="shared" si="62"/>
        <v>100</v>
      </c>
      <c r="F64" s="61">
        <f t="shared" si="63"/>
        <v>100</v>
      </c>
      <c r="G64" s="73">
        <f t="shared" si="64"/>
        <v>24</v>
      </c>
      <c r="H64" s="64">
        <f t="shared" si="65"/>
        <v>1</v>
      </c>
      <c r="I64" s="63">
        <f t="shared" si="102"/>
        <v>5.2</v>
      </c>
      <c r="J64" s="65">
        <f t="shared" si="66"/>
        <v>8.3533953124311573E-4</v>
      </c>
      <c r="K64" s="65">
        <f t="shared" si="67"/>
        <v>8.3533953124311573E-4</v>
      </c>
      <c r="L64" s="65">
        <f t="shared" si="68"/>
        <v>5.097492818882457E-3</v>
      </c>
      <c r="M64" s="65">
        <f t="shared" si="69"/>
        <v>4.0000000000000001E-3</v>
      </c>
      <c r="N64" s="63">
        <f t="shared" si="70"/>
        <v>0.98131878034252729</v>
      </c>
      <c r="O64" s="64">
        <f t="shared" si="71"/>
        <v>0.25350524880692776</v>
      </c>
      <c r="P64" s="64">
        <f t="shared" si="72"/>
        <v>5.326752624403464</v>
      </c>
      <c r="Q64" s="64">
        <f t="shared" si="73"/>
        <v>5.0732473755965364</v>
      </c>
      <c r="R64" s="64">
        <f t="shared" si="74"/>
        <v>0</v>
      </c>
      <c r="S64" s="64">
        <f t="shared" si="75"/>
        <v>5.2005149177042451</v>
      </c>
      <c r="T64" s="63">
        <f t="shared" si="42"/>
        <v>0.13786350498284905</v>
      </c>
      <c r="U64" s="63">
        <f t="shared" si="76"/>
        <v>1.6</v>
      </c>
      <c r="V64" s="63">
        <f t="shared" si="43"/>
        <v>1.7378635049828492</v>
      </c>
      <c r="W64" s="64">
        <f t="shared" si="44"/>
        <v>7.3180661819831405E-2</v>
      </c>
      <c r="X64" s="63">
        <f t="shared" si="77"/>
        <v>2.6777046321942651E-5</v>
      </c>
      <c r="Y64" s="63">
        <f t="shared" si="45"/>
        <v>2.6777046321942651E-5</v>
      </c>
      <c r="Z64" s="64">
        <f t="shared" si="78"/>
        <v>0.70413189211235405</v>
      </c>
      <c r="AA64" s="74">
        <f t="shared" si="79"/>
        <v>4.9580172148972379E-4</v>
      </c>
      <c r="AB64" s="75">
        <f t="shared" si="46"/>
        <v>4.9580172148972379E-4</v>
      </c>
      <c r="AC64" s="63">
        <f t="shared" si="80"/>
        <v>5.1517099281839913</v>
      </c>
      <c r="AD64" s="63">
        <f t="shared" si="47"/>
        <v>2.2170007377065745E-2</v>
      </c>
      <c r="AE64" s="63">
        <f t="shared" si="81"/>
        <v>2.8980348234655225E-2</v>
      </c>
      <c r="AF64" s="63">
        <f t="shared" si="82"/>
        <v>0.44525153542842794</v>
      </c>
      <c r="AG64" s="63">
        <f t="shared" si="83"/>
        <v>4.0608000000000005E-2</v>
      </c>
      <c r="AH64" s="63">
        <f t="shared" si="84"/>
        <v>0</v>
      </c>
      <c r="AI64" s="63">
        <f t="shared" si="48"/>
        <v>0.22378064516129031</v>
      </c>
      <c r="AJ64" s="63">
        <f t="shared" si="49"/>
        <v>0.73862052882437346</v>
      </c>
      <c r="AK64" s="63">
        <f t="shared" si="85"/>
        <v>0.71080252188275606</v>
      </c>
      <c r="AL64" s="63">
        <f t="shared" si="86"/>
        <v>4.2204713281263501E-4</v>
      </c>
      <c r="AM64" s="63">
        <f t="shared" si="87"/>
        <v>5.4871870577523579E-4</v>
      </c>
      <c r="AN64" s="63">
        <f t="shared" si="88"/>
        <v>0.11683541013224301</v>
      </c>
      <c r="AO64" s="63">
        <f t="shared" si="89"/>
        <v>649.02070328460979</v>
      </c>
      <c r="AP64" s="63">
        <f t="shared" si="50"/>
        <v>0.11683541013224301</v>
      </c>
      <c r="AQ64" s="61">
        <f t="shared" si="90"/>
        <v>0.46248</v>
      </c>
      <c r="AR64" s="61">
        <f t="shared" si="91"/>
        <v>50128320000</v>
      </c>
      <c r="AS64" s="61">
        <f t="shared" si="51"/>
        <v>0.46248</v>
      </c>
      <c r="AT64" s="61">
        <f t="shared" si="52"/>
        <v>0.23869935483870966</v>
      </c>
      <c r="AU64" s="63">
        <f t="shared" si="53"/>
        <v>0.35608348367672793</v>
      </c>
      <c r="AV64" s="63">
        <f t="shared" si="92"/>
        <v>0.10818142163705757</v>
      </c>
      <c r="AW64" s="63">
        <f t="shared" si="93"/>
        <v>2.9760000000000003E-3</v>
      </c>
      <c r="AX64" s="63">
        <f t="shared" si="94"/>
        <v>0.24299000000000001</v>
      </c>
      <c r="AY64" s="63">
        <f t="shared" si="95"/>
        <v>0.24596600000000002</v>
      </c>
      <c r="AZ64" s="63">
        <f t="shared" si="96"/>
        <v>3.1872375178888204</v>
      </c>
      <c r="BA64" s="64">
        <f t="shared" si="97"/>
        <v>122.2</v>
      </c>
      <c r="BB64" s="76">
        <f t="shared" si="54"/>
        <v>0.97458084585814331</v>
      </c>
      <c r="BC64" s="64">
        <f t="shared" si="55"/>
        <v>97.458084585814333</v>
      </c>
      <c r="BD64" s="63">
        <f t="shared" si="98"/>
        <v>1.7378635049828492</v>
      </c>
      <c r="BE64" s="63">
        <f t="shared" si="56"/>
        <v>1.0947040125011014</v>
      </c>
      <c r="BF64" s="63">
        <f t="shared" si="99"/>
        <v>0.73862052882437346</v>
      </c>
      <c r="BG64" s="63">
        <f t="shared" si="100"/>
        <v>0.35608348367672793</v>
      </c>
      <c r="BH64" s="63">
        <f t="shared" si="101"/>
        <v>0.10818142163705757</v>
      </c>
      <c r="BI64" s="63">
        <f t="shared" si="57"/>
        <v>0.24596600000000002</v>
      </c>
      <c r="BJ64" s="63">
        <f t="shared" si="58"/>
        <v>4.9580172148972379E-4</v>
      </c>
      <c r="BK64" s="63">
        <f t="shared" si="59"/>
        <v>2.6777046321942651E-5</v>
      </c>
      <c r="BL64" s="63">
        <f t="shared" si="60"/>
        <v>3.1872375178888204</v>
      </c>
      <c r="BQ64" s="77"/>
      <c r="BR64" s="78"/>
    </row>
    <row r="65" spans="3:70" x14ac:dyDescent="0.25">
      <c r="C65" s="61">
        <v>53</v>
      </c>
      <c r="D65" s="61">
        <f t="shared" si="61"/>
        <v>100</v>
      </c>
      <c r="E65" s="61">
        <f t="shared" si="62"/>
        <v>100</v>
      </c>
      <c r="F65" s="61">
        <f t="shared" si="63"/>
        <v>100</v>
      </c>
      <c r="G65" s="73">
        <f t="shared" si="64"/>
        <v>24</v>
      </c>
      <c r="H65" s="64">
        <f t="shared" si="65"/>
        <v>1</v>
      </c>
      <c r="I65" s="63">
        <f t="shared" si="102"/>
        <v>5.3</v>
      </c>
      <c r="J65" s="65">
        <f t="shared" si="66"/>
        <v>8.3533953124311573E-4</v>
      </c>
      <c r="K65" s="65">
        <f t="shared" si="67"/>
        <v>8.3533953124311573E-4</v>
      </c>
      <c r="L65" s="65">
        <f t="shared" si="68"/>
        <v>5.097492818882457E-3</v>
      </c>
      <c r="M65" s="65">
        <f t="shared" si="69"/>
        <v>4.0000000000000001E-3</v>
      </c>
      <c r="N65" s="63">
        <f t="shared" si="70"/>
        <v>0.98136016714398611</v>
      </c>
      <c r="O65" s="64">
        <f t="shared" si="71"/>
        <v>0.25351594030862051</v>
      </c>
      <c r="P65" s="64">
        <f t="shared" si="72"/>
        <v>5.4267579701543101</v>
      </c>
      <c r="Q65" s="64">
        <f t="shared" si="73"/>
        <v>5.1732420298456896</v>
      </c>
      <c r="R65" s="64">
        <f t="shared" si="74"/>
        <v>0</v>
      </c>
      <c r="S65" s="64">
        <f t="shared" si="75"/>
        <v>5.3005052458231958</v>
      </c>
      <c r="T65" s="63">
        <f t="shared" si="42"/>
        <v>0.14321587474539066</v>
      </c>
      <c r="U65" s="63">
        <f t="shared" si="76"/>
        <v>1.6</v>
      </c>
      <c r="V65" s="63">
        <f t="shared" si="43"/>
        <v>1.7432158747453907</v>
      </c>
      <c r="W65" s="64">
        <f t="shared" si="44"/>
        <v>7.3183748190521578E-2</v>
      </c>
      <c r="X65" s="63">
        <f t="shared" si="77"/>
        <v>2.6779304996068354E-5</v>
      </c>
      <c r="Y65" s="63">
        <f t="shared" si="45"/>
        <v>2.6779304996068354E-5</v>
      </c>
      <c r="Z65" s="64">
        <f t="shared" si="78"/>
        <v>0.71688994426513053</v>
      </c>
      <c r="AA65" s="74">
        <f t="shared" si="79"/>
        <v>5.13931192188462E-4</v>
      </c>
      <c r="AB65" s="75">
        <f t="shared" si="46"/>
        <v>5.13931192188462E-4</v>
      </c>
      <c r="AC65" s="63">
        <f t="shared" si="80"/>
        <v>5.2508726059313195</v>
      </c>
      <c r="AD65" s="63">
        <f t="shared" si="47"/>
        <v>2.3031700149361335E-2</v>
      </c>
      <c r="AE65" s="63">
        <f t="shared" si="81"/>
        <v>3.0113212698550662E-2</v>
      </c>
      <c r="AF65" s="63">
        <f t="shared" si="82"/>
        <v>0.45374386881947032</v>
      </c>
      <c r="AG65" s="63">
        <f t="shared" si="83"/>
        <v>4.0608000000000005E-2</v>
      </c>
      <c r="AH65" s="63">
        <f t="shared" si="84"/>
        <v>0</v>
      </c>
      <c r="AI65" s="63">
        <f t="shared" si="48"/>
        <v>0.22378064516129031</v>
      </c>
      <c r="AJ65" s="63">
        <f t="shared" si="49"/>
        <v>0.74824572667931122</v>
      </c>
      <c r="AK65" s="63">
        <f t="shared" si="85"/>
        <v>0.72366617806779931</v>
      </c>
      <c r="AL65" s="63">
        <f t="shared" si="86"/>
        <v>4.3746124567427768E-4</v>
      </c>
      <c r="AM65" s="63">
        <f t="shared" si="87"/>
        <v>5.6876132451386422E-4</v>
      </c>
      <c r="AN65" s="63">
        <f t="shared" si="88"/>
        <v>0.11909139003221979</v>
      </c>
      <c r="AO65" s="63">
        <f t="shared" si="89"/>
        <v>661.55267162898099</v>
      </c>
      <c r="AP65" s="63">
        <f t="shared" si="50"/>
        <v>0.11909139003221979</v>
      </c>
      <c r="AQ65" s="61">
        <f t="shared" si="90"/>
        <v>0.46248</v>
      </c>
      <c r="AR65" s="61">
        <f t="shared" si="91"/>
        <v>50128320000</v>
      </c>
      <c r="AS65" s="61">
        <f t="shared" si="51"/>
        <v>0.46248</v>
      </c>
      <c r="AT65" s="61">
        <f t="shared" si="52"/>
        <v>0.23869935483870966</v>
      </c>
      <c r="AU65" s="63">
        <f t="shared" si="53"/>
        <v>0.35835950619544332</v>
      </c>
      <c r="AV65" s="63">
        <f t="shared" si="92"/>
        <v>0.11238142344399686</v>
      </c>
      <c r="AW65" s="63">
        <f t="shared" si="93"/>
        <v>2.9760000000000003E-3</v>
      </c>
      <c r="AX65" s="63">
        <f t="shared" si="94"/>
        <v>0.24299000000000001</v>
      </c>
      <c r="AY65" s="63">
        <f t="shared" si="95"/>
        <v>0.24596600000000002</v>
      </c>
      <c r="AZ65" s="63">
        <f t="shared" si="96"/>
        <v>3.2087092415613272</v>
      </c>
      <c r="BA65" s="64">
        <f t="shared" si="97"/>
        <v>124.55</v>
      </c>
      <c r="BB65" s="76">
        <f t="shared" si="54"/>
        <v>0.97488461443756125</v>
      </c>
      <c r="BC65" s="64">
        <f t="shared" si="55"/>
        <v>97.488461443756123</v>
      </c>
      <c r="BD65" s="63">
        <f t="shared" si="98"/>
        <v>1.7432158747453907</v>
      </c>
      <c r="BE65" s="63">
        <f t="shared" si="56"/>
        <v>1.1066052328747547</v>
      </c>
      <c r="BF65" s="63">
        <f t="shared" si="99"/>
        <v>0.74824572667931122</v>
      </c>
      <c r="BG65" s="63">
        <f t="shared" si="100"/>
        <v>0.35835950619544332</v>
      </c>
      <c r="BH65" s="63">
        <f t="shared" si="101"/>
        <v>0.11238142344399686</v>
      </c>
      <c r="BI65" s="63">
        <f t="shared" si="57"/>
        <v>0.24596600000000002</v>
      </c>
      <c r="BJ65" s="63">
        <f t="shared" si="58"/>
        <v>5.13931192188462E-4</v>
      </c>
      <c r="BK65" s="63">
        <f t="shared" si="59"/>
        <v>2.6779304996068354E-5</v>
      </c>
      <c r="BL65" s="63">
        <f t="shared" si="60"/>
        <v>3.2087092415613272</v>
      </c>
      <c r="BQ65" s="77"/>
      <c r="BR65" s="78"/>
    </row>
    <row r="66" spans="3:70" x14ac:dyDescent="0.25">
      <c r="C66" s="61">
        <v>54</v>
      </c>
      <c r="D66" s="61">
        <f t="shared" si="61"/>
        <v>100</v>
      </c>
      <c r="E66" s="61">
        <f t="shared" si="62"/>
        <v>100</v>
      </c>
      <c r="F66" s="61">
        <f t="shared" si="63"/>
        <v>100</v>
      </c>
      <c r="G66" s="73">
        <f t="shared" si="64"/>
        <v>24</v>
      </c>
      <c r="H66" s="64">
        <f t="shared" si="65"/>
        <v>1</v>
      </c>
      <c r="I66" s="63">
        <f t="shared" si="102"/>
        <v>5.4</v>
      </c>
      <c r="J66" s="65">
        <f t="shared" si="66"/>
        <v>8.3533953124311573E-4</v>
      </c>
      <c r="K66" s="65">
        <f t="shared" si="67"/>
        <v>8.3533953124311573E-4</v>
      </c>
      <c r="L66" s="65">
        <f t="shared" si="68"/>
        <v>5.097492818882457E-3</v>
      </c>
      <c r="M66" s="65">
        <f t="shared" si="69"/>
        <v>4.0000000000000001E-3</v>
      </c>
      <c r="N66" s="63">
        <f t="shared" si="70"/>
        <v>0.98140155394544493</v>
      </c>
      <c r="O66" s="64">
        <f t="shared" si="71"/>
        <v>0.25352663181031326</v>
      </c>
      <c r="P66" s="64">
        <f t="shared" si="72"/>
        <v>5.526763315905157</v>
      </c>
      <c r="Q66" s="64">
        <f t="shared" si="73"/>
        <v>5.2732366840948437</v>
      </c>
      <c r="R66" s="64">
        <f t="shared" si="74"/>
        <v>0</v>
      </c>
      <c r="S66" s="64">
        <f t="shared" si="75"/>
        <v>5.4004959321115216</v>
      </c>
      <c r="T66" s="63">
        <f t="shared" si="42"/>
        <v>0.14867019436440704</v>
      </c>
      <c r="U66" s="63">
        <f t="shared" si="76"/>
        <v>1.6</v>
      </c>
      <c r="V66" s="63">
        <f t="shared" si="43"/>
        <v>1.7486701943644072</v>
      </c>
      <c r="W66" s="64">
        <f t="shared" si="44"/>
        <v>7.318683456121175E-2</v>
      </c>
      <c r="X66" s="63">
        <f t="shared" si="77"/>
        <v>2.6781563765450894E-5</v>
      </c>
      <c r="Y66" s="63">
        <f t="shared" si="45"/>
        <v>2.6781563765450894E-5</v>
      </c>
      <c r="Z66" s="64">
        <f t="shared" si="78"/>
        <v>0.7296176706051527</v>
      </c>
      <c r="AA66" s="74">
        <f t="shared" si="79"/>
        <v>5.3234194525928911E-4</v>
      </c>
      <c r="AB66" s="75">
        <f t="shared" si="46"/>
        <v>5.3234194525928911E-4</v>
      </c>
      <c r="AC66" s="63">
        <f t="shared" si="80"/>
        <v>5.3500398135629306</v>
      </c>
      <c r="AD66" s="63">
        <f t="shared" si="47"/>
        <v>2.3909861593250245E-2</v>
      </c>
      <c r="AE66" s="63">
        <f t="shared" si="81"/>
        <v>3.1268229593603883E-2</v>
      </c>
      <c r="AF66" s="63">
        <f t="shared" si="82"/>
        <v>0.46223620221051276</v>
      </c>
      <c r="AG66" s="63">
        <f t="shared" si="83"/>
        <v>4.0608000000000005E-2</v>
      </c>
      <c r="AH66" s="63">
        <f t="shared" si="84"/>
        <v>0</v>
      </c>
      <c r="AI66" s="63">
        <f t="shared" si="48"/>
        <v>0.22378064516129031</v>
      </c>
      <c r="AJ66" s="63">
        <f t="shared" si="49"/>
        <v>0.75789307696540686</v>
      </c>
      <c r="AK66" s="63">
        <f t="shared" si="85"/>
        <v>0.73649868027350585</v>
      </c>
      <c r="AL66" s="63">
        <f t="shared" si="86"/>
        <v>4.5311347758336922E-4</v>
      </c>
      <c r="AM66" s="63">
        <f t="shared" si="87"/>
        <v>5.8911372082933074E-4</v>
      </c>
      <c r="AN66" s="63">
        <f t="shared" si="88"/>
        <v>0.12134736993219664</v>
      </c>
      <c r="AO66" s="63">
        <f t="shared" si="89"/>
        <v>674.0846399733523</v>
      </c>
      <c r="AP66" s="63">
        <f t="shared" si="50"/>
        <v>0.12134736993219664</v>
      </c>
      <c r="AQ66" s="61">
        <f t="shared" si="90"/>
        <v>0.46248</v>
      </c>
      <c r="AR66" s="61">
        <f t="shared" si="91"/>
        <v>50128320000</v>
      </c>
      <c r="AS66" s="61">
        <f t="shared" si="51"/>
        <v>0.46248</v>
      </c>
      <c r="AT66" s="61">
        <f t="shared" si="52"/>
        <v>0.23869935483870966</v>
      </c>
      <c r="AU66" s="63">
        <f t="shared" si="53"/>
        <v>0.36063583849173564</v>
      </c>
      <c r="AV66" s="63">
        <f t="shared" si="92"/>
        <v>0.11666142525101238</v>
      </c>
      <c r="AW66" s="63">
        <f t="shared" si="93"/>
        <v>2.9760000000000003E-3</v>
      </c>
      <c r="AX66" s="63">
        <f t="shared" si="94"/>
        <v>0.24299000000000001</v>
      </c>
      <c r="AY66" s="63">
        <f t="shared" si="95"/>
        <v>0.24596600000000002</v>
      </c>
      <c r="AZ66" s="63">
        <f t="shared" si="96"/>
        <v>3.2303856585815871</v>
      </c>
      <c r="BA66" s="64">
        <f t="shared" si="97"/>
        <v>126.9</v>
      </c>
      <c r="BB66" s="76">
        <f t="shared" si="54"/>
        <v>0.97517577741560657</v>
      </c>
      <c r="BC66" s="64">
        <f t="shared" si="55"/>
        <v>97.517577741560658</v>
      </c>
      <c r="BD66" s="63">
        <f t="shared" si="98"/>
        <v>1.7486701943644072</v>
      </c>
      <c r="BE66" s="63">
        <f t="shared" si="56"/>
        <v>1.1185289154571425</v>
      </c>
      <c r="BF66" s="63">
        <f t="shared" si="99"/>
        <v>0.75789307696540686</v>
      </c>
      <c r="BG66" s="63">
        <f t="shared" si="100"/>
        <v>0.36063583849173564</v>
      </c>
      <c r="BH66" s="63">
        <f t="shared" si="101"/>
        <v>0.11666142525101238</v>
      </c>
      <c r="BI66" s="63">
        <f t="shared" si="57"/>
        <v>0.24596600000000002</v>
      </c>
      <c r="BJ66" s="63">
        <f t="shared" si="58"/>
        <v>5.3234194525928911E-4</v>
      </c>
      <c r="BK66" s="63">
        <f t="shared" si="59"/>
        <v>2.6781563765450894E-5</v>
      </c>
      <c r="BL66" s="63">
        <f t="shared" si="60"/>
        <v>3.2303856585815867</v>
      </c>
      <c r="BQ66" s="77"/>
      <c r="BR66" s="78"/>
    </row>
    <row r="67" spans="3:70" x14ac:dyDescent="0.25">
      <c r="C67" s="61">
        <v>55</v>
      </c>
      <c r="D67" s="61">
        <f t="shared" si="61"/>
        <v>100</v>
      </c>
      <c r="E67" s="61">
        <f t="shared" si="62"/>
        <v>100</v>
      </c>
      <c r="F67" s="61">
        <f t="shared" si="63"/>
        <v>100</v>
      </c>
      <c r="G67" s="73">
        <f t="shared" si="64"/>
        <v>24</v>
      </c>
      <c r="H67" s="64">
        <f t="shared" si="65"/>
        <v>1</v>
      </c>
      <c r="I67" s="63">
        <f t="shared" si="102"/>
        <v>5.5</v>
      </c>
      <c r="J67" s="65">
        <f t="shared" si="66"/>
        <v>8.3533953124311573E-4</v>
      </c>
      <c r="K67" s="65">
        <f t="shared" si="67"/>
        <v>8.3533953124311573E-4</v>
      </c>
      <c r="L67" s="65">
        <f t="shared" si="68"/>
        <v>5.097492818882457E-3</v>
      </c>
      <c r="M67" s="65">
        <f t="shared" si="69"/>
        <v>4.0000000000000001E-3</v>
      </c>
      <c r="N67" s="63">
        <f t="shared" si="70"/>
        <v>0.98144294074690375</v>
      </c>
      <c r="O67" s="64">
        <f t="shared" si="71"/>
        <v>0.25353732331200601</v>
      </c>
      <c r="P67" s="64">
        <f t="shared" si="72"/>
        <v>5.6267686616560031</v>
      </c>
      <c r="Q67" s="64">
        <f t="shared" si="73"/>
        <v>5.3732313383439969</v>
      </c>
      <c r="R67" s="64">
        <f t="shared" si="74"/>
        <v>0</v>
      </c>
      <c r="S67" s="64">
        <f t="shared" si="75"/>
        <v>5.5004869570362604</v>
      </c>
      <c r="T67" s="63">
        <f t="shared" si="42"/>
        <v>0.15422646383989816</v>
      </c>
      <c r="U67" s="63">
        <f t="shared" si="76"/>
        <v>1.6</v>
      </c>
      <c r="V67" s="63">
        <f t="shared" si="43"/>
        <v>1.7542264638398983</v>
      </c>
      <c r="W67" s="64">
        <f t="shared" si="44"/>
        <v>7.3189920931901936E-2</v>
      </c>
      <c r="X67" s="63">
        <f t="shared" si="77"/>
        <v>2.6783822630090285E-5</v>
      </c>
      <c r="Y67" s="63">
        <f t="shared" si="45"/>
        <v>2.6783822630090285E-5</v>
      </c>
      <c r="Z67" s="64">
        <f t="shared" si="78"/>
        <v>0.74231501329819383</v>
      </c>
      <c r="AA67" s="74">
        <f t="shared" si="79"/>
        <v>5.5103157896789772E-4</v>
      </c>
      <c r="AB67" s="75">
        <f t="shared" si="46"/>
        <v>5.5103157896789772E-4</v>
      </c>
      <c r="AC67" s="63">
        <f t="shared" si="80"/>
        <v>5.4492115316184178</v>
      </c>
      <c r="AD67" s="63">
        <f t="shared" si="47"/>
        <v>2.4804493783054368E-2</v>
      </c>
      <c r="AE67" s="63">
        <f t="shared" si="81"/>
        <v>3.2445430452501686E-2</v>
      </c>
      <c r="AF67" s="63">
        <f t="shared" si="82"/>
        <v>0.47072853560155503</v>
      </c>
      <c r="AG67" s="63">
        <f t="shared" si="83"/>
        <v>4.0608000000000005E-2</v>
      </c>
      <c r="AH67" s="63">
        <f t="shared" si="84"/>
        <v>0</v>
      </c>
      <c r="AI67" s="63">
        <f t="shared" si="48"/>
        <v>0.22378064516129031</v>
      </c>
      <c r="AJ67" s="63">
        <f t="shared" si="49"/>
        <v>0.76756261121534708</v>
      </c>
      <c r="AK67" s="63">
        <f t="shared" si="85"/>
        <v>0.74929997210921873</v>
      </c>
      <c r="AL67" s="63">
        <f t="shared" si="86"/>
        <v>4.6900175421802764E-4</v>
      </c>
      <c r="AM67" s="63">
        <f t="shared" si="87"/>
        <v>6.097732046896992E-4</v>
      </c>
      <c r="AN67" s="63">
        <f t="shared" si="88"/>
        <v>0.12360334983217344</v>
      </c>
      <c r="AO67" s="63">
        <f t="shared" si="89"/>
        <v>686.61660831772338</v>
      </c>
      <c r="AP67" s="63">
        <f t="shared" si="50"/>
        <v>0.12360334983217344</v>
      </c>
      <c r="AQ67" s="61">
        <f t="shared" si="90"/>
        <v>0.46248</v>
      </c>
      <c r="AR67" s="61">
        <f t="shared" si="91"/>
        <v>50128320000</v>
      </c>
      <c r="AS67" s="61">
        <f t="shared" si="51"/>
        <v>0.46248</v>
      </c>
      <c r="AT67" s="61">
        <f t="shared" si="52"/>
        <v>0.23869935483870966</v>
      </c>
      <c r="AU67" s="63">
        <f t="shared" si="53"/>
        <v>0.36291247787557279</v>
      </c>
      <c r="AV67" s="63">
        <f t="shared" si="92"/>
        <v>0.12102142705810408</v>
      </c>
      <c r="AW67" s="63">
        <f t="shared" si="93"/>
        <v>2.9760000000000003E-3</v>
      </c>
      <c r="AX67" s="63">
        <f t="shared" si="94"/>
        <v>0.24299000000000001</v>
      </c>
      <c r="AY67" s="63">
        <f t="shared" si="95"/>
        <v>0.24596600000000002</v>
      </c>
      <c r="AZ67" s="63">
        <f t="shared" si="96"/>
        <v>3.2522667953905202</v>
      </c>
      <c r="BA67" s="64">
        <f t="shared" si="97"/>
        <v>129.25</v>
      </c>
      <c r="BB67" s="76">
        <f t="shared" si="54"/>
        <v>0.97545501013644809</v>
      </c>
      <c r="BC67" s="64">
        <f t="shared" si="55"/>
        <v>97.54550101364481</v>
      </c>
      <c r="BD67" s="63">
        <f t="shared" si="98"/>
        <v>1.7542264638398983</v>
      </c>
      <c r="BE67" s="63">
        <f t="shared" si="56"/>
        <v>1.1304750890909199</v>
      </c>
      <c r="BF67" s="63">
        <f t="shared" si="99"/>
        <v>0.76756261121534708</v>
      </c>
      <c r="BG67" s="63">
        <f t="shared" si="100"/>
        <v>0.36291247787557279</v>
      </c>
      <c r="BH67" s="63">
        <f t="shared" si="101"/>
        <v>0.12102142705810408</v>
      </c>
      <c r="BI67" s="63">
        <f t="shared" si="57"/>
        <v>0.24596600000000002</v>
      </c>
      <c r="BJ67" s="63">
        <f t="shared" si="58"/>
        <v>5.5103157896789772E-4</v>
      </c>
      <c r="BK67" s="63">
        <f t="shared" si="59"/>
        <v>2.6783822630090285E-5</v>
      </c>
      <c r="BL67" s="63">
        <f t="shared" si="60"/>
        <v>3.2522667953905207</v>
      </c>
      <c r="BQ67" s="77"/>
      <c r="BR67" s="78"/>
    </row>
    <row r="68" spans="3:70" x14ac:dyDescent="0.25">
      <c r="C68" s="61">
        <v>56</v>
      </c>
      <c r="D68" s="61">
        <f t="shared" si="61"/>
        <v>100</v>
      </c>
      <c r="E68" s="61">
        <f t="shared" si="62"/>
        <v>100</v>
      </c>
      <c r="F68" s="61">
        <f t="shared" si="63"/>
        <v>100</v>
      </c>
      <c r="G68" s="73">
        <f t="shared" si="64"/>
        <v>24</v>
      </c>
      <c r="H68" s="64">
        <f t="shared" si="65"/>
        <v>1</v>
      </c>
      <c r="I68" s="63">
        <f t="shared" si="102"/>
        <v>5.6</v>
      </c>
      <c r="J68" s="65">
        <f t="shared" si="66"/>
        <v>8.3533953124311573E-4</v>
      </c>
      <c r="K68" s="65">
        <f t="shared" si="67"/>
        <v>8.3533953124311573E-4</v>
      </c>
      <c r="L68" s="65">
        <f t="shared" si="68"/>
        <v>5.097492818882457E-3</v>
      </c>
      <c r="M68" s="65">
        <f t="shared" si="69"/>
        <v>4.0000000000000001E-3</v>
      </c>
      <c r="N68" s="63">
        <f t="shared" si="70"/>
        <v>0.98148432754836268</v>
      </c>
      <c r="O68" s="64">
        <f t="shared" si="71"/>
        <v>0.25354801481369876</v>
      </c>
      <c r="P68" s="64">
        <f t="shared" si="72"/>
        <v>5.7267740074068492</v>
      </c>
      <c r="Q68" s="64">
        <f t="shared" si="73"/>
        <v>5.4732259925931501</v>
      </c>
      <c r="R68" s="64">
        <f t="shared" si="74"/>
        <v>0</v>
      </c>
      <c r="S68" s="64">
        <f t="shared" si="75"/>
        <v>5.6004783024593525</v>
      </c>
      <c r="T68" s="63">
        <f t="shared" si="42"/>
        <v>0.15988468317186402</v>
      </c>
      <c r="U68" s="63">
        <f t="shared" si="76"/>
        <v>1.6</v>
      </c>
      <c r="V68" s="63">
        <f t="shared" si="43"/>
        <v>1.7598846831718642</v>
      </c>
      <c r="W68" s="64">
        <f t="shared" si="44"/>
        <v>7.3193007302592109E-2</v>
      </c>
      <c r="X68" s="63">
        <f t="shared" si="77"/>
        <v>2.6786081589986511E-5</v>
      </c>
      <c r="Y68" s="63">
        <f t="shared" si="45"/>
        <v>2.6786081589986511E-5</v>
      </c>
      <c r="Z68" s="64">
        <f t="shared" si="78"/>
        <v>0.75498191446476959</v>
      </c>
      <c r="AA68" s="74">
        <f t="shared" si="79"/>
        <v>5.6999769116888865E-4</v>
      </c>
      <c r="AB68" s="75">
        <f t="shared" si="46"/>
        <v>5.6999769116888865E-4</v>
      </c>
      <c r="AC68" s="63">
        <f t="shared" si="80"/>
        <v>5.5483877420176793</v>
      </c>
      <c r="AD68" s="63">
        <f t="shared" si="47"/>
        <v>2.5715598793095575E-2</v>
      </c>
      <c r="AE68" s="63">
        <f t="shared" si="81"/>
        <v>3.36448473854353E-2</v>
      </c>
      <c r="AF68" s="63">
        <f t="shared" si="82"/>
        <v>0.47922086899259736</v>
      </c>
      <c r="AG68" s="63">
        <f t="shared" si="83"/>
        <v>4.0608000000000005E-2</v>
      </c>
      <c r="AH68" s="63">
        <f t="shared" si="84"/>
        <v>0</v>
      </c>
      <c r="AI68" s="63">
        <f t="shared" si="48"/>
        <v>0.22378064516129031</v>
      </c>
      <c r="AJ68" s="63">
        <f t="shared" si="49"/>
        <v>0.77725436153932304</v>
      </c>
      <c r="AK68" s="63">
        <f t="shared" si="85"/>
        <v>0.76206999714326962</v>
      </c>
      <c r="AL68" s="63">
        <f t="shared" si="86"/>
        <v>4.8512400125636841E-4</v>
      </c>
      <c r="AM68" s="63">
        <f t="shared" si="87"/>
        <v>6.3073708608661692E-4</v>
      </c>
      <c r="AN68" s="63">
        <f t="shared" si="88"/>
        <v>0.12585932973215025</v>
      </c>
      <c r="AO68" s="63">
        <f t="shared" si="89"/>
        <v>699.14857666209468</v>
      </c>
      <c r="AP68" s="63">
        <f t="shared" si="50"/>
        <v>0.12585932973215025</v>
      </c>
      <c r="AQ68" s="61">
        <f t="shared" si="90"/>
        <v>0.46248</v>
      </c>
      <c r="AR68" s="61">
        <f t="shared" si="91"/>
        <v>50128320000</v>
      </c>
      <c r="AS68" s="61">
        <f t="shared" si="51"/>
        <v>0.46248</v>
      </c>
      <c r="AT68" s="61">
        <f t="shared" si="52"/>
        <v>0.23869935483870966</v>
      </c>
      <c r="AU68" s="63">
        <f t="shared" si="53"/>
        <v>0.36518942165694657</v>
      </c>
      <c r="AV68" s="63">
        <f t="shared" si="92"/>
        <v>0.12546142886527198</v>
      </c>
      <c r="AW68" s="63">
        <f t="shared" si="93"/>
        <v>2.9760000000000003E-3</v>
      </c>
      <c r="AX68" s="63">
        <f t="shared" si="94"/>
        <v>0.24299000000000001</v>
      </c>
      <c r="AY68" s="63">
        <f t="shared" si="95"/>
        <v>0.24596600000000002</v>
      </c>
      <c r="AZ68" s="63">
        <f t="shared" si="96"/>
        <v>3.2743526790061646</v>
      </c>
      <c r="BA68" s="64">
        <f t="shared" si="97"/>
        <v>131.6</v>
      </c>
      <c r="BB68" s="76">
        <f t="shared" si="54"/>
        <v>0.97572294054453068</v>
      </c>
      <c r="BC68" s="64">
        <f t="shared" si="55"/>
        <v>97.572294054453067</v>
      </c>
      <c r="BD68" s="63">
        <f t="shared" si="98"/>
        <v>1.7598846831718642</v>
      </c>
      <c r="BE68" s="63">
        <f t="shared" si="56"/>
        <v>1.1424437831962697</v>
      </c>
      <c r="BF68" s="63">
        <f t="shared" si="99"/>
        <v>0.77725436153932304</v>
      </c>
      <c r="BG68" s="63">
        <f t="shared" si="100"/>
        <v>0.36518942165694657</v>
      </c>
      <c r="BH68" s="63">
        <f t="shared" si="101"/>
        <v>0.12546142886527198</v>
      </c>
      <c r="BI68" s="63">
        <f t="shared" si="57"/>
        <v>0.24596600000000002</v>
      </c>
      <c r="BJ68" s="63">
        <f t="shared" si="58"/>
        <v>5.6999769116888865E-4</v>
      </c>
      <c r="BK68" s="63">
        <f t="shared" si="59"/>
        <v>2.6786081589986511E-5</v>
      </c>
      <c r="BL68" s="63">
        <f t="shared" si="60"/>
        <v>3.274352679006165</v>
      </c>
      <c r="BQ68" s="77"/>
      <c r="BR68" s="78"/>
    </row>
    <row r="69" spans="3:70" x14ac:dyDescent="0.25">
      <c r="C69" s="61">
        <v>57</v>
      </c>
      <c r="D69" s="61">
        <f t="shared" si="61"/>
        <v>100</v>
      </c>
      <c r="E69" s="61">
        <f t="shared" si="62"/>
        <v>100</v>
      </c>
      <c r="F69" s="61">
        <f t="shared" si="63"/>
        <v>100</v>
      </c>
      <c r="G69" s="73">
        <f t="shared" si="64"/>
        <v>24</v>
      </c>
      <c r="H69" s="64">
        <f t="shared" si="65"/>
        <v>1</v>
      </c>
      <c r="I69" s="63">
        <f t="shared" si="102"/>
        <v>5.7</v>
      </c>
      <c r="J69" s="65">
        <f t="shared" si="66"/>
        <v>8.3533953124311573E-4</v>
      </c>
      <c r="K69" s="65">
        <f t="shared" si="67"/>
        <v>8.3533953124311573E-4</v>
      </c>
      <c r="L69" s="65">
        <f t="shared" si="68"/>
        <v>5.097492818882457E-3</v>
      </c>
      <c r="M69" s="65">
        <f t="shared" si="69"/>
        <v>4.0000000000000001E-3</v>
      </c>
      <c r="N69" s="63">
        <f t="shared" si="70"/>
        <v>0.9815257143498215</v>
      </c>
      <c r="O69" s="64">
        <f t="shared" si="71"/>
        <v>0.25355870631539146</v>
      </c>
      <c r="P69" s="64">
        <f t="shared" si="72"/>
        <v>5.8267793531576961</v>
      </c>
      <c r="Q69" s="64">
        <f t="shared" si="73"/>
        <v>5.5732206468423042</v>
      </c>
      <c r="R69" s="64">
        <f t="shared" si="74"/>
        <v>0</v>
      </c>
      <c r="S69" s="64">
        <f t="shared" si="75"/>
        <v>5.7004699515153163</v>
      </c>
      <c r="T69" s="63">
        <f t="shared" si="42"/>
        <v>0.16564485236030471</v>
      </c>
      <c r="U69" s="63">
        <f t="shared" si="76"/>
        <v>1.6</v>
      </c>
      <c r="V69" s="63">
        <f t="shared" si="43"/>
        <v>1.7656448523603048</v>
      </c>
      <c r="W69" s="64">
        <f t="shared" si="44"/>
        <v>7.3196093673282267E-2</v>
      </c>
      <c r="X69" s="63">
        <f t="shared" si="77"/>
        <v>2.6788340645139559E-5</v>
      </c>
      <c r="Y69" s="63">
        <f t="shared" si="45"/>
        <v>2.6788340645139559E-5</v>
      </c>
      <c r="Z69" s="64">
        <f t="shared" si="78"/>
        <v>0.76761831616095888</v>
      </c>
      <c r="AA69" s="74">
        <f t="shared" si="79"/>
        <v>5.8923787930578589E-4</v>
      </c>
      <c r="AB69" s="75">
        <f t="shared" si="46"/>
        <v>5.8923787930578589E-4</v>
      </c>
      <c r="AC69" s="63">
        <f t="shared" si="80"/>
        <v>5.6475684279398779</v>
      </c>
      <c r="AD69" s="63">
        <f t="shared" si="47"/>
        <v>2.6643178697695783E-2</v>
      </c>
      <c r="AE69" s="63">
        <f t="shared" si="81"/>
        <v>3.4866513082180813E-2</v>
      </c>
      <c r="AF69" s="63">
        <f t="shared" si="82"/>
        <v>0.48771320238363969</v>
      </c>
      <c r="AG69" s="63">
        <f t="shared" si="83"/>
        <v>4.0608000000000005E-2</v>
      </c>
      <c r="AH69" s="63">
        <f t="shared" si="84"/>
        <v>0</v>
      </c>
      <c r="AI69" s="63">
        <f t="shared" si="48"/>
        <v>0.22378064516129031</v>
      </c>
      <c r="AJ69" s="63">
        <f t="shared" si="49"/>
        <v>0.78696836062711073</v>
      </c>
      <c r="AK69" s="63">
        <f t="shared" si="85"/>
        <v>0.7748086988836238</v>
      </c>
      <c r="AL69" s="63">
        <f t="shared" si="86"/>
        <v>5.0147814437651571E-4</v>
      </c>
      <c r="AM69" s="63">
        <f t="shared" si="87"/>
        <v>6.5200267503218818E-4</v>
      </c>
      <c r="AN69" s="63">
        <f t="shared" si="88"/>
        <v>0.12811530963212708</v>
      </c>
      <c r="AO69" s="63">
        <f t="shared" si="89"/>
        <v>711.68054500646599</v>
      </c>
      <c r="AP69" s="63">
        <f t="shared" si="50"/>
        <v>0.12811530963212708</v>
      </c>
      <c r="AQ69" s="61">
        <f t="shared" si="90"/>
        <v>0.46248</v>
      </c>
      <c r="AR69" s="61">
        <f t="shared" si="91"/>
        <v>50128320000</v>
      </c>
      <c r="AS69" s="61">
        <f t="shared" si="51"/>
        <v>0.46248</v>
      </c>
      <c r="AT69" s="61">
        <f t="shared" si="52"/>
        <v>0.23869935483870966</v>
      </c>
      <c r="AU69" s="63">
        <f t="shared" si="53"/>
        <v>0.36746666714586895</v>
      </c>
      <c r="AV69" s="63">
        <f t="shared" si="92"/>
        <v>0.12998143067251614</v>
      </c>
      <c r="AW69" s="63">
        <f t="shared" si="93"/>
        <v>2.9760000000000003E-3</v>
      </c>
      <c r="AX69" s="63">
        <f t="shared" si="94"/>
        <v>0.24299000000000001</v>
      </c>
      <c r="AY69" s="63">
        <f t="shared" si="95"/>
        <v>0.24596600000000002</v>
      </c>
      <c r="AZ69" s="63">
        <f t="shared" si="96"/>
        <v>3.2966433370257517</v>
      </c>
      <c r="BA69" s="64">
        <f t="shared" si="97"/>
        <v>133.95000000000002</v>
      </c>
      <c r="BB69" s="76">
        <f t="shared" si="54"/>
        <v>0.97598015327099519</v>
      </c>
      <c r="BC69" s="64">
        <f t="shared" si="55"/>
        <v>97.598015327099517</v>
      </c>
      <c r="BD69" s="63">
        <f t="shared" si="98"/>
        <v>1.7656448523603048</v>
      </c>
      <c r="BE69" s="63">
        <f t="shared" si="56"/>
        <v>1.1544350277729798</v>
      </c>
      <c r="BF69" s="63">
        <f t="shared" si="99"/>
        <v>0.78696836062711073</v>
      </c>
      <c r="BG69" s="63">
        <f t="shared" si="100"/>
        <v>0.36746666714586895</v>
      </c>
      <c r="BH69" s="63">
        <f t="shared" si="101"/>
        <v>0.12998143067251614</v>
      </c>
      <c r="BI69" s="63">
        <f t="shared" si="57"/>
        <v>0.24596600000000002</v>
      </c>
      <c r="BJ69" s="63">
        <f t="shared" si="58"/>
        <v>5.8923787930578589E-4</v>
      </c>
      <c r="BK69" s="63">
        <f t="shared" si="59"/>
        <v>2.6788340645139559E-5</v>
      </c>
      <c r="BL69" s="63">
        <f t="shared" si="60"/>
        <v>3.2966433370257517</v>
      </c>
      <c r="BQ69" s="77"/>
      <c r="BR69" s="78"/>
    </row>
    <row r="70" spans="3:70" x14ac:dyDescent="0.25">
      <c r="C70" s="61">
        <v>58</v>
      </c>
      <c r="D70" s="61">
        <f t="shared" si="61"/>
        <v>100</v>
      </c>
      <c r="E70" s="61">
        <f t="shared" si="62"/>
        <v>100</v>
      </c>
      <c r="F70" s="61">
        <f t="shared" si="63"/>
        <v>100</v>
      </c>
      <c r="G70" s="73">
        <f t="shared" si="64"/>
        <v>24</v>
      </c>
      <c r="H70" s="64">
        <f t="shared" si="65"/>
        <v>1</v>
      </c>
      <c r="I70" s="63">
        <f t="shared" si="102"/>
        <v>5.8</v>
      </c>
      <c r="J70" s="65">
        <f t="shared" si="66"/>
        <v>8.3533953124311573E-4</v>
      </c>
      <c r="K70" s="65">
        <f t="shared" si="67"/>
        <v>8.3533953124311573E-4</v>
      </c>
      <c r="L70" s="65">
        <f t="shared" si="68"/>
        <v>5.097492818882457E-3</v>
      </c>
      <c r="M70" s="65">
        <f t="shared" si="69"/>
        <v>4.0000000000000001E-3</v>
      </c>
      <c r="N70" s="63">
        <f t="shared" si="70"/>
        <v>0.98156710115128032</v>
      </c>
      <c r="O70" s="64">
        <f t="shared" si="71"/>
        <v>0.25356939781708421</v>
      </c>
      <c r="P70" s="64">
        <f t="shared" si="72"/>
        <v>5.9267846989085422</v>
      </c>
      <c r="Q70" s="64">
        <f t="shared" si="73"/>
        <v>5.6732153010914574</v>
      </c>
      <c r="R70" s="64">
        <f t="shared" si="74"/>
        <v>0</v>
      </c>
      <c r="S70" s="64">
        <f t="shared" si="75"/>
        <v>5.8004618885015624</v>
      </c>
      <c r="T70" s="63">
        <f t="shared" si="42"/>
        <v>0.17150697140522014</v>
      </c>
      <c r="U70" s="63">
        <f t="shared" si="76"/>
        <v>1.6</v>
      </c>
      <c r="V70" s="63">
        <f t="shared" si="43"/>
        <v>1.7715069714052203</v>
      </c>
      <c r="W70" s="64">
        <f t="shared" si="44"/>
        <v>7.3199180043972439E-2</v>
      </c>
      <c r="X70" s="63">
        <f t="shared" si="77"/>
        <v>2.6790599795549466E-5</v>
      </c>
      <c r="Y70" s="63">
        <f t="shared" si="45"/>
        <v>2.6790599795549466E-5</v>
      </c>
      <c r="Z70" s="64">
        <f t="shared" si="78"/>
        <v>0.78022416036099063</v>
      </c>
      <c r="AA70" s="74">
        <f t="shared" si="79"/>
        <v>6.0874974041101278E-4</v>
      </c>
      <c r="AB70" s="75">
        <f t="shared" si="46"/>
        <v>6.0874974041101278E-4</v>
      </c>
      <c r="AC70" s="63">
        <f t="shared" si="80"/>
        <v>5.7467535737148978</v>
      </c>
      <c r="AD70" s="63">
        <f t="shared" si="47"/>
        <v>2.7587235571176809E-2</v>
      </c>
      <c r="AE70" s="63">
        <f t="shared" si="81"/>
        <v>3.6110460814218114E-2</v>
      </c>
      <c r="AF70" s="63">
        <f t="shared" si="82"/>
        <v>0.49620553577468207</v>
      </c>
      <c r="AG70" s="63">
        <f t="shared" si="83"/>
        <v>4.0608000000000005E-2</v>
      </c>
      <c r="AH70" s="63">
        <f t="shared" si="84"/>
        <v>0</v>
      </c>
      <c r="AI70" s="63">
        <f t="shared" si="48"/>
        <v>0.22378064516129031</v>
      </c>
      <c r="AJ70" s="63">
        <f t="shared" si="49"/>
        <v>0.7967046417501904</v>
      </c>
      <c r="AK70" s="63">
        <f t="shared" si="85"/>
        <v>0.78751602076031169</v>
      </c>
      <c r="AL70" s="63">
        <f t="shared" si="86"/>
        <v>5.1806210925658481E-4</v>
      </c>
      <c r="AM70" s="63">
        <f t="shared" si="87"/>
        <v>6.7356728155583943E-4</v>
      </c>
      <c r="AN70" s="63">
        <f t="shared" si="88"/>
        <v>0.13037128953210389</v>
      </c>
      <c r="AO70" s="63">
        <f t="shared" si="89"/>
        <v>724.21251335083707</v>
      </c>
      <c r="AP70" s="63">
        <f t="shared" si="50"/>
        <v>0.13037128953210389</v>
      </c>
      <c r="AQ70" s="61">
        <f t="shared" si="90"/>
        <v>0.46248</v>
      </c>
      <c r="AR70" s="61">
        <f t="shared" si="91"/>
        <v>50128320000</v>
      </c>
      <c r="AS70" s="61">
        <f t="shared" si="51"/>
        <v>0.46248</v>
      </c>
      <c r="AT70" s="61">
        <f t="shared" si="52"/>
        <v>0.23869935483870966</v>
      </c>
      <c r="AU70" s="63">
        <f t="shared" si="53"/>
        <v>0.36974421165236937</v>
      </c>
      <c r="AV70" s="63">
        <f t="shared" si="92"/>
        <v>0.13458143247983645</v>
      </c>
      <c r="AW70" s="63">
        <f t="shared" si="93"/>
        <v>2.9760000000000003E-3</v>
      </c>
      <c r="AX70" s="63">
        <f t="shared" si="94"/>
        <v>0.24299000000000001</v>
      </c>
      <c r="AY70" s="63">
        <f t="shared" si="95"/>
        <v>0.24596600000000002</v>
      </c>
      <c r="AZ70" s="63">
        <f t="shared" si="96"/>
        <v>3.319138797627823</v>
      </c>
      <c r="BA70" s="64">
        <f t="shared" si="97"/>
        <v>136.29999999999998</v>
      </c>
      <c r="BB70" s="76">
        <f t="shared" si="54"/>
        <v>0.97622719330450258</v>
      </c>
      <c r="BC70" s="64">
        <f t="shared" si="55"/>
        <v>97.622719330450252</v>
      </c>
      <c r="BD70" s="63">
        <f t="shared" si="98"/>
        <v>1.7715069714052203</v>
      </c>
      <c r="BE70" s="63">
        <f t="shared" si="56"/>
        <v>1.1664488534025597</v>
      </c>
      <c r="BF70" s="63">
        <f t="shared" si="99"/>
        <v>0.7967046417501904</v>
      </c>
      <c r="BG70" s="63">
        <f t="shared" si="100"/>
        <v>0.36974421165236937</v>
      </c>
      <c r="BH70" s="63">
        <f t="shared" si="101"/>
        <v>0.13458143247983645</v>
      </c>
      <c r="BI70" s="63">
        <f t="shared" si="57"/>
        <v>0.24596600000000002</v>
      </c>
      <c r="BJ70" s="63">
        <f t="shared" si="58"/>
        <v>6.0874974041101278E-4</v>
      </c>
      <c r="BK70" s="63">
        <f t="shared" si="59"/>
        <v>2.6790599795549466E-5</v>
      </c>
      <c r="BL70" s="63">
        <f t="shared" si="60"/>
        <v>3.319138797627823</v>
      </c>
      <c r="BQ70" s="77"/>
      <c r="BR70" s="78"/>
    </row>
    <row r="71" spans="3:70" x14ac:dyDescent="0.25">
      <c r="C71" s="61">
        <v>59</v>
      </c>
      <c r="D71" s="61">
        <f t="shared" si="61"/>
        <v>100</v>
      </c>
      <c r="E71" s="61">
        <f t="shared" si="62"/>
        <v>100</v>
      </c>
      <c r="F71" s="61">
        <f t="shared" si="63"/>
        <v>100</v>
      </c>
      <c r="G71" s="73">
        <f t="shared" si="64"/>
        <v>24</v>
      </c>
      <c r="H71" s="64">
        <f t="shared" si="65"/>
        <v>1</v>
      </c>
      <c r="I71" s="63">
        <f t="shared" si="102"/>
        <v>5.9</v>
      </c>
      <c r="J71" s="65">
        <f t="shared" si="66"/>
        <v>8.3533953124311573E-4</v>
      </c>
      <c r="K71" s="65">
        <f t="shared" si="67"/>
        <v>8.3533953124311573E-4</v>
      </c>
      <c r="L71" s="65">
        <f t="shared" si="68"/>
        <v>5.097492818882457E-3</v>
      </c>
      <c r="M71" s="65">
        <f t="shared" si="69"/>
        <v>4.0000000000000001E-3</v>
      </c>
      <c r="N71" s="63">
        <f t="shared" si="70"/>
        <v>0.98160848795273914</v>
      </c>
      <c r="O71" s="64">
        <f t="shared" si="71"/>
        <v>0.25358008931877696</v>
      </c>
      <c r="P71" s="64">
        <f t="shared" si="72"/>
        <v>6.0267900446593892</v>
      </c>
      <c r="Q71" s="64">
        <f t="shared" si="73"/>
        <v>5.7732099553406115</v>
      </c>
      <c r="R71" s="64">
        <f t="shared" si="74"/>
        <v>0</v>
      </c>
      <c r="S71" s="64">
        <f t="shared" si="75"/>
        <v>5.9004540987798766</v>
      </c>
      <c r="T71" s="63">
        <f t="shared" si="42"/>
        <v>0.17747104030661034</v>
      </c>
      <c r="U71" s="63">
        <f t="shared" si="76"/>
        <v>1.6</v>
      </c>
      <c r="V71" s="63">
        <f t="shared" si="43"/>
        <v>1.7774710403066105</v>
      </c>
      <c r="W71" s="64">
        <f t="shared" si="44"/>
        <v>7.3202266414662612E-2</v>
      </c>
      <c r="X71" s="63">
        <f t="shared" si="77"/>
        <v>2.679285904121621E-5</v>
      </c>
      <c r="Y71" s="63">
        <f t="shared" si="45"/>
        <v>2.679285904121621E-5</v>
      </c>
      <c r="Z71" s="64">
        <f t="shared" si="78"/>
        <v>0.79279938894143342</v>
      </c>
      <c r="AA71" s="74">
        <f t="shared" si="79"/>
        <v>6.2853087110591025E-4</v>
      </c>
      <c r="AB71" s="75">
        <f t="shared" si="46"/>
        <v>6.2853087110591025E-4</v>
      </c>
      <c r="AC71" s="63">
        <f t="shared" si="80"/>
        <v>5.8459431647258704</v>
      </c>
      <c r="AD71" s="63">
        <f t="shared" si="47"/>
        <v>2.8547771487860595E-2</v>
      </c>
      <c r="AE71" s="63">
        <f t="shared" si="81"/>
        <v>3.7376724436889663E-2</v>
      </c>
      <c r="AF71" s="63">
        <f t="shared" si="82"/>
        <v>0.50469786916572446</v>
      </c>
      <c r="AG71" s="63">
        <f t="shared" si="83"/>
        <v>4.0608000000000005E-2</v>
      </c>
      <c r="AH71" s="63">
        <f t="shared" si="84"/>
        <v>0</v>
      </c>
      <c r="AI71" s="63">
        <f t="shared" si="48"/>
        <v>0.22378064516129031</v>
      </c>
      <c r="AJ71" s="63">
        <f t="shared" si="49"/>
        <v>0.80646323876390436</v>
      </c>
      <c r="AK71" s="63">
        <f t="shared" si="85"/>
        <v>0.80019190610947699</v>
      </c>
      <c r="AL71" s="63">
        <f t="shared" si="86"/>
        <v>5.3487382157469375E-4</v>
      </c>
      <c r="AM71" s="63">
        <f t="shared" si="87"/>
        <v>6.9542821570124798E-4</v>
      </c>
      <c r="AN71" s="63">
        <f t="shared" si="88"/>
        <v>0.13262726943208072</v>
      </c>
      <c r="AO71" s="63">
        <f t="shared" si="89"/>
        <v>736.74448169520838</v>
      </c>
      <c r="AP71" s="63">
        <f t="shared" si="50"/>
        <v>0.13262726943208072</v>
      </c>
      <c r="AQ71" s="61">
        <f t="shared" si="90"/>
        <v>0.46248</v>
      </c>
      <c r="AR71" s="61">
        <f t="shared" si="91"/>
        <v>50128320000</v>
      </c>
      <c r="AS71" s="61">
        <f t="shared" si="51"/>
        <v>0.46248</v>
      </c>
      <c r="AT71" s="61">
        <f t="shared" si="52"/>
        <v>0.23869935483870966</v>
      </c>
      <c r="AU71" s="63">
        <f t="shared" si="53"/>
        <v>0.37202205248649167</v>
      </c>
      <c r="AV71" s="63">
        <f t="shared" si="92"/>
        <v>0.13926143428723298</v>
      </c>
      <c r="AW71" s="63">
        <f t="shared" si="93"/>
        <v>2.9760000000000003E-3</v>
      </c>
      <c r="AX71" s="63">
        <f t="shared" si="94"/>
        <v>0.24299000000000001</v>
      </c>
      <c r="AY71" s="63">
        <f t="shared" si="95"/>
        <v>0.24596600000000002</v>
      </c>
      <c r="AZ71" s="63">
        <f t="shared" si="96"/>
        <v>3.3418390895743872</v>
      </c>
      <c r="BA71" s="64">
        <f t="shared" si="97"/>
        <v>138.65</v>
      </c>
      <c r="BB71" s="76">
        <f t="shared" si="54"/>
        <v>0.97646456929495629</v>
      </c>
      <c r="BC71" s="64">
        <f t="shared" si="55"/>
        <v>97.646456929495628</v>
      </c>
      <c r="BD71" s="63">
        <f t="shared" si="98"/>
        <v>1.7774710403066105</v>
      </c>
      <c r="BE71" s="63">
        <f t="shared" si="56"/>
        <v>1.178485291250396</v>
      </c>
      <c r="BF71" s="63">
        <f t="shared" si="99"/>
        <v>0.80646323876390436</v>
      </c>
      <c r="BG71" s="63">
        <f t="shared" si="100"/>
        <v>0.37202205248649167</v>
      </c>
      <c r="BH71" s="63">
        <f t="shared" si="101"/>
        <v>0.13926143428723298</v>
      </c>
      <c r="BI71" s="63">
        <f t="shared" si="57"/>
        <v>0.24596600000000002</v>
      </c>
      <c r="BJ71" s="63">
        <f t="shared" si="58"/>
        <v>6.2853087110591025E-4</v>
      </c>
      <c r="BK71" s="63">
        <f t="shared" si="59"/>
        <v>2.679285904121621E-5</v>
      </c>
      <c r="BL71" s="63">
        <f t="shared" si="60"/>
        <v>3.3418390895743868</v>
      </c>
      <c r="BQ71" s="77"/>
      <c r="BR71" s="78"/>
    </row>
    <row r="72" spans="3:70" s="81" customFormat="1" x14ac:dyDescent="0.25">
      <c r="C72" s="81">
        <v>60</v>
      </c>
      <c r="D72" s="61">
        <f t="shared" si="61"/>
        <v>100</v>
      </c>
      <c r="E72" s="61">
        <f t="shared" si="62"/>
        <v>100</v>
      </c>
      <c r="F72" s="61">
        <f t="shared" si="63"/>
        <v>100</v>
      </c>
      <c r="G72" s="89">
        <f t="shared" si="64"/>
        <v>24</v>
      </c>
      <c r="H72" s="85">
        <f t="shared" si="65"/>
        <v>1</v>
      </c>
      <c r="I72" s="86">
        <f t="shared" si="102"/>
        <v>6</v>
      </c>
      <c r="J72" s="90">
        <f t="shared" si="66"/>
        <v>8.3533953124311573E-4</v>
      </c>
      <c r="K72" s="90">
        <f t="shared" si="67"/>
        <v>8.3533953124311573E-4</v>
      </c>
      <c r="L72" s="90">
        <f t="shared" si="68"/>
        <v>5.097492818882457E-3</v>
      </c>
      <c r="M72" s="90">
        <f t="shared" si="69"/>
        <v>4.0000000000000001E-3</v>
      </c>
      <c r="N72" s="86">
        <f t="shared" si="70"/>
        <v>0.98164987475419807</v>
      </c>
      <c r="O72" s="85">
        <f t="shared" si="71"/>
        <v>0.25359078082046971</v>
      </c>
      <c r="P72" s="85">
        <f t="shared" si="72"/>
        <v>6.1267953904102352</v>
      </c>
      <c r="Q72" s="85">
        <f t="shared" si="73"/>
        <v>5.8732046095897648</v>
      </c>
      <c r="R72" s="85">
        <f t="shared" si="74"/>
        <v>0</v>
      </c>
      <c r="S72" s="85">
        <f t="shared" si="75"/>
        <v>6.0004465686877362</v>
      </c>
      <c r="T72" s="86">
        <f t="shared" si="42"/>
        <v>0.18353705906447526</v>
      </c>
      <c r="U72" s="86">
        <f t="shared" si="76"/>
        <v>1.6</v>
      </c>
      <c r="V72" s="86">
        <f t="shared" si="43"/>
        <v>1.7835370590644755</v>
      </c>
      <c r="W72" s="85">
        <f t="shared" si="44"/>
        <v>7.3205352785352784E-2</v>
      </c>
      <c r="X72" s="86">
        <f t="shared" si="77"/>
        <v>2.6795118382139795E-5</v>
      </c>
      <c r="Y72" s="86">
        <f t="shared" si="45"/>
        <v>2.6795118382139795E-5</v>
      </c>
      <c r="Z72" s="85">
        <f t="shared" si="78"/>
        <v>0.80534394366675777</v>
      </c>
      <c r="AA72" s="88">
        <f t="shared" si="79"/>
        <v>6.4857886760072588E-4</v>
      </c>
      <c r="AB72" s="87">
        <f t="shared" si="46"/>
        <v>6.4857886760072588E-4</v>
      </c>
      <c r="AC72" s="86">
        <f t="shared" si="80"/>
        <v>5.9451371873214081</v>
      </c>
      <c r="AD72" s="86">
        <f t="shared" si="47"/>
        <v>2.9524788522068995E-2</v>
      </c>
      <c r="AE72" s="86">
        <f t="shared" si="81"/>
        <v>3.8665338391597942E-2</v>
      </c>
      <c r="AF72" s="86">
        <f t="shared" si="82"/>
        <v>0.51319020255676673</v>
      </c>
      <c r="AG72" s="86">
        <f t="shared" si="83"/>
        <v>4.0608000000000005E-2</v>
      </c>
      <c r="AH72" s="86">
        <f t="shared" si="84"/>
        <v>0</v>
      </c>
      <c r="AI72" s="63">
        <f t="shared" si="48"/>
        <v>0.22378064516129031</v>
      </c>
      <c r="AJ72" s="63">
        <f t="shared" si="49"/>
        <v>0.81624418610965499</v>
      </c>
      <c r="AK72" s="86">
        <f t="shared" si="85"/>
        <v>0.81283629815881575</v>
      </c>
      <c r="AL72" s="86">
        <f t="shared" si="86"/>
        <v>5.5191120700895748E-4</v>
      </c>
      <c r="AM72" s="86">
        <f t="shared" si="87"/>
        <v>7.1758278752327774E-4</v>
      </c>
      <c r="AN72" s="86">
        <f t="shared" si="88"/>
        <v>0.13488324933205753</v>
      </c>
      <c r="AO72" s="86">
        <f t="shared" si="89"/>
        <v>749.27645003957957</v>
      </c>
      <c r="AP72" s="86">
        <f t="shared" si="50"/>
        <v>0.13488324933205753</v>
      </c>
      <c r="AQ72" s="81">
        <f t="shared" si="90"/>
        <v>0.46248</v>
      </c>
      <c r="AR72" s="81">
        <f t="shared" si="91"/>
        <v>50128320000</v>
      </c>
      <c r="AS72" s="81">
        <f t="shared" si="51"/>
        <v>0.46248</v>
      </c>
      <c r="AT72" s="61">
        <f t="shared" si="52"/>
        <v>0.23869935483870966</v>
      </c>
      <c r="AU72" s="63">
        <f t="shared" si="53"/>
        <v>0.37430018695829048</v>
      </c>
      <c r="AV72" s="86">
        <f t="shared" si="92"/>
        <v>0.14402143609470572</v>
      </c>
      <c r="AW72" s="86">
        <f t="shared" si="93"/>
        <v>2.9760000000000003E-3</v>
      </c>
      <c r="AX72" s="86">
        <f t="shared" si="94"/>
        <v>0.24299000000000001</v>
      </c>
      <c r="AY72" s="86">
        <f t="shared" si="95"/>
        <v>0.24596600000000002</v>
      </c>
      <c r="AZ72" s="86">
        <f t="shared" si="96"/>
        <v>3.3647442422131095</v>
      </c>
      <c r="BA72" s="85">
        <f t="shared" si="97"/>
        <v>141</v>
      </c>
      <c r="BB72" s="91">
        <f t="shared" si="54"/>
        <v>0.9766927565322473</v>
      </c>
      <c r="BC72" s="85">
        <f t="shared" si="55"/>
        <v>97.66927565322473</v>
      </c>
      <c r="BD72" s="86">
        <f t="shared" si="98"/>
        <v>1.7835370590644755</v>
      </c>
      <c r="BE72" s="86">
        <f t="shared" si="56"/>
        <v>1.1905443730679455</v>
      </c>
      <c r="BF72" s="86">
        <f t="shared" si="99"/>
        <v>0.81624418610965499</v>
      </c>
      <c r="BG72" s="86">
        <f t="shared" si="100"/>
        <v>0.37430018695829048</v>
      </c>
      <c r="BH72" s="86">
        <f t="shared" si="101"/>
        <v>0.14402143609470572</v>
      </c>
      <c r="BI72" s="86">
        <f t="shared" si="57"/>
        <v>0.24596600000000002</v>
      </c>
      <c r="BJ72" s="86">
        <f t="shared" si="58"/>
        <v>6.4857886760072588E-4</v>
      </c>
      <c r="BK72" s="86">
        <f t="shared" si="59"/>
        <v>2.6795118382139795E-5</v>
      </c>
      <c r="BL72" s="86">
        <f t="shared" si="60"/>
        <v>3.36474424221311</v>
      </c>
      <c r="BQ72" s="92"/>
      <c r="BR72" s="93"/>
    </row>
    <row r="73" spans="3:70" x14ac:dyDescent="0.25">
      <c r="C73" s="61">
        <v>61</v>
      </c>
      <c r="D73" s="61">
        <f t="shared" si="61"/>
        <v>100</v>
      </c>
      <c r="E73" s="61">
        <f t="shared" si="62"/>
        <v>100</v>
      </c>
      <c r="F73" s="61">
        <f t="shared" si="63"/>
        <v>100</v>
      </c>
      <c r="G73" s="73">
        <f t="shared" si="64"/>
        <v>24</v>
      </c>
      <c r="H73" s="64">
        <f t="shared" si="65"/>
        <v>1</v>
      </c>
      <c r="I73" s="63">
        <f t="shared" si="102"/>
        <v>6.1</v>
      </c>
      <c r="J73" s="65">
        <f t="shared" si="66"/>
        <v>8.3533953124311573E-4</v>
      </c>
      <c r="K73" s="65">
        <f t="shared" si="67"/>
        <v>8.3533953124311573E-4</v>
      </c>
      <c r="L73" s="65">
        <f t="shared" si="68"/>
        <v>5.097492818882457E-3</v>
      </c>
      <c r="M73" s="65">
        <f t="shared" si="69"/>
        <v>4.0000000000000001E-3</v>
      </c>
      <c r="N73" s="63">
        <f t="shared" si="70"/>
        <v>0.98169126155565689</v>
      </c>
      <c r="O73" s="64">
        <f t="shared" si="71"/>
        <v>0.25360147232216246</v>
      </c>
      <c r="P73" s="64">
        <f t="shared" si="72"/>
        <v>6.2268007361610813</v>
      </c>
      <c r="Q73" s="64">
        <f t="shared" si="73"/>
        <v>5.973199263838918</v>
      </c>
      <c r="R73" s="64">
        <f t="shared" si="74"/>
        <v>0</v>
      </c>
      <c r="S73" s="64">
        <f t="shared" si="75"/>
        <v>6.1004392854583562</v>
      </c>
      <c r="T73" s="63">
        <f t="shared" si="42"/>
        <v>0.18970502767881495</v>
      </c>
      <c r="U73" s="63">
        <f t="shared" si="76"/>
        <v>1.6</v>
      </c>
      <c r="V73" s="63">
        <f t="shared" si="43"/>
        <v>1.7897050276788151</v>
      </c>
      <c r="W73" s="64">
        <f t="shared" si="44"/>
        <v>7.320843915604297E-2</v>
      </c>
      <c r="X73" s="63">
        <f t="shared" si="77"/>
        <v>2.679737781832023E-5</v>
      </c>
      <c r="Y73" s="63">
        <f t="shared" si="45"/>
        <v>2.679737781832023E-5</v>
      </c>
      <c r="Z73" s="64">
        <f t="shared" si="78"/>
        <v>0.81785776617614359</v>
      </c>
      <c r="AA73" s="74">
        <f t="shared" si="79"/>
        <v>6.6889132569463155E-4</v>
      </c>
      <c r="AB73" s="75">
        <f t="shared" si="46"/>
        <v>6.6889132569463155E-4</v>
      </c>
      <c r="AC73" s="63">
        <f t="shared" si="80"/>
        <v>6.0443356287364916</v>
      </c>
      <c r="AD73" s="63">
        <f t="shared" si="47"/>
        <v>3.051828874812389E-2</v>
      </c>
      <c r="AE73" s="63">
        <f t="shared" si="81"/>
        <v>3.9976337708043173E-2</v>
      </c>
      <c r="AF73" s="63">
        <f t="shared" si="82"/>
        <v>0.521682535947809</v>
      </c>
      <c r="AG73" s="63">
        <f t="shared" si="83"/>
        <v>4.0608000000000005E-2</v>
      </c>
      <c r="AH73" s="63">
        <f t="shared" si="84"/>
        <v>0</v>
      </c>
      <c r="AI73" s="63">
        <f t="shared" si="48"/>
        <v>0.22378064516129031</v>
      </c>
      <c r="AJ73" s="63">
        <f t="shared" si="49"/>
        <v>0.82604751881714256</v>
      </c>
      <c r="AK73" s="63">
        <f t="shared" si="85"/>
        <v>0.82544914001427183</v>
      </c>
      <c r="AL73" s="63">
        <f t="shared" si="86"/>
        <v>5.6917219123750072E-4</v>
      </c>
      <c r="AM73" s="63">
        <f t="shared" si="87"/>
        <v>7.4002830708496509E-4</v>
      </c>
      <c r="AN73" s="63">
        <f t="shared" si="88"/>
        <v>0.13713922923203434</v>
      </c>
      <c r="AO73" s="63">
        <f t="shared" si="89"/>
        <v>761.80841838395065</v>
      </c>
      <c r="AP73" s="63">
        <f t="shared" si="50"/>
        <v>0.13713922923203434</v>
      </c>
      <c r="AQ73" s="61">
        <f t="shared" si="90"/>
        <v>0.46248</v>
      </c>
      <c r="AR73" s="61">
        <f t="shared" si="91"/>
        <v>50128320000</v>
      </c>
      <c r="AS73" s="61">
        <f t="shared" si="51"/>
        <v>0.46248</v>
      </c>
      <c r="AT73" s="61">
        <f t="shared" si="52"/>
        <v>0.23869935483870966</v>
      </c>
      <c r="AU73" s="63">
        <f t="shared" si="53"/>
        <v>0.37657861237782897</v>
      </c>
      <c r="AV73" s="63">
        <f t="shared" si="92"/>
        <v>0.14886143790225465</v>
      </c>
      <c r="AW73" s="63">
        <f t="shared" si="93"/>
        <v>2.9760000000000003E-3</v>
      </c>
      <c r="AX73" s="63">
        <f t="shared" si="94"/>
        <v>0.24299000000000001</v>
      </c>
      <c r="AY73" s="63">
        <f t="shared" si="95"/>
        <v>0.24596600000000002</v>
      </c>
      <c r="AZ73" s="63">
        <f t="shared" si="96"/>
        <v>3.3878542854795541</v>
      </c>
      <c r="BA73" s="64">
        <f t="shared" si="97"/>
        <v>143.35</v>
      </c>
      <c r="BB73" s="76">
        <f t="shared" si="54"/>
        <v>0.97691219963671772</v>
      </c>
      <c r="BC73" s="64">
        <f t="shared" si="55"/>
        <v>97.69121996367177</v>
      </c>
      <c r="BD73" s="63">
        <f t="shared" si="98"/>
        <v>1.7897050276788151</v>
      </c>
      <c r="BE73" s="63">
        <f t="shared" si="56"/>
        <v>1.2026261311949715</v>
      </c>
      <c r="BF73" s="63">
        <f t="shared" si="99"/>
        <v>0.82604751881714256</v>
      </c>
      <c r="BG73" s="63">
        <f t="shared" si="100"/>
        <v>0.37657861237782897</v>
      </c>
      <c r="BH73" s="63">
        <f t="shared" si="101"/>
        <v>0.14886143790225465</v>
      </c>
      <c r="BI73" s="63">
        <f t="shared" si="57"/>
        <v>0.24596600000000002</v>
      </c>
      <c r="BJ73" s="63">
        <f t="shared" si="58"/>
        <v>6.6889132569463155E-4</v>
      </c>
      <c r="BK73" s="63">
        <f t="shared" si="59"/>
        <v>2.679737781832023E-5</v>
      </c>
      <c r="BL73" s="63">
        <f t="shared" si="60"/>
        <v>3.3878542854795541</v>
      </c>
      <c r="BQ73" s="77"/>
      <c r="BR73" s="78"/>
    </row>
    <row r="74" spans="3:70" x14ac:dyDescent="0.25">
      <c r="C74" s="61">
        <v>62</v>
      </c>
      <c r="D74" s="61">
        <f t="shared" si="61"/>
        <v>100</v>
      </c>
      <c r="E74" s="61">
        <f t="shared" si="62"/>
        <v>100</v>
      </c>
      <c r="F74" s="61">
        <f t="shared" si="63"/>
        <v>100</v>
      </c>
      <c r="G74" s="73">
        <f t="shared" si="64"/>
        <v>24</v>
      </c>
      <c r="H74" s="64">
        <f t="shared" si="65"/>
        <v>1</v>
      </c>
      <c r="I74" s="63">
        <f t="shared" si="102"/>
        <v>6.2</v>
      </c>
      <c r="J74" s="65">
        <f t="shared" si="66"/>
        <v>8.3533953124311573E-4</v>
      </c>
      <c r="K74" s="65">
        <f t="shared" si="67"/>
        <v>8.3533953124311573E-4</v>
      </c>
      <c r="L74" s="65">
        <f t="shared" si="68"/>
        <v>5.097492818882457E-3</v>
      </c>
      <c r="M74" s="65">
        <f t="shared" si="69"/>
        <v>4.0000000000000001E-3</v>
      </c>
      <c r="N74" s="63">
        <f t="shared" si="70"/>
        <v>0.98173264835711571</v>
      </c>
      <c r="O74" s="64">
        <f t="shared" si="71"/>
        <v>0.25361216382385515</v>
      </c>
      <c r="P74" s="64">
        <f t="shared" si="72"/>
        <v>6.3268060819119274</v>
      </c>
      <c r="Q74" s="64">
        <f t="shared" si="73"/>
        <v>6.073193918088073</v>
      </c>
      <c r="R74" s="64">
        <f t="shared" si="74"/>
        <v>0</v>
      </c>
      <c r="S74" s="64">
        <f t="shared" si="75"/>
        <v>6.2004322371484681</v>
      </c>
      <c r="T74" s="63">
        <f t="shared" si="42"/>
        <v>0.19597494614962949</v>
      </c>
      <c r="U74" s="63">
        <f t="shared" si="76"/>
        <v>1.6</v>
      </c>
      <c r="V74" s="63">
        <f t="shared" si="43"/>
        <v>1.7959749461496295</v>
      </c>
      <c r="W74" s="64">
        <f t="shared" si="44"/>
        <v>7.3211525526733129E-2</v>
      </c>
      <c r="X74" s="63">
        <f t="shared" si="77"/>
        <v>2.6799637349757483E-5</v>
      </c>
      <c r="Y74" s="63">
        <f t="shared" si="45"/>
        <v>2.6799637349757483E-5</v>
      </c>
      <c r="Z74" s="64">
        <f t="shared" si="78"/>
        <v>0.83034079797135008</v>
      </c>
      <c r="AA74" s="74">
        <f t="shared" si="79"/>
        <v>6.8946584077569841E-4</v>
      </c>
      <c r="AB74" s="75">
        <f t="shared" si="46"/>
        <v>6.8946584077569841E-4</v>
      </c>
      <c r="AC74" s="63">
        <f t="shared" si="80"/>
        <v>6.143538477021008</v>
      </c>
      <c r="AD74" s="63">
        <f t="shared" si="47"/>
        <v>3.1528274240347182E-2</v>
      </c>
      <c r="AE74" s="63">
        <f t="shared" si="81"/>
        <v>4.1309758006500705E-2</v>
      </c>
      <c r="AF74" s="63">
        <f t="shared" si="82"/>
        <v>0.5301748693388515</v>
      </c>
      <c r="AG74" s="63">
        <f t="shared" si="83"/>
        <v>4.0608000000000005E-2</v>
      </c>
      <c r="AH74" s="63">
        <f t="shared" si="84"/>
        <v>0</v>
      </c>
      <c r="AI74" s="63">
        <f t="shared" si="48"/>
        <v>0.22378064516129031</v>
      </c>
      <c r="AJ74" s="63">
        <f t="shared" si="49"/>
        <v>0.83587327250664245</v>
      </c>
      <c r="AK74" s="63">
        <f t="shared" si="85"/>
        <v>0.83803037464780838</v>
      </c>
      <c r="AL74" s="63">
        <f t="shared" si="86"/>
        <v>5.8665469993843874E-4</v>
      </c>
      <c r="AM74" s="63">
        <f t="shared" si="87"/>
        <v>7.6276208445449185E-4</v>
      </c>
      <c r="AN74" s="63">
        <f t="shared" si="88"/>
        <v>0.13939520913201117</v>
      </c>
      <c r="AO74" s="63">
        <f t="shared" si="89"/>
        <v>774.34038672832207</v>
      </c>
      <c r="AP74" s="63">
        <f t="shared" si="50"/>
        <v>0.13939520913201117</v>
      </c>
      <c r="AQ74" s="61">
        <f t="shared" si="90"/>
        <v>0.46248</v>
      </c>
      <c r="AR74" s="61">
        <f t="shared" si="91"/>
        <v>50128320000</v>
      </c>
      <c r="AS74" s="61">
        <f t="shared" si="51"/>
        <v>0.46248</v>
      </c>
      <c r="AT74" s="61">
        <f t="shared" si="52"/>
        <v>0.23869935483870966</v>
      </c>
      <c r="AU74" s="63">
        <f t="shared" si="53"/>
        <v>0.3788573260551753</v>
      </c>
      <c r="AV74" s="63">
        <f t="shared" si="92"/>
        <v>0.15378143970987984</v>
      </c>
      <c r="AW74" s="63">
        <f t="shared" si="93"/>
        <v>2.9760000000000003E-3</v>
      </c>
      <c r="AX74" s="63">
        <f t="shared" si="94"/>
        <v>0.24299000000000001</v>
      </c>
      <c r="AY74" s="63">
        <f t="shared" si="95"/>
        <v>0.24596600000000002</v>
      </c>
      <c r="AZ74" s="63">
        <f t="shared" si="96"/>
        <v>3.4111692498994528</v>
      </c>
      <c r="BA74" s="64">
        <f t="shared" si="97"/>
        <v>145.70000000000002</v>
      </c>
      <c r="BB74" s="76">
        <f t="shared" si="54"/>
        <v>0.97712331499337535</v>
      </c>
      <c r="BC74" s="64">
        <f t="shared" si="55"/>
        <v>97.712331499337537</v>
      </c>
      <c r="BD74" s="63">
        <f t="shared" si="98"/>
        <v>1.7959749461496295</v>
      </c>
      <c r="BE74" s="63">
        <f t="shared" si="56"/>
        <v>1.2147305985618178</v>
      </c>
      <c r="BF74" s="63">
        <f t="shared" si="99"/>
        <v>0.83587327250664245</v>
      </c>
      <c r="BG74" s="63">
        <f t="shared" si="100"/>
        <v>0.3788573260551753</v>
      </c>
      <c r="BH74" s="63">
        <f t="shared" si="101"/>
        <v>0.15378143970987984</v>
      </c>
      <c r="BI74" s="63">
        <f t="shared" si="57"/>
        <v>0.24596600000000002</v>
      </c>
      <c r="BJ74" s="63">
        <f t="shared" si="58"/>
        <v>6.8946584077569841E-4</v>
      </c>
      <c r="BK74" s="63">
        <f t="shared" si="59"/>
        <v>2.6799637349757483E-5</v>
      </c>
      <c r="BL74" s="63">
        <f t="shared" si="60"/>
        <v>3.4111692498994528</v>
      </c>
      <c r="BQ74" s="77"/>
      <c r="BR74" s="78"/>
    </row>
    <row r="75" spans="3:70" x14ac:dyDescent="0.25">
      <c r="C75" s="61">
        <v>63</v>
      </c>
      <c r="D75" s="61">
        <f t="shared" si="61"/>
        <v>100</v>
      </c>
      <c r="E75" s="61">
        <f t="shared" si="62"/>
        <v>100</v>
      </c>
      <c r="F75" s="61">
        <f t="shared" si="63"/>
        <v>100</v>
      </c>
      <c r="G75" s="73">
        <f t="shared" si="64"/>
        <v>24</v>
      </c>
      <c r="H75" s="64">
        <f t="shared" si="65"/>
        <v>1</v>
      </c>
      <c r="I75" s="63">
        <f t="shared" si="102"/>
        <v>6.3</v>
      </c>
      <c r="J75" s="65">
        <f t="shared" si="66"/>
        <v>8.3533953124311573E-4</v>
      </c>
      <c r="K75" s="65">
        <f t="shared" si="67"/>
        <v>8.3533953124311573E-4</v>
      </c>
      <c r="L75" s="65">
        <f t="shared" si="68"/>
        <v>5.097492818882457E-3</v>
      </c>
      <c r="M75" s="65">
        <f t="shared" si="69"/>
        <v>4.0000000000000001E-3</v>
      </c>
      <c r="N75" s="63">
        <f t="shared" si="70"/>
        <v>0.98177403515857453</v>
      </c>
      <c r="O75" s="64">
        <f t="shared" si="71"/>
        <v>0.2536228553255479</v>
      </c>
      <c r="P75" s="64">
        <f t="shared" si="72"/>
        <v>6.4268114276627735</v>
      </c>
      <c r="Q75" s="64">
        <f t="shared" si="73"/>
        <v>6.1731885723372262</v>
      </c>
      <c r="R75" s="64">
        <f t="shared" si="74"/>
        <v>0</v>
      </c>
      <c r="S75" s="64">
        <f t="shared" si="75"/>
        <v>6.3004254125729711</v>
      </c>
      <c r="T75" s="63">
        <f t="shared" si="42"/>
        <v>0.20234681447691868</v>
      </c>
      <c r="U75" s="63">
        <f t="shared" si="76"/>
        <v>1.6</v>
      </c>
      <c r="V75" s="63">
        <f t="shared" si="43"/>
        <v>1.8023468144769188</v>
      </c>
      <c r="W75" s="64">
        <f t="shared" si="44"/>
        <v>7.3214611897423301E-2</v>
      </c>
      <c r="X75" s="63">
        <f t="shared" si="77"/>
        <v>2.680189697645159E-5</v>
      </c>
      <c r="Y75" s="63">
        <f t="shared" si="45"/>
        <v>2.680189697645159E-5</v>
      </c>
      <c r="Z75" s="64">
        <f t="shared" si="78"/>
        <v>0.84279298040557593</v>
      </c>
      <c r="AA75" s="74">
        <f t="shared" si="79"/>
        <v>7.1030000782091349E-4</v>
      </c>
      <c r="AB75" s="75">
        <f t="shared" si="46"/>
        <v>7.1030000782091349E-4</v>
      </c>
      <c r="AC75" s="63">
        <f t="shared" si="80"/>
        <v>6.2427457209750843</v>
      </c>
      <c r="AD75" s="63">
        <f t="shared" si="47"/>
        <v>3.2554747073060726E-2</v>
      </c>
      <c r="AE75" s="63">
        <f t="shared" si="81"/>
        <v>4.2665635500138716E-2</v>
      </c>
      <c r="AF75" s="63">
        <f t="shared" si="82"/>
        <v>0.53866720272989377</v>
      </c>
      <c r="AG75" s="63">
        <f t="shared" si="83"/>
        <v>4.0608000000000005E-2</v>
      </c>
      <c r="AH75" s="63">
        <f t="shared" si="84"/>
        <v>0</v>
      </c>
      <c r="AI75" s="63">
        <f t="shared" si="48"/>
        <v>0.22378064516129031</v>
      </c>
      <c r="AJ75" s="63">
        <f t="shared" si="49"/>
        <v>0.84572148339132269</v>
      </c>
      <c r="AK75" s="63">
        <f t="shared" si="85"/>
        <v>0.85057994488617716</v>
      </c>
      <c r="AL75" s="63">
        <f t="shared" si="86"/>
        <v>6.0435665878988941E-4</v>
      </c>
      <c r="AM75" s="63">
        <f t="shared" si="87"/>
        <v>7.8578142970222599E-4</v>
      </c>
      <c r="AN75" s="63">
        <f t="shared" si="88"/>
        <v>0.14165118903198801</v>
      </c>
      <c r="AO75" s="63">
        <f t="shared" si="89"/>
        <v>786.87235507269327</v>
      </c>
      <c r="AP75" s="63">
        <f t="shared" si="50"/>
        <v>0.14165118903198801</v>
      </c>
      <c r="AQ75" s="61">
        <f t="shared" si="90"/>
        <v>0.46248</v>
      </c>
      <c r="AR75" s="61">
        <f t="shared" si="91"/>
        <v>50128320000</v>
      </c>
      <c r="AS75" s="61">
        <f t="shared" si="51"/>
        <v>0.46248</v>
      </c>
      <c r="AT75" s="61">
        <f t="shared" si="52"/>
        <v>0.23869935483870966</v>
      </c>
      <c r="AU75" s="63">
        <f t="shared" si="53"/>
        <v>0.38113632530039987</v>
      </c>
      <c r="AV75" s="63">
        <f t="shared" si="92"/>
        <v>0.15878144151758117</v>
      </c>
      <c r="AW75" s="63">
        <f t="shared" si="93"/>
        <v>2.9760000000000003E-3</v>
      </c>
      <c r="AX75" s="63">
        <f t="shared" si="94"/>
        <v>0.24299000000000001</v>
      </c>
      <c r="AY75" s="63">
        <f t="shared" si="95"/>
        <v>0.24596600000000002</v>
      </c>
      <c r="AZ75" s="63">
        <f t="shared" si="96"/>
        <v>3.4346891665910197</v>
      </c>
      <c r="BA75" s="64">
        <f t="shared" si="97"/>
        <v>148.04999999999998</v>
      </c>
      <c r="BB75" s="76">
        <f t="shared" si="54"/>
        <v>0.97732649295788687</v>
      </c>
      <c r="BC75" s="64">
        <f t="shared" si="55"/>
        <v>97.73264929578869</v>
      </c>
      <c r="BD75" s="63">
        <f t="shared" si="98"/>
        <v>1.8023468144769188</v>
      </c>
      <c r="BE75" s="63">
        <f t="shared" si="56"/>
        <v>1.2268578086917226</v>
      </c>
      <c r="BF75" s="63">
        <f t="shared" si="99"/>
        <v>0.84572148339132269</v>
      </c>
      <c r="BG75" s="63">
        <f t="shared" si="100"/>
        <v>0.38113632530039987</v>
      </c>
      <c r="BH75" s="63">
        <f t="shared" si="101"/>
        <v>0.15878144151758117</v>
      </c>
      <c r="BI75" s="63">
        <f t="shared" si="57"/>
        <v>0.24596600000000002</v>
      </c>
      <c r="BJ75" s="63">
        <f t="shared" si="58"/>
        <v>7.1030000782091349E-4</v>
      </c>
      <c r="BK75" s="63">
        <f t="shared" si="59"/>
        <v>2.680189697645159E-5</v>
      </c>
      <c r="BL75" s="63">
        <f t="shared" si="60"/>
        <v>3.4346891665910197</v>
      </c>
      <c r="BQ75" s="77"/>
      <c r="BR75" s="78"/>
    </row>
    <row r="76" spans="3:70" x14ac:dyDescent="0.25">
      <c r="C76" s="61">
        <v>64</v>
      </c>
      <c r="D76" s="61">
        <f t="shared" ref="D76:D112" si="103">T.amb+I76*$D$9</f>
        <v>100</v>
      </c>
      <c r="E76" s="61">
        <f t="shared" ref="E76:E112" si="104">T.amb+I76*$E$9</f>
        <v>100</v>
      </c>
      <c r="F76" s="61">
        <f t="shared" ref="F76:F112" si="105">T.amb+I76*$F$9</f>
        <v>100</v>
      </c>
      <c r="G76" s="73">
        <f t="shared" ref="G76:G112" si="106">V.supply_typ</f>
        <v>24</v>
      </c>
      <c r="H76" s="64">
        <f t="shared" ref="H76:H112" si="107">FPWM</f>
        <v>1</v>
      </c>
      <c r="I76" s="63">
        <f t="shared" si="102"/>
        <v>6.4</v>
      </c>
      <c r="J76" s="65">
        <f t="shared" ref="J76:J112" si="108">R.hs25*((D76+275)/300)^2.3</f>
        <v>8.3533953124311573E-4</v>
      </c>
      <c r="K76" s="65">
        <f t="shared" ref="K76:K112" si="109">R.ls25*((E76+275)/300)^2.3</f>
        <v>8.3533953124311573E-4</v>
      </c>
      <c r="L76" s="65">
        <f t="shared" ref="L76:L112" si="110">R.dcr25*((F76+275)/300)^1.2</f>
        <v>5.097492818882457E-3</v>
      </c>
      <c r="M76" s="65">
        <f t="shared" ref="M76:M112" si="111">R.s</f>
        <v>4.0000000000000001E-3</v>
      </c>
      <c r="N76" s="63">
        <f t="shared" ref="N76:N107" si="112">(V.load+I76*(K76+L76+M76))/(V.supply_typ+I76*(K76-J76))</f>
        <v>0.98181542196003357</v>
      </c>
      <c r="O76" s="64">
        <f t="shared" ref="O76:O107" si="113">(V.supply_typ-I.load*(J76+L76+M76)-V.load)*N76/(f.sw*L.out)</f>
        <v>0.25363354682724071</v>
      </c>
      <c r="P76" s="64">
        <f t="shared" ref="P76:P107" si="114">I76+O76/2</f>
        <v>6.5268167734136204</v>
      </c>
      <c r="Q76" s="64">
        <f t="shared" ref="Q76:Q112" si="115">I76-O76/2</f>
        <v>6.2731832265863803</v>
      </c>
      <c r="R76" s="64">
        <f t="shared" ref="R76:R107" si="116">IF(MIN(V.supply_typ, -Q76/(C.oss_hs+C.oss_ls)*0.00000002)&lt;0, 0, MIN(V.supply_typ, -Q76/(C.oss_hs+C.oss_ls)*0.00000002))</f>
        <v>0</v>
      </c>
      <c r="S76" s="64">
        <f t="shared" ref="S76:S112" si="117">SQRT(I76^2+(O76^2)/12)</f>
        <v>6.4004188012457188</v>
      </c>
      <c r="T76" s="63">
        <f t="shared" si="42"/>
        <v>0.20882063266068274</v>
      </c>
      <c r="U76" s="63">
        <f t="shared" ref="U76:U112" si="118">IF(FPWM=1,P.core,MIN(P.core,P.core*(O76+Q76)/O76))</f>
        <v>1.6</v>
      </c>
      <c r="V76" s="63">
        <f t="shared" si="43"/>
        <v>1.8088206326606828</v>
      </c>
      <c r="W76" s="64">
        <f t="shared" si="44"/>
        <v>7.3217698268113487E-2</v>
      </c>
      <c r="X76" s="63">
        <f t="shared" ref="X76:X107" si="119">R.esrb*W76^2</f>
        <v>2.6804156698402544E-5</v>
      </c>
      <c r="Y76" s="63">
        <f t="shared" si="45"/>
        <v>2.6804156698402544E-5</v>
      </c>
      <c r="Z76" s="64">
        <f t="shared" ref="Z76:Z112" si="120">SQRT(N76*(1-N76))*SQRT(I76^2+(O76^2)/12)</f>
        <v>0.85521425467315981</v>
      </c>
      <c r="AA76" s="74">
        <f t="shared" ref="AA76:AA107" si="121">R.esr_cin*Z76^2</f>
        <v>7.3139142139616825E-4</v>
      </c>
      <c r="AB76" s="75">
        <f t="shared" si="46"/>
        <v>7.3139142139616825E-4</v>
      </c>
      <c r="AC76" s="63">
        <f t="shared" ref="AC76:AC112" si="122">SQRT(N76)*SQRT(I76^2+(O76^2)/12)</f>
        <v>6.3419573500904907</v>
      </c>
      <c r="AD76" s="63">
        <f t="shared" si="47"/>
        <v>3.3597709320586415E-2</v>
      </c>
      <c r="AE76" s="63">
        <f t="shared" ref="AE76:AE107" si="123">AD76*(1+TC_rdson_hs*(T.amb-25))/(1-AD76*TC_rdson_hs*theta.ja_hs)</f>
        <v>4.4044006997376449E-2</v>
      </c>
      <c r="AF76" s="63">
        <f t="shared" ref="AF76:AF112" si="124">(V.supply_typ*P76/2)*f.sw*T.rise+(V.supply_typ*MAX(Q76,0)/2)*f.sw*T.fall</f>
        <v>0.54715953612093615</v>
      </c>
      <c r="AG76" s="63">
        <f t="shared" ref="AG76:AG112" si="125">0.5*(C.oss_hs+C.oss_ls)*(V.supply_typ-R76)^2*f.sw</f>
        <v>4.0608000000000005E-2</v>
      </c>
      <c r="AH76" s="63">
        <f t="shared" ref="AH76:AH112" si="126">IF(I76&gt;O76/2,0,ABS(Q76)*V.bd_hs*t.d_loff_hon*f.sw)</f>
        <v>0</v>
      </c>
      <c r="AI76" s="63">
        <f t="shared" si="48"/>
        <v>0.22378064516129031</v>
      </c>
      <c r="AJ76" s="63">
        <f t="shared" si="49"/>
        <v>0.85559218827960293</v>
      </c>
      <c r="AK76" s="63">
        <f t="shared" ref="AK76:AK112" si="127">SQRT((1-N76))*SQRT(I76^2+(O76^2)/12)</f>
        <v>0.86309779340053949</v>
      </c>
      <c r="AL76" s="63">
        <f t="shared" ref="AL76:AL107" si="128">K76*AK76^2</f>
        <v>6.2227599346996324E-4</v>
      </c>
      <c r="AM76" s="63">
        <f t="shared" ref="AM76:AM107" si="129">AL76*(1+TC_rdson_ls*(T.amb-25))/(1-AL76*TC_rdson_ls*theta.ja_ls)</f>
        <v>8.0908365289776118E-4</v>
      </c>
      <c r="AN76" s="63">
        <f t="shared" ref="AN76:AN112" si="130">IF(I76&gt;O76/2, Q76*V.bd_ls*t.d_loff_hon*f.sw + P76*V.bd_ls*t.d_hoff_lon*f.sw,P76*V.bd_ls*t.d_hoff_lon*f.sw)</f>
        <v>0.14390716893196481</v>
      </c>
      <c r="AO76" s="63">
        <f t="shared" ref="AO76:AO112" si="131">IF(I76&gt;O76/2, Q76*V.fwd_sch*t.d_loff_hon*f.sw + P76*V.fwd_sch*t.d_hoff_lon*f.sw,P76*V.fwd_sch*t.d_hoff_lon*f.sw)</f>
        <v>799.40432341706446</v>
      </c>
      <c r="AP76" s="63">
        <f t="shared" si="50"/>
        <v>0.14390716893196481</v>
      </c>
      <c r="AQ76" s="61">
        <f t="shared" ref="AQ76:AQ112" si="132">Q.rr_ls*V.supply_typ*f.sw</f>
        <v>0.46248</v>
      </c>
      <c r="AR76" s="61">
        <f t="shared" ref="AR76:AR112" si="133">Q.rr_sch*V.supply_typ*f.sw</f>
        <v>50128320000</v>
      </c>
      <c r="AS76" s="61">
        <f t="shared" si="51"/>
        <v>0.46248</v>
      </c>
      <c r="AT76" s="61">
        <f t="shared" si="52"/>
        <v>0.23869935483870966</v>
      </c>
      <c r="AU76" s="63">
        <f t="shared" si="53"/>
        <v>0.38341560742357222</v>
      </c>
      <c r="AV76" s="63">
        <f t="shared" ref="AV76:AV112" si="134">R.s*S76^2</f>
        <v>0.16386144332535876</v>
      </c>
      <c r="AW76" s="63">
        <f t="shared" ref="AW76:AW112" si="135">I.q_IC*V.supply_typ</f>
        <v>2.9760000000000003E-3</v>
      </c>
      <c r="AX76" s="63">
        <f t="shared" ref="AX76:AX112" si="136">IF(ExtVCC=1,  (Q.g_hs+Q.g_ls)*f.sw*V.load, (Q.g_hs+Q.g_ls)*f.sw*V.supply_typ)</f>
        <v>0.24299000000000001</v>
      </c>
      <c r="AY76" s="63">
        <f t="shared" ref="AY76:AY107" si="137">SUM(AW76:AX76)</f>
        <v>0.24596600000000002</v>
      </c>
      <c r="AZ76" s="63">
        <f t="shared" ref="AZ76:AZ107" si="138">V76+Y76+AB76+AJ76+AU76+AV76+AY76</f>
        <v>3.4584140672673116</v>
      </c>
      <c r="BA76" s="64">
        <f t="shared" ref="BA76:BA112" si="139">V.load*I76</f>
        <v>150.4</v>
      </c>
      <c r="BB76" s="76">
        <f t="shared" si="54"/>
        <v>0.97752209985893079</v>
      </c>
      <c r="BC76" s="64">
        <f t="shared" si="55"/>
        <v>97.752209985893074</v>
      </c>
      <c r="BD76" s="63">
        <f t="shared" ref="BD76:BD112" si="140">V76</f>
        <v>1.8088206326606828</v>
      </c>
      <c r="BE76" s="63">
        <f t="shared" si="56"/>
        <v>1.2390077957031751</v>
      </c>
      <c r="BF76" s="63">
        <f t="shared" ref="BF76:BF112" si="141">AJ76</f>
        <v>0.85559218827960293</v>
      </c>
      <c r="BG76" s="63">
        <f t="shared" ref="BG76:BG112" si="142">AU76</f>
        <v>0.38341560742357222</v>
      </c>
      <c r="BH76" s="63">
        <f t="shared" ref="BH76:BH112" si="143">AV76</f>
        <v>0.16386144332535876</v>
      </c>
      <c r="BI76" s="63">
        <f t="shared" si="57"/>
        <v>0.24596600000000002</v>
      </c>
      <c r="BJ76" s="63">
        <f t="shared" si="58"/>
        <v>7.3139142139616825E-4</v>
      </c>
      <c r="BK76" s="63">
        <f t="shared" si="59"/>
        <v>2.6804156698402544E-5</v>
      </c>
      <c r="BL76" s="63">
        <f t="shared" si="60"/>
        <v>3.4584140672673116</v>
      </c>
      <c r="BQ76" s="77"/>
      <c r="BR76" s="78"/>
    </row>
    <row r="77" spans="3:70" x14ac:dyDescent="0.25">
      <c r="C77" s="61">
        <v>65</v>
      </c>
      <c r="D77" s="61">
        <f t="shared" si="103"/>
        <v>100</v>
      </c>
      <c r="E77" s="61">
        <f t="shared" si="104"/>
        <v>100</v>
      </c>
      <c r="F77" s="61">
        <f t="shared" si="105"/>
        <v>100</v>
      </c>
      <c r="G77" s="73">
        <f t="shared" si="106"/>
        <v>24</v>
      </c>
      <c r="H77" s="64">
        <f t="shared" si="107"/>
        <v>1</v>
      </c>
      <c r="I77" s="63">
        <f t="shared" ref="I77:I112" si="144">I.load*C77/100</f>
        <v>6.5</v>
      </c>
      <c r="J77" s="65">
        <f t="shared" si="108"/>
        <v>8.3533953124311573E-4</v>
      </c>
      <c r="K77" s="65">
        <f t="shared" si="109"/>
        <v>8.3533953124311573E-4</v>
      </c>
      <c r="L77" s="65">
        <f t="shared" si="110"/>
        <v>5.097492818882457E-3</v>
      </c>
      <c r="M77" s="65">
        <f t="shared" si="111"/>
        <v>4.0000000000000001E-3</v>
      </c>
      <c r="N77" s="63">
        <f t="shared" si="112"/>
        <v>0.98185680876149239</v>
      </c>
      <c r="O77" s="64">
        <f t="shared" si="113"/>
        <v>0.25364423832893346</v>
      </c>
      <c r="P77" s="64">
        <f t="shared" si="114"/>
        <v>6.6268221191644665</v>
      </c>
      <c r="Q77" s="64">
        <f t="shared" si="115"/>
        <v>6.3731778808355335</v>
      </c>
      <c r="R77" s="64">
        <f t="shared" si="116"/>
        <v>0</v>
      </c>
      <c r="S77" s="64">
        <f t="shared" si="117"/>
        <v>6.5004123933257594</v>
      </c>
      <c r="T77" s="63">
        <f t="shared" ref="T77:T112" si="145">S77^2*L77</f>
        <v>0.21539640070092148</v>
      </c>
      <c r="U77" s="63">
        <f t="shared" si="118"/>
        <v>1.6</v>
      </c>
      <c r="V77" s="63">
        <f t="shared" ref="V77:V112" si="146">U77+T77</f>
        <v>1.8153964007009216</v>
      </c>
      <c r="W77" s="64">
        <f t="shared" ref="W77:W112" si="147">O77/SQRT(12)</f>
        <v>7.322078463880366E-2</v>
      </c>
      <c r="X77" s="63">
        <f t="shared" si="119"/>
        <v>2.6806416515610333E-5</v>
      </c>
      <c r="Y77" s="63">
        <f t="shared" ref="Y77:Y112" si="148">X77</f>
        <v>2.6806416515610333E-5</v>
      </c>
      <c r="Z77" s="64">
        <f t="shared" si="120"/>
        <v>0.86760456180006906</v>
      </c>
      <c r="AA77" s="74">
        <f t="shared" si="121"/>
        <v>7.5273767565628988E-4</v>
      </c>
      <c r="AB77" s="75">
        <f t="shared" ref="AB77:AB112" si="149">AA77</f>
        <v>7.5273767565628988E-4</v>
      </c>
      <c r="AC77" s="63">
        <f t="shared" si="122"/>
        <v>6.4411733544974492</v>
      </c>
      <c r="AD77" s="63">
        <f t="shared" ref="AD77:AD112" si="150">J77*AC77^2</f>
        <v>3.4657163057246136E-2</v>
      </c>
      <c r="AE77" s="63">
        <f t="shared" si="123"/>
        <v>4.5444909904283286E-2</v>
      </c>
      <c r="AF77" s="63">
        <f t="shared" si="124"/>
        <v>0.55565186951197854</v>
      </c>
      <c r="AG77" s="63">
        <f t="shared" si="125"/>
        <v>4.0608000000000005E-2</v>
      </c>
      <c r="AH77" s="63">
        <f t="shared" si="126"/>
        <v>0</v>
      </c>
      <c r="AI77" s="63">
        <f t="shared" ref="AI77:AI112" si="151">AS77*$AJ$6</f>
        <v>0.22378064516129031</v>
      </c>
      <c r="AJ77" s="63">
        <f t="shared" ref="AJ77:AJ112" si="152">(AH77+AG77+AF77+AE77+AI77)</f>
        <v>0.86548542457755206</v>
      </c>
      <c r="AK77" s="63">
        <f t="shared" si="127"/>
        <v>0.87558386269688571</v>
      </c>
      <c r="AL77" s="63">
        <f t="shared" si="128"/>
        <v>6.4041062965679394E-4</v>
      </c>
      <c r="AM77" s="63">
        <f t="shared" si="129"/>
        <v>8.3266606410703752E-4</v>
      </c>
      <c r="AN77" s="63">
        <f t="shared" si="130"/>
        <v>0.14616314883194165</v>
      </c>
      <c r="AO77" s="63">
        <f t="shared" si="131"/>
        <v>811.93629176143577</v>
      </c>
      <c r="AP77" s="63">
        <f t="shared" ref="AP77:AP112" si="153">MIN(AN77:AO77)</f>
        <v>0.14616314883194165</v>
      </c>
      <c r="AQ77" s="61">
        <f t="shared" si="132"/>
        <v>0.46248</v>
      </c>
      <c r="AR77" s="61">
        <f t="shared" si="133"/>
        <v>50128320000</v>
      </c>
      <c r="AS77" s="61">
        <f t="shared" ref="AS77:AS112" si="154">MIN(AQ77:AR77)</f>
        <v>0.46248</v>
      </c>
      <c r="AT77" s="61">
        <f t="shared" ref="AT77:AT112" si="155">AS77*$AJ$7</f>
        <v>0.23869935483870966</v>
      </c>
      <c r="AU77" s="63">
        <f t="shared" ref="AU77:AU112" si="156">AM77+AP77+AT77</f>
        <v>0.38569516973475837</v>
      </c>
      <c r="AV77" s="63">
        <f t="shared" si="134"/>
        <v>0.16902144513321249</v>
      </c>
      <c r="AW77" s="63">
        <f t="shared" si="135"/>
        <v>2.9760000000000003E-3</v>
      </c>
      <c r="AX77" s="63">
        <f t="shared" si="136"/>
        <v>0.24299000000000001</v>
      </c>
      <c r="AY77" s="63">
        <f t="shared" si="137"/>
        <v>0.24596600000000002</v>
      </c>
      <c r="AZ77" s="63">
        <f t="shared" si="138"/>
        <v>3.4823439842386161</v>
      </c>
      <c r="BA77" s="64">
        <f t="shared" si="139"/>
        <v>152.75</v>
      </c>
      <c r="BB77" s="76">
        <f t="shared" ref="BB77:BB112" si="157">BA77/(BA77+AZ77)</f>
        <v>0.97771047981850723</v>
      </c>
      <c r="BC77" s="64">
        <f t="shared" ref="BC77:BC112" si="158">BB77*100</f>
        <v>97.771047981850728</v>
      </c>
      <c r="BD77" s="63">
        <f t="shared" si="140"/>
        <v>1.8153964007009216</v>
      </c>
      <c r="BE77" s="63">
        <f t="shared" ref="BE77:BE112" si="159">BF77+BG77</f>
        <v>1.2511805943123104</v>
      </c>
      <c r="BF77" s="63">
        <f t="shared" si="141"/>
        <v>0.86548542457755206</v>
      </c>
      <c r="BG77" s="63">
        <f t="shared" si="142"/>
        <v>0.38569516973475837</v>
      </c>
      <c r="BH77" s="63">
        <f t="shared" si="143"/>
        <v>0.16902144513321249</v>
      </c>
      <c r="BI77" s="63">
        <f t="shared" ref="BI77:BI112" si="160">AY77</f>
        <v>0.24596600000000002</v>
      </c>
      <c r="BJ77" s="63">
        <f t="shared" ref="BJ77:BJ112" si="161">AB77</f>
        <v>7.5273767565628988E-4</v>
      </c>
      <c r="BK77" s="63">
        <f t="shared" ref="BK77:BK112" si="162">Y77</f>
        <v>2.6806416515610333E-5</v>
      </c>
      <c r="BL77" s="63">
        <f t="shared" ref="BL77:BL112" si="163">BD77+BF77+BG77+BH77+BI77+BJ77+BK77</f>
        <v>3.4823439842386161</v>
      </c>
      <c r="BQ77" s="77"/>
      <c r="BR77" s="78"/>
    </row>
    <row r="78" spans="3:70" x14ac:dyDescent="0.25">
      <c r="C78" s="61">
        <v>66</v>
      </c>
      <c r="D78" s="61">
        <f t="shared" si="103"/>
        <v>100</v>
      </c>
      <c r="E78" s="61">
        <f t="shared" si="104"/>
        <v>100</v>
      </c>
      <c r="F78" s="61">
        <f t="shared" si="105"/>
        <v>100</v>
      </c>
      <c r="G78" s="73">
        <f t="shared" si="106"/>
        <v>24</v>
      </c>
      <c r="H78" s="64">
        <f t="shared" si="107"/>
        <v>1</v>
      </c>
      <c r="I78" s="63">
        <f t="shared" si="144"/>
        <v>6.6</v>
      </c>
      <c r="J78" s="65">
        <f t="shared" si="108"/>
        <v>8.3533953124311573E-4</v>
      </c>
      <c r="K78" s="65">
        <f t="shared" si="109"/>
        <v>8.3533953124311573E-4</v>
      </c>
      <c r="L78" s="65">
        <f t="shared" si="110"/>
        <v>5.097492818882457E-3</v>
      </c>
      <c r="M78" s="65">
        <f t="shared" si="111"/>
        <v>4.0000000000000001E-3</v>
      </c>
      <c r="N78" s="63">
        <f t="shared" si="112"/>
        <v>0.98189819556295121</v>
      </c>
      <c r="O78" s="64">
        <f t="shared" si="113"/>
        <v>0.25365492983062615</v>
      </c>
      <c r="P78" s="64">
        <f t="shared" si="114"/>
        <v>6.7268274649153126</v>
      </c>
      <c r="Q78" s="64">
        <f t="shared" si="115"/>
        <v>6.4731725350846867</v>
      </c>
      <c r="R78" s="64">
        <f t="shared" si="116"/>
        <v>0</v>
      </c>
      <c r="S78" s="64">
        <f t="shared" si="117"/>
        <v>6.6004061795684672</v>
      </c>
      <c r="T78" s="63">
        <f t="shared" si="145"/>
        <v>0.22207411859763496</v>
      </c>
      <c r="U78" s="63">
        <f t="shared" si="118"/>
        <v>1.6</v>
      </c>
      <c r="V78" s="63">
        <f t="shared" si="146"/>
        <v>1.822074118597635</v>
      </c>
      <c r="W78" s="64">
        <f t="shared" si="147"/>
        <v>7.3223871009493832E-2</v>
      </c>
      <c r="X78" s="63">
        <f t="shared" si="119"/>
        <v>2.6808676428074955E-5</v>
      </c>
      <c r="Y78" s="63">
        <f t="shared" si="148"/>
        <v>2.6808676428074955E-5</v>
      </c>
      <c r="Z78" s="64">
        <f t="shared" si="120"/>
        <v>0.87996384263502159</v>
      </c>
      <c r="AA78" s="74">
        <f t="shared" si="121"/>
        <v>7.7433636434499312E-4</v>
      </c>
      <c r="AB78" s="75">
        <f t="shared" si="149"/>
        <v>7.7433636434499312E-4</v>
      </c>
      <c r="AC78" s="63">
        <f t="shared" si="122"/>
        <v>6.5403937249162745</v>
      </c>
      <c r="AD78" s="63">
        <f t="shared" si="150"/>
        <v>3.5733110357361757E-2</v>
      </c>
      <c r="AE78" s="63">
        <f t="shared" si="123"/>
        <v>4.6868382227018779E-2</v>
      </c>
      <c r="AF78" s="63">
        <f t="shared" si="124"/>
        <v>0.56414420290302081</v>
      </c>
      <c r="AG78" s="63">
        <f t="shared" si="125"/>
        <v>4.0608000000000005E-2</v>
      </c>
      <c r="AH78" s="63">
        <f t="shared" si="126"/>
        <v>0</v>
      </c>
      <c r="AI78" s="63">
        <f t="shared" si="151"/>
        <v>0.22378064516129031</v>
      </c>
      <c r="AJ78" s="63">
        <f t="shared" si="152"/>
        <v>0.87540123029132988</v>
      </c>
      <c r="AK78" s="63">
        <f t="shared" si="127"/>
        <v>0.88803809510708964</v>
      </c>
      <c r="AL78" s="63">
        <f t="shared" si="128"/>
        <v>6.587584930284918E-4</v>
      </c>
      <c r="AM78" s="63">
        <f t="shared" si="129"/>
        <v>8.5652597338938777E-4</v>
      </c>
      <c r="AN78" s="63">
        <f t="shared" si="130"/>
        <v>0.14841912873191843</v>
      </c>
      <c r="AO78" s="63">
        <f t="shared" si="131"/>
        <v>824.46826010580685</v>
      </c>
      <c r="AP78" s="63">
        <f t="shared" si="153"/>
        <v>0.14841912873191843</v>
      </c>
      <c r="AQ78" s="61">
        <f t="shared" si="132"/>
        <v>0.46248</v>
      </c>
      <c r="AR78" s="61">
        <f t="shared" si="133"/>
        <v>50128320000</v>
      </c>
      <c r="AS78" s="61">
        <f t="shared" si="154"/>
        <v>0.46248</v>
      </c>
      <c r="AT78" s="61">
        <f t="shared" si="155"/>
        <v>0.23869935483870966</v>
      </c>
      <c r="AU78" s="63">
        <f t="shared" si="156"/>
        <v>0.38797500954401748</v>
      </c>
      <c r="AV78" s="63">
        <f t="shared" si="134"/>
        <v>0.17426144694114243</v>
      </c>
      <c r="AW78" s="63">
        <f t="shared" si="135"/>
        <v>2.9760000000000003E-3</v>
      </c>
      <c r="AX78" s="63">
        <f t="shared" si="136"/>
        <v>0.24299000000000001</v>
      </c>
      <c r="AY78" s="63">
        <f t="shared" si="137"/>
        <v>0.24596600000000002</v>
      </c>
      <c r="AZ78" s="63">
        <f t="shared" si="138"/>
        <v>3.5064789504148979</v>
      </c>
      <c r="BA78" s="64">
        <f t="shared" si="139"/>
        <v>155.1</v>
      </c>
      <c r="BB78" s="76">
        <f t="shared" si="157"/>
        <v>0.97789195640922633</v>
      </c>
      <c r="BC78" s="64">
        <f t="shared" si="158"/>
        <v>97.789195640922628</v>
      </c>
      <c r="BD78" s="63">
        <f t="shared" si="140"/>
        <v>1.822074118597635</v>
      </c>
      <c r="BE78" s="63">
        <f t="shared" si="159"/>
        <v>1.2633762398353474</v>
      </c>
      <c r="BF78" s="63">
        <f t="shared" si="141"/>
        <v>0.87540123029132988</v>
      </c>
      <c r="BG78" s="63">
        <f t="shared" si="142"/>
        <v>0.38797500954401748</v>
      </c>
      <c r="BH78" s="63">
        <f t="shared" si="143"/>
        <v>0.17426144694114243</v>
      </c>
      <c r="BI78" s="63">
        <f t="shared" si="160"/>
        <v>0.24596600000000002</v>
      </c>
      <c r="BJ78" s="63">
        <f t="shared" si="161"/>
        <v>7.7433636434499312E-4</v>
      </c>
      <c r="BK78" s="63">
        <f t="shared" si="162"/>
        <v>2.6808676428074955E-5</v>
      </c>
      <c r="BL78" s="63">
        <f t="shared" si="163"/>
        <v>3.5064789504148979</v>
      </c>
      <c r="BQ78" s="77"/>
      <c r="BR78" s="78"/>
    </row>
    <row r="79" spans="3:70" x14ac:dyDescent="0.25">
      <c r="C79" s="61">
        <v>67</v>
      </c>
      <c r="D79" s="61">
        <f t="shared" si="103"/>
        <v>100</v>
      </c>
      <c r="E79" s="61">
        <f t="shared" si="104"/>
        <v>100</v>
      </c>
      <c r="F79" s="61">
        <f t="shared" si="105"/>
        <v>100</v>
      </c>
      <c r="G79" s="73">
        <f t="shared" si="106"/>
        <v>24</v>
      </c>
      <c r="H79" s="64">
        <f t="shared" si="107"/>
        <v>1</v>
      </c>
      <c r="I79" s="63">
        <f t="shared" si="144"/>
        <v>6.7</v>
      </c>
      <c r="J79" s="65">
        <f t="shared" si="108"/>
        <v>8.3533953124311573E-4</v>
      </c>
      <c r="K79" s="65">
        <f t="shared" si="109"/>
        <v>8.3533953124311573E-4</v>
      </c>
      <c r="L79" s="65">
        <f t="shared" si="110"/>
        <v>5.097492818882457E-3</v>
      </c>
      <c r="M79" s="65">
        <f t="shared" si="111"/>
        <v>4.0000000000000001E-3</v>
      </c>
      <c r="N79" s="63">
        <f t="shared" si="112"/>
        <v>0.98193958236441004</v>
      </c>
      <c r="O79" s="64">
        <f t="shared" si="113"/>
        <v>0.2536656213323189</v>
      </c>
      <c r="P79" s="64">
        <f t="shared" si="114"/>
        <v>6.8268328106661595</v>
      </c>
      <c r="Q79" s="64">
        <f t="shared" si="115"/>
        <v>6.5731671893338408</v>
      </c>
      <c r="R79" s="64">
        <f t="shared" si="116"/>
        <v>0</v>
      </c>
      <c r="S79" s="64">
        <f t="shared" si="117"/>
        <v>6.7004001512810536</v>
      </c>
      <c r="T79" s="63">
        <f t="shared" si="145"/>
        <v>0.22885378635082335</v>
      </c>
      <c r="U79" s="63">
        <f t="shared" si="118"/>
        <v>1.6</v>
      </c>
      <c r="V79" s="63">
        <f t="shared" si="146"/>
        <v>1.8288537863508234</v>
      </c>
      <c r="W79" s="64">
        <f t="shared" si="147"/>
        <v>7.3226957380184005E-2</v>
      </c>
      <c r="X79" s="63">
        <f t="shared" si="119"/>
        <v>2.6810936435796421E-5</v>
      </c>
      <c r="Y79" s="63">
        <f t="shared" si="148"/>
        <v>2.6810936435796421E-5</v>
      </c>
      <c r="Z79" s="64">
        <f t="shared" si="120"/>
        <v>0.89229203784126254</v>
      </c>
      <c r="AA79" s="74">
        <f t="shared" si="121"/>
        <v>7.9618508079491311E-4</v>
      </c>
      <c r="AB79" s="75">
        <f t="shared" si="149"/>
        <v>7.9618508079491311E-4</v>
      </c>
      <c r="AC79" s="63">
        <f t="shared" si="122"/>
        <v>6.639618452613349</v>
      </c>
      <c r="AD79" s="63">
        <f t="shared" si="150"/>
        <v>3.6825553295255192E-2</v>
      </c>
      <c r="AE79" s="63">
        <f t="shared" si="123"/>
        <v>4.8314462574314335E-2</v>
      </c>
      <c r="AF79" s="63">
        <f t="shared" si="124"/>
        <v>0.57263653629406308</v>
      </c>
      <c r="AG79" s="63">
        <f t="shared" si="125"/>
        <v>4.0608000000000005E-2</v>
      </c>
      <c r="AH79" s="63">
        <f t="shared" si="126"/>
        <v>0</v>
      </c>
      <c r="AI79" s="63">
        <f t="shared" si="151"/>
        <v>0.22378064516129031</v>
      </c>
      <c r="AJ79" s="63">
        <f t="shared" si="152"/>
        <v>0.88533964402966769</v>
      </c>
      <c r="AK79" s="63">
        <f t="shared" si="127"/>
        <v>0.90046043278063026</v>
      </c>
      <c r="AL79" s="63">
        <f t="shared" si="128"/>
        <v>6.7731750926317545E-4</v>
      </c>
      <c r="AM79" s="63">
        <f t="shared" si="129"/>
        <v>8.8066069079471572E-4</v>
      </c>
      <c r="AN79" s="63">
        <f t="shared" si="130"/>
        <v>0.15067510863189526</v>
      </c>
      <c r="AO79" s="63">
        <f t="shared" si="131"/>
        <v>837.00022845017816</v>
      </c>
      <c r="AP79" s="63">
        <f t="shared" si="153"/>
        <v>0.15067510863189526</v>
      </c>
      <c r="AQ79" s="61">
        <f t="shared" si="132"/>
        <v>0.46248</v>
      </c>
      <c r="AR79" s="61">
        <f t="shared" si="133"/>
        <v>50128320000</v>
      </c>
      <c r="AS79" s="61">
        <f t="shared" si="154"/>
        <v>0.46248</v>
      </c>
      <c r="AT79" s="61">
        <f t="shared" si="155"/>
        <v>0.23869935483870966</v>
      </c>
      <c r="AU79" s="63">
        <f t="shared" si="156"/>
        <v>0.39025512416139962</v>
      </c>
      <c r="AV79" s="63">
        <f t="shared" si="134"/>
        <v>0.17958144874914869</v>
      </c>
      <c r="AW79" s="63">
        <f t="shared" si="135"/>
        <v>2.9760000000000003E-3</v>
      </c>
      <c r="AX79" s="63">
        <f t="shared" si="136"/>
        <v>0.24299000000000001</v>
      </c>
      <c r="AY79" s="63">
        <f t="shared" si="137"/>
        <v>0.24596600000000002</v>
      </c>
      <c r="AZ79" s="63">
        <f t="shared" si="138"/>
        <v>3.5308189993082704</v>
      </c>
      <c r="BA79" s="64">
        <f t="shared" si="139"/>
        <v>157.45000000000002</v>
      </c>
      <c r="BB79" s="76">
        <f t="shared" si="157"/>
        <v>0.97806683416535822</v>
      </c>
      <c r="BC79" s="64">
        <f t="shared" si="158"/>
        <v>97.806683416535819</v>
      </c>
      <c r="BD79" s="63">
        <f t="shared" si="140"/>
        <v>1.8288537863508234</v>
      </c>
      <c r="BE79" s="63">
        <f t="shared" si="159"/>
        <v>1.2755947681910673</v>
      </c>
      <c r="BF79" s="63">
        <f t="shared" si="141"/>
        <v>0.88533964402966769</v>
      </c>
      <c r="BG79" s="63">
        <f t="shared" si="142"/>
        <v>0.39025512416139962</v>
      </c>
      <c r="BH79" s="63">
        <f t="shared" si="143"/>
        <v>0.17958144874914869</v>
      </c>
      <c r="BI79" s="63">
        <f t="shared" si="160"/>
        <v>0.24596600000000002</v>
      </c>
      <c r="BJ79" s="63">
        <f t="shared" si="161"/>
        <v>7.9618508079491311E-4</v>
      </c>
      <c r="BK79" s="63">
        <f t="shared" si="162"/>
        <v>2.6810936435796421E-5</v>
      </c>
      <c r="BL79" s="63">
        <f t="shared" si="163"/>
        <v>3.5308189993082704</v>
      </c>
      <c r="BQ79" s="77"/>
      <c r="BR79" s="78"/>
    </row>
    <row r="80" spans="3:70" x14ac:dyDescent="0.25">
      <c r="C80" s="61">
        <v>68</v>
      </c>
      <c r="D80" s="61">
        <f t="shared" si="103"/>
        <v>100</v>
      </c>
      <c r="E80" s="61">
        <f t="shared" si="104"/>
        <v>100</v>
      </c>
      <c r="F80" s="61">
        <f t="shared" si="105"/>
        <v>100</v>
      </c>
      <c r="G80" s="73">
        <f t="shared" si="106"/>
        <v>24</v>
      </c>
      <c r="H80" s="64">
        <f t="shared" si="107"/>
        <v>1</v>
      </c>
      <c r="I80" s="63">
        <f t="shared" si="144"/>
        <v>6.8</v>
      </c>
      <c r="J80" s="65">
        <f t="shared" si="108"/>
        <v>8.3533953124311573E-4</v>
      </c>
      <c r="K80" s="65">
        <f t="shared" si="109"/>
        <v>8.3533953124311573E-4</v>
      </c>
      <c r="L80" s="65">
        <f t="shared" si="110"/>
        <v>5.097492818882457E-3</v>
      </c>
      <c r="M80" s="65">
        <f t="shared" si="111"/>
        <v>4.0000000000000001E-3</v>
      </c>
      <c r="N80" s="63">
        <f t="shared" si="112"/>
        <v>0.98198096916586897</v>
      </c>
      <c r="O80" s="64">
        <f t="shared" si="113"/>
        <v>0.25367631283401165</v>
      </c>
      <c r="P80" s="64">
        <f t="shared" si="114"/>
        <v>6.9268381564170056</v>
      </c>
      <c r="Q80" s="64">
        <f t="shared" si="115"/>
        <v>6.673161843582994</v>
      </c>
      <c r="R80" s="64">
        <f t="shared" si="116"/>
        <v>0</v>
      </c>
      <c r="S80" s="64">
        <f t="shared" si="117"/>
        <v>6.8003943002819884</v>
      </c>
      <c r="T80" s="63">
        <f t="shared" si="145"/>
        <v>0.23573540396048637</v>
      </c>
      <c r="U80" s="63">
        <f t="shared" si="118"/>
        <v>1.6</v>
      </c>
      <c r="V80" s="63">
        <f t="shared" si="146"/>
        <v>1.8357354039604865</v>
      </c>
      <c r="W80" s="64">
        <f t="shared" si="147"/>
        <v>7.3230043750874177E-2</v>
      </c>
      <c r="X80" s="63">
        <f t="shared" si="119"/>
        <v>2.6813196538774732E-5</v>
      </c>
      <c r="Y80" s="63">
        <f t="shared" si="148"/>
        <v>2.6813196538774732E-5</v>
      </c>
      <c r="Z80" s="64">
        <f t="shared" si="120"/>
        <v>0.90458908788885506</v>
      </c>
      <c r="AA80" s="74">
        <f t="shared" si="121"/>
        <v>8.1828141792759078E-4</v>
      </c>
      <c r="AB80" s="75">
        <f t="shared" si="149"/>
        <v>8.1828141792759078E-4</v>
      </c>
      <c r="AC80" s="63">
        <f t="shared" si="122"/>
        <v>6.7388475293609735</v>
      </c>
      <c r="AD80" s="63">
        <f t="shared" si="150"/>
        <v>3.7934493945248275E-2</v>
      </c>
      <c r="AE80" s="63">
        <f t="shared" si="123"/>
        <v>4.9783190159996243E-2</v>
      </c>
      <c r="AF80" s="63">
        <f t="shared" si="124"/>
        <v>0.58112886968510546</v>
      </c>
      <c r="AG80" s="63">
        <f t="shared" si="125"/>
        <v>4.0608000000000005E-2</v>
      </c>
      <c r="AH80" s="63">
        <f t="shared" si="126"/>
        <v>0</v>
      </c>
      <c r="AI80" s="63">
        <f t="shared" si="151"/>
        <v>0.22378064516129031</v>
      </c>
      <c r="AJ80" s="63">
        <f t="shared" si="152"/>
        <v>0.89530070500639192</v>
      </c>
      <c r="AK80" s="63">
        <f t="shared" si="127"/>
        <v>0.9128508176768303</v>
      </c>
      <c r="AL80" s="63">
        <f t="shared" si="128"/>
        <v>6.9608560403895843E-4</v>
      </c>
      <c r="AM80" s="63">
        <f t="shared" si="129"/>
        <v>9.0506752636064015E-4</v>
      </c>
      <c r="AN80" s="63">
        <f t="shared" si="130"/>
        <v>0.15293108853187209</v>
      </c>
      <c r="AO80" s="63">
        <f t="shared" si="131"/>
        <v>849.53219679454935</v>
      </c>
      <c r="AP80" s="63">
        <f t="shared" si="153"/>
        <v>0.15293108853187209</v>
      </c>
      <c r="AQ80" s="61">
        <f t="shared" si="132"/>
        <v>0.46248</v>
      </c>
      <c r="AR80" s="61">
        <f t="shared" si="133"/>
        <v>50128320000</v>
      </c>
      <c r="AS80" s="61">
        <f t="shared" si="154"/>
        <v>0.46248</v>
      </c>
      <c r="AT80" s="61">
        <f t="shared" si="155"/>
        <v>0.23869935483870966</v>
      </c>
      <c r="AU80" s="63">
        <f t="shared" si="156"/>
        <v>0.39253551089694239</v>
      </c>
      <c r="AV80" s="63">
        <f t="shared" si="134"/>
        <v>0.18498145055723103</v>
      </c>
      <c r="AW80" s="63">
        <f t="shared" si="135"/>
        <v>2.9760000000000003E-3</v>
      </c>
      <c r="AX80" s="63">
        <f t="shared" si="136"/>
        <v>0.24299000000000001</v>
      </c>
      <c r="AY80" s="63">
        <f t="shared" si="137"/>
        <v>0.24596600000000002</v>
      </c>
      <c r="AZ80" s="63">
        <f t="shared" si="138"/>
        <v>3.5553641650355186</v>
      </c>
      <c r="BA80" s="64">
        <f t="shared" si="139"/>
        <v>159.79999999999998</v>
      </c>
      <c r="BB80" s="76">
        <f t="shared" si="157"/>
        <v>0.97823539996247943</v>
      </c>
      <c r="BC80" s="64">
        <f t="shared" si="158"/>
        <v>97.823539996247945</v>
      </c>
      <c r="BD80" s="63">
        <f t="shared" si="140"/>
        <v>1.8357354039604865</v>
      </c>
      <c r="BE80" s="63">
        <f t="shared" si="159"/>
        <v>1.2878362159033343</v>
      </c>
      <c r="BF80" s="63">
        <f t="shared" si="141"/>
        <v>0.89530070500639192</v>
      </c>
      <c r="BG80" s="63">
        <f t="shared" si="142"/>
        <v>0.39253551089694239</v>
      </c>
      <c r="BH80" s="63">
        <f t="shared" si="143"/>
        <v>0.18498145055723103</v>
      </c>
      <c r="BI80" s="63">
        <f t="shared" si="160"/>
        <v>0.24596600000000002</v>
      </c>
      <c r="BJ80" s="63">
        <f t="shared" si="161"/>
        <v>8.1828141792759078E-4</v>
      </c>
      <c r="BK80" s="63">
        <f t="shared" si="162"/>
        <v>2.6813196538774732E-5</v>
      </c>
      <c r="BL80" s="63">
        <f t="shared" si="163"/>
        <v>3.5553641650355181</v>
      </c>
      <c r="BQ80" s="77"/>
      <c r="BR80" s="78"/>
    </row>
    <row r="81" spans="3:70" x14ac:dyDescent="0.25">
      <c r="C81" s="61">
        <v>69</v>
      </c>
      <c r="D81" s="61">
        <f t="shared" si="103"/>
        <v>100</v>
      </c>
      <c r="E81" s="61">
        <f t="shared" si="104"/>
        <v>100</v>
      </c>
      <c r="F81" s="61">
        <f t="shared" si="105"/>
        <v>100</v>
      </c>
      <c r="G81" s="73">
        <f t="shared" si="106"/>
        <v>24</v>
      </c>
      <c r="H81" s="64">
        <f t="shared" si="107"/>
        <v>1</v>
      </c>
      <c r="I81" s="63">
        <f t="shared" si="144"/>
        <v>6.9</v>
      </c>
      <c r="J81" s="65">
        <f t="shared" si="108"/>
        <v>8.3533953124311573E-4</v>
      </c>
      <c r="K81" s="65">
        <f t="shared" si="109"/>
        <v>8.3533953124311573E-4</v>
      </c>
      <c r="L81" s="65">
        <f t="shared" si="110"/>
        <v>5.097492818882457E-3</v>
      </c>
      <c r="M81" s="65">
        <f t="shared" si="111"/>
        <v>4.0000000000000001E-3</v>
      </c>
      <c r="N81" s="63">
        <f t="shared" si="112"/>
        <v>0.98202235596732779</v>
      </c>
      <c r="O81" s="64">
        <f t="shared" si="113"/>
        <v>0.25368700433570435</v>
      </c>
      <c r="P81" s="64">
        <f t="shared" si="114"/>
        <v>7.0268435021678526</v>
      </c>
      <c r="Q81" s="64">
        <f t="shared" si="115"/>
        <v>6.7731564978321481</v>
      </c>
      <c r="R81" s="64">
        <f t="shared" si="116"/>
        <v>0</v>
      </c>
      <c r="S81" s="64">
        <f t="shared" si="117"/>
        <v>6.9003886188639703</v>
      </c>
      <c r="T81" s="63">
        <f t="shared" si="145"/>
        <v>0.24271897142662421</v>
      </c>
      <c r="U81" s="63">
        <f t="shared" si="118"/>
        <v>1.6</v>
      </c>
      <c r="V81" s="63">
        <f t="shared" si="146"/>
        <v>1.8427189714266243</v>
      </c>
      <c r="W81" s="64">
        <f t="shared" si="147"/>
        <v>7.3233130121564335E-2</v>
      </c>
      <c r="X81" s="63">
        <f t="shared" si="119"/>
        <v>2.681545673700987E-5</v>
      </c>
      <c r="Y81" s="63">
        <f t="shared" si="148"/>
        <v>2.681545673700987E-5</v>
      </c>
      <c r="Z81" s="64">
        <f t="shared" si="120"/>
        <v>0.91685493304747756</v>
      </c>
      <c r="AA81" s="74">
        <f t="shared" si="121"/>
        <v>8.406229682534946E-4</v>
      </c>
      <c r="AB81" s="75">
        <f t="shared" si="149"/>
        <v>8.406229682534946E-4</v>
      </c>
      <c r="AC81" s="63">
        <f t="shared" si="122"/>
        <v>6.8380809474007203</v>
      </c>
      <c r="AD81" s="63">
        <f t="shared" si="150"/>
        <v>3.9059934381662935E-2</v>
      </c>
      <c r="AE81" s="63">
        <f t="shared" si="123"/>
        <v>5.1274604805551148E-2</v>
      </c>
      <c r="AF81" s="63">
        <f t="shared" si="124"/>
        <v>0.58962120307614796</v>
      </c>
      <c r="AG81" s="63">
        <f t="shared" si="125"/>
        <v>4.0608000000000005E-2</v>
      </c>
      <c r="AH81" s="63">
        <f t="shared" si="126"/>
        <v>0</v>
      </c>
      <c r="AI81" s="63">
        <f t="shared" si="151"/>
        <v>0.22378064516129031</v>
      </c>
      <c r="AJ81" s="63">
        <f t="shared" si="152"/>
        <v>0.90528445304298932</v>
      </c>
      <c r="AK81" s="63">
        <f t="shared" si="127"/>
        <v>0.92520919155760795</v>
      </c>
      <c r="AL81" s="63">
        <f t="shared" si="128"/>
        <v>7.1506070303396785E-4</v>
      </c>
      <c r="AM81" s="63">
        <f t="shared" si="129"/>
        <v>9.2974379010971118E-4</v>
      </c>
      <c r="AN81" s="63">
        <f t="shared" si="130"/>
        <v>0.15518706843184893</v>
      </c>
      <c r="AO81" s="63">
        <f t="shared" si="131"/>
        <v>862.06416513892066</v>
      </c>
      <c r="AP81" s="63">
        <f t="shared" si="153"/>
        <v>0.15518706843184893</v>
      </c>
      <c r="AQ81" s="61">
        <f t="shared" si="132"/>
        <v>0.46248</v>
      </c>
      <c r="AR81" s="61">
        <f t="shared" si="133"/>
        <v>50128320000</v>
      </c>
      <c r="AS81" s="61">
        <f t="shared" si="154"/>
        <v>0.46248</v>
      </c>
      <c r="AT81" s="61">
        <f t="shared" si="155"/>
        <v>0.23869935483870966</v>
      </c>
      <c r="AU81" s="63">
        <f t="shared" si="156"/>
        <v>0.3948161670606683</v>
      </c>
      <c r="AV81" s="63">
        <f t="shared" si="134"/>
        <v>0.19046145236538964</v>
      </c>
      <c r="AW81" s="63">
        <f t="shared" si="135"/>
        <v>2.9760000000000003E-3</v>
      </c>
      <c r="AX81" s="63">
        <f t="shared" si="136"/>
        <v>0.24299000000000001</v>
      </c>
      <c r="AY81" s="63">
        <f t="shared" si="137"/>
        <v>0.24596600000000002</v>
      </c>
      <c r="AZ81" s="63">
        <f t="shared" si="138"/>
        <v>3.5801144823206625</v>
      </c>
      <c r="BA81" s="64">
        <f t="shared" si="139"/>
        <v>162.15</v>
      </c>
      <c r="BB81" s="76">
        <f t="shared" si="157"/>
        <v>0.97839792427885786</v>
      </c>
      <c r="BC81" s="64">
        <f t="shared" si="158"/>
        <v>97.839792427885783</v>
      </c>
      <c r="BD81" s="63">
        <f t="shared" si="140"/>
        <v>1.8427189714266243</v>
      </c>
      <c r="BE81" s="63">
        <f t="shared" si="159"/>
        <v>1.3001006201036576</v>
      </c>
      <c r="BF81" s="63">
        <f t="shared" si="141"/>
        <v>0.90528445304298932</v>
      </c>
      <c r="BG81" s="63">
        <f t="shared" si="142"/>
        <v>0.3948161670606683</v>
      </c>
      <c r="BH81" s="63">
        <f t="shared" si="143"/>
        <v>0.19046145236538964</v>
      </c>
      <c r="BI81" s="63">
        <f t="shared" si="160"/>
        <v>0.24596600000000002</v>
      </c>
      <c r="BJ81" s="63">
        <f t="shared" si="161"/>
        <v>8.406229682534946E-4</v>
      </c>
      <c r="BK81" s="63">
        <f t="shared" si="162"/>
        <v>2.681545673700987E-5</v>
      </c>
      <c r="BL81" s="63">
        <f t="shared" si="163"/>
        <v>3.5801144823206625</v>
      </c>
      <c r="BQ81" s="77"/>
      <c r="BR81" s="78"/>
    </row>
    <row r="82" spans="3:70" x14ac:dyDescent="0.25">
      <c r="C82" s="61">
        <v>70</v>
      </c>
      <c r="D82" s="61">
        <f t="shared" si="103"/>
        <v>100</v>
      </c>
      <c r="E82" s="61">
        <f t="shared" si="104"/>
        <v>100</v>
      </c>
      <c r="F82" s="61">
        <f t="shared" si="105"/>
        <v>100</v>
      </c>
      <c r="G82" s="73">
        <f t="shared" si="106"/>
        <v>24</v>
      </c>
      <c r="H82" s="64">
        <f t="shared" si="107"/>
        <v>1</v>
      </c>
      <c r="I82" s="63">
        <f t="shared" si="144"/>
        <v>7</v>
      </c>
      <c r="J82" s="65">
        <f t="shared" si="108"/>
        <v>8.3533953124311573E-4</v>
      </c>
      <c r="K82" s="65">
        <f t="shared" si="109"/>
        <v>8.3533953124311573E-4</v>
      </c>
      <c r="L82" s="65">
        <f t="shared" si="110"/>
        <v>5.097492818882457E-3</v>
      </c>
      <c r="M82" s="65">
        <f t="shared" si="111"/>
        <v>4.0000000000000001E-3</v>
      </c>
      <c r="N82" s="63">
        <f t="shared" si="112"/>
        <v>0.98206374276878661</v>
      </c>
      <c r="O82" s="64">
        <f t="shared" si="113"/>
        <v>0.2536976958373971</v>
      </c>
      <c r="P82" s="64">
        <f t="shared" si="114"/>
        <v>7.1268488479186987</v>
      </c>
      <c r="Q82" s="64">
        <f t="shared" si="115"/>
        <v>6.8731511520813013</v>
      </c>
      <c r="R82" s="64">
        <f t="shared" si="116"/>
        <v>0</v>
      </c>
      <c r="S82" s="64">
        <f t="shared" si="117"/>
        <v>7.0003830997600476</v>
      </c>
      <c r="T82" s="63">
        <f t="shared" si="145"/>
        <v>0.24980448874923669</v>
      </c>
      <c r="U82" s="63">
        <f t="shared" si="118"/>
        <v>1.6</v>
      </c>
      <c r="V82" s="63">
        <f t="shared" si="146"/>
        <v>1.8498044887492369</v>
      </c>
      <c r="W82" s="64">
        <f t="shared" si="147"/>
        <v>7.3236216492254508E-2</v>
      </c>
      <c r="X82" s="63">
        <f t="shared" si="119"/>
        <v>2.6817717030501859E-5</v>
      </c>
      <c r="Y82" s="63">
        <f t="shared" si="148"/>
        <v>2.6817717030501859E-5</v>
      </c>
      <c r="Z82" s="64">
        <f t="shared" si="120"/>
        <v>0.92908951337962564</v>
      </c>
      <c r="AA82" s="74">
        <f t="shared" si="121"/>
        <v>8.6320732387198962E-4</v>
      </c>
      <c r="AB82" s="75">
        <f t="shared" si="149"/>
        <v>8.6320732387198962E-4</v>
      </c>
      <c r="AC82" s="63">
        <f t="shared" si="122"/>
        <v>6.9373186994099125</v>
      </c>
      <c r="AD82" s="63">
        <f t="shared" si="150"/>
        <v>4.0201876678821004E-2</v>
      </c>
      <c r="AE82" s="63">
        <f t="shared" si="123"/>
        <v>5.2788746942733375E-2</v>
      </c>
      <c r="AF82" s="63">
        <f t="shared" si="124"/>
        <v>0.59811353646719012</v>
      </c>
      <c r="AG82" s="63">
        <f t="shared" si="125"/>
        <v>4.0608000000000005E-2</v>
      </c>
      <c r="AH82" s="63">
        <f t="shared" si="126"/>
        <v>0</v>
      </c>
      <c r="AI82" s="63">
        <f t="shared" si="151"/>
        <v>0.22378064516129031</v>
      </c>
      <c r="AJ82" s="63">
        <f t="shared" si="152"/>
        <v>0.91529092857121386</v>
      </c>
      <c r="AK82" s="63">
        <f t="shared" si="127"/>
        <v>0.9375354959806369</v>
      </c>
      <c r="AL82" s="63">
        <f t="shared" si="128"/>
        <v>7.3424073192631713E-4</v>
      </c>
      <c r="AM82" s="63">
        <f t="shared" si="129"/>
        <v>9.5468679204659254E-4</v>
      </c>
      <c r="AN82" s="63">
        <f t="shared" si="130"/>
        <v>0.15744304833182571</v>
      </c>
      <c r="AO82" s="63">
        <f t="shared" si="131"/>
        <v>874.59613348329185</v>
      </c>
      <c r="AP82" s="63">
        <f t="shared" si="153"/>
        <v>0.15744304833182571</v>
      </c>
      <c r="AQ82" s="61">
        <f t="shared" si="132"/>
        <v>0.46248</v>
      </c>
      <c r="AR82" s="61">
        <f t="shared" si="133"/>
        <v>50128320000</v>
      </c>
      <c r="AS82" s="61">
        <f t="shared" si="154"/>
        <v>0.46248</v>
      </c>
      <c r="AT82" s="61">
        <f t="shared" si="155"/>
        <v>0.23869935483870966</v>
      </c>
      <c r="AU82" s="63">
        <f t="shared" si="156"/>
        <v>0.39709708996258197</v>
      </c>
      <c r="AV82" s="63">
        <f t="shared" si="134"/>
        <v>0.19602145417362438</v>
      </c>
      <c r="AW82" s="63">
        <f t="shared" si="135"/>
        <v>2.9760000000000003E-3</v>
      </c>
      <c r="AX82" s="63">
        <f t="shared" si="136"/>
        <v>0.24299000000000001</v>
      </c>
      <c r="AY82" s="63">
        <f t="shared" si="137"/>
        <v>0.24596600000000002</v>
      </c>
      <c r="AZ82" s="63">
        <f t="shared" si="138"/>
        <v>3.6050699864975595</v>
      </c>
      <c r="BA82" s="64">
        <f t="shared" si="139"/>
        <v>164.5</v>
      </c>
      <c r="BB82" s="76">
        <f t="shared" si="157"/>
        <v>0.97855466235023647</v>
      </c>
      <c r="BC82" s="64">
        <f t="shared" si="158"/>
        <v>97.855466235023641</v>
      </c>
      <c r="BD82" s="63">
        <f t="shared" si="140"/>
        <v>1.8498044887492369</v>
      </c>
      <c r="BE82" s="63">
        <f t="shared" si="159"/>
        <v>1.3123880185337957</v>
      </c>
      <c r="BF82" s="63">
        <f t="shared" si="141"/>
        <v>0.91529092857121386</v>
      </c>
      <c r="BG82" s="63">
        <f t="shared" si="142"/>
        <v>0.39709708996258197</v>
      </c>
      <c r="BH82" s="63">
        <f t="shared" si="143"/>
        <v>0.19602145417362438</v>
      </c>
      <c r="BI82" s="63">
        <f t="shared" si="160"/>
        <v>0.24596600000000002</v>
      </c>
      <c r="BJ82" s="63">
        <f t="shared" si="161"/>
        <v>8.6320732387198962E-4</v>
      </c>
      <c r="BK82" s="63">
        <f t="shared" si="162"/>
        <v>2.6817717030501859E-5</v>
      </c>
      <c r="BL82" s="63">
        <f t="shared" si="163"/>
        <v>3.6050699864975599</v>
      </c>
      <c r="BQ82" s="77"/>
      <c r="BR82" s="78"/>
    </row>
    <row r="83" spans="3:70" x14ac:dyDescent="0.25">
      <c r="C83" s="61">
        <v>71</v>
      </c>
      <c r="D83" s="61">
        <f t="shared" si="103"/>
        <v>100</v>
      </c>
      <c r="E83" s="61">
        <f t="shared" si="104"/>
        <v>100</v>
      </c>
      <c r="F83" s="61">
        <f t="shared" si="105"/>
        <v>100</v>
      </c>
      <c r="G83" s="73">
        <f t="shared" si="106"/>
        <v>24</v>
      </c>
      <c r="H83" s="64">
        <f t="shared" si="107"/>
        <v>1</v>
      </c>
      <c r="I83" s="63">
        <f t="shared" si="144"/>
        <v>7.1</v>
      </c>
      <c r="J83" s="65">
        <f t="shared" si="108"/>
        <v>8.3533953124311573E-4</v>
      </c>
      <c r="K83" s="65">
        <f t="shared" si="109"/>
        <v>8.3533953124311573E-4</v>
      </c>
      <c r="L83" s="65">
        <f t="shared" si="110"/>
        <v>5.097492818882457E-3</v>
      </c>
      <c r="M83" s="65">
        <f t="shared" si="111"/>
        <v>4.0000000000000001E-3</v>
      </c>
      <c r="N83" s="63">
        <f t="shared" si="112"/>
        <v>0.98210512957024543</v>
      </c>
      <c r="O83" s="64">
        <f t="shared" si="113"/>
        <v>0.25370838733908985</v>
      </c>
      <c r="P83" s="64">
        <f t="shared" si="114"/>
        <v>7.2268541936695447</v>
      </c>
      <c r="Q83" s="64">
        <f t="shared" si="115"/>
        <v>6.9731458063304546</v>
      </c>
      <c r="R83" s="64">
        <f t="shared" si="116"/>
        <v>0</v>
      </c>
      <c r="S83" s="64">
        <f t="shared" si="117"/>
        <v>7.100377736112625</v>
      </c>
      <c r="T83" s="63">
        <f t="shared" si="145"/>
        <v>0.25699195592832408</v>
      </c>
      <c r="U83" s="63">
        <f t="shared" si="118"/>
        <v>1.6</v>
      </c>
      <c r="V83" s="63">
        <f t="shared" si="146"/>
        <v>1.8569919559283241</v>
      </c>
      <c r="W83" s="64">
        <f t="shared" si="147"/>
        <v>7.323930286294468E-2</v>
      </c>
      <c r="X83" s="63">
        <f t="shared" si="119"/>
        <v>2.6819977419250685E-5</v>
      </c>
      <c r="Y83" s="63">
        <f t="shared" si="148"/>
        <v>2.6819977419250685E-5</v>
      </c>
      <c r="Z83" s="64">
        <f t="shared" si="120"/>
        <v>0.94129276873423318</v>
      </c>
      <c r="AA83" s="74">
        <f t="shared" si="121"/>
        <v>8.8603207647135868E-4</v>
      </c>
      <c r="AB83" s="75">
        <f t="shared" si="149"/>
        <v>8.8603207647135868E-4</v>
      </c>
      <c r="AC83" s="63">
        <f t="shared" si="122"/>
        <v>7.0365607784709532</v>
      </c>
      <c r="AD83" s="63">
        <f t="shared" si="150"/>
        <v>4.1360322911044405E-2</v>
      </c>
      <c r="AE83" s="63">
        <f t="shared" si="123"/>
        <v>5.4325657616215384E-2</v>
      </c>
      <c r="AF83" s="63">
        <f t="shared" si="124"/>
        <v>0.6066058698582325</v>
      </c>
      <c r="AG83" s="63">
        <f t="shared" si="125"/>
        <v>4.0608000000000005E-2</v>
      </c>
      <c r="AH83" s="63">
        <f t="shared" si="126"/>
        <v>0</v>
      </c>
      <c r="AI83" s="63">
        <f t="shared" si="151"/>
        <v>0.22378064516129031</v>
      </c>
      <c r="AJ83" s="63">
        <f t="shared" si="152"/>
        <v>0.92532017263573807</v>
      </c>
      <c r="AK83" s="63">
        <f t="shared" si="127"/>
        <v>0.94982967229293136</v>
      </c>
      <c r="AL83" s="63">
        <f t="shared" si="128"/>
        <v>7.5362361639412512E-4</v>
      </c>
      <c r="AM83" s="63">
        <f t="shared" si="129"/>
        <v>9.7989384215533258E-4</v>
      </c>
      <c r="AN83" s="63">
        <f t="shared" si="130"/>
        <v>0.15969902823180254</v>
      </c>
      <c r="AO83" s="63">
        <f t="shared" si="131"/>
        <v>887.12810182766293</v>
      </c>
      <c r="AP83" s="63">
        <f t="shared" si="153"/>
        <v>0.15969902823180254</v>
      </c>
      <c r="AQ83" s="61">
        <f t="shared" si="132"/>
        <v>0.46248</v>
      </c>
      <c r="AR83" s="61">
        <f t="shared" si="133"/>
        <v>50128320000</v>
      </c>
      <c r="AS83" s="61">
        <f t="shared" si="154"/>
        <v>0.46248</v>
      </c>
      <c r="AT83" s="61">
        <f t="shared" si="155"/>
        <v>0.23869935483870966</v>
      </c>
      <c r="AU83" s="63">
        <f t="shared" si="156"/>
        <v>0.39937827691266753</v>
      </c>
      <c r="AV83" s="63">
        <f t="shared" si="134"/>
        <v>0.20166145598193538</v>
      </c>
      <c r="AW83" s="63">
        <f t="shared" si="135"/>
        <v>2.9760000000000003E-3</v>
      </c>
      <c r="AX83" s="63">
        <f t="shared" si="136"/>
        <v>0.24299000000000001</v>
      </c>
      <c r="AY83" s="63">
        <f t="shared" si="137"/>
        <v>0.24596600000000002</v>
      </c>
      <c r="AZ83" s="63">
        <f t="shared" si="138"/>
        <v>3.6302307135125558</v>
      </c>
      <c r="BA83" s="64">
        <f t="shared" si="139"/>
        <v>166.85</v>
      </c>
      <c r="BB83" s="76">
        <f t="shared" si="157"/>
        <v>0.97870585522838094</v>
      </c>
      <c r="BC83" s="64">
        <f t="shared" si="158"/>
        <v>97.870585522838098</v>
      </c>
      <c r="BD83" s="63">
        <f t="shared" si="140"/>
        <v>1.8569919559283241</v>
      </c>
      <c r="BE83" s="63">
        <f t="shared" si="159"/>
        <v>1.3246984495484055</v>
      </c>
      <c r="BF83" s="63">
        <f t="shared" si="141"/>
        <v>0.92532017263573807</v>
      </c>
      <c r="BG83" s="63">
        <f t="shared" si="142"/>
        <v>0.39937827691266753</v>
      </c>
      <c r="BH83" s="63">
        <f t="shared" si="143"/>
        <v>0.20166145598193538</v>
      </c>
      <c r="BI83" s="63">
        <f t="shared" si="160"/>
        <v>0.24596600000000002</v>
      </c>
      <c r="BJ83" s="63">
        <f t="shared" si="161"/>
        <v>8.8603207647135868E-4</v>
      </c>
      <c r="BK83" s="63">
        <f t="shared" si="162"/>
        <v>2.6819977419250685E-5</v>
      </c>
      <c r="BL83" s="63">
        <f t="shared" si="163"/>
        <v>3.6302307135125558</v>
      </c>
      <c r="BQ83" s="77"/>
      <c r="BR83" s="78"/>
    </row>
    <row r="84" spans="3:70" x14ac:dyDescent="0.25">
      <c r="C84" s="61">
        <v>72</v>
      </c>
      <c r="D84" s="61">
        <f t="shared" si="103"/>
        <v>100</v>
      </c>
      <c r="E84" s="61">
        <f t="shared" si="104"/>
        <v>100</v>
      </c>
      <c r="F84" s="61">
        <f t="shared" si="105"/>
        <v>100</v>
      </c>
      <c r="G84" s="73">
        <f t="shared" si="106"/>
        <v>24</v>
      </c>
      <c r="H84" s="64">
        <f t="shared" si="107"/>
        <v>1</v>
      </c>
      <c r="I84" s="63">
        <f t="shared" si="144"/>
        <v>7.2</v>
      </c>
      <c r="J84" s="65">
        <f t="shared" si="108"/>
        <v>8.3533953124311573E-4</v>
      </c>
      <c r="K84" s="65">
        <f t="shared" si="109"/>
        <v>8.3533953124311573E-4</v>
      </c>
      <c r="L84" s="65">
        <f t="shared" si="110"/>
        <v>5.097492818882457E-3</v>
      </c>
      <c r="M84" s="65">
        <f t="shared" si="111"/>
        <v>4.0000000000000001E-3</v>
      </c>
      <c r="N84" s="63">
        <f t="shared" si="112"/>
        <v>0.98214651637170436</v>
      </c>
      <c r="O84" s="64">
        <f t="shared" si="113"/>
        <v>0.2537190788407826</v>
      </c>
      <c r="P84" s="64">
        <f t="shared" si="114"/>
        <v>7.3268595394203917</v>
      </c>
      <c r="Q84" s="64">
        <f t="shared" si="115"/>
        <v>7.0731404605796087</v>
      </c>
      <c r="R84" s="64">
        <f t="shared" si="116"/>
        <v>0</v>
      </c>
      <c r="S84" s="64">
        <f t="shared" si="117"/>
        <v>7.20037252144503</v>
      </c>
      <c r="T84" s="63">
        <f t="shared" si="145"/>
        <v>0.26428137296388626</v>
      </c>
      <c r="U84" s="63">
        <f t="shared" si="118"/>
        <v>1.6</v>
      </c>
      <c r="V84" s="63">
        <f t="shared" si="146"/>
        <v>1.8642813729638863</v>
      </c>
      <c r="W84" s="64">
        <f t="shared" si="147"/>
        <v>7.3242389233634866E-2</v>
      </c>
      <c r="X84" s="63">
        <f t="shared" si="119"/>
        <v>2.6822237903256362E-5</v>
      </c>
      <c r="Y84" s="63">
        <f t="shared" si="148"/>
        <v>2.6822237903256362E-5</v>
      </c>
      <c r="Z84" s="64">
        <f t="shared" si="120"/>
        <v>0.95346463874062437</v>
      </c>
      <c r="AA84" s="74">
        <f t="shared" si="121"/>
        <v>9.0909481732878944E-4</v>
      </c>
      <c r="AB84" s="75">
        <f t="shared" si="149"/>
        <v>9.0909481732878944E-4</v>
      </c>
      <c r="AC84" s="63">
        <f t="shared" si="122"/>
        <v>7.1358071780431924</v>
      </c>
      <c r="AD84" s="63">
        <f t="shared" si="150"/>
        <v>4.2535275152655018E-2</v>
      </c>
      <c r="AE84" s="63">
        <f t="shared" si="123"/>
        <v>5.588537848628073E-2</v>
      </c>
      <c r="AF84" s="63">
        <f t="shared" si="124"/>
        <v>0.615098203249275</v>
      </c>
      <c r="AG84" s="63">
        <f t="shared" si="125"/>
        <v>4.0608000000000005E-2</v>
      </c>
      <c r="AH84" s="63">
        <f t="shared" si="126"/>
        <v>0</v>
      </c>
      <c r="AI84" s="63">
        <f t="shared" si="151"/>
        <v>0.22378064516129031</v>
      </c>
      <c r="AJ84" s="63">
        <f t="shared" si="152"/>
        <v>0.93537222689684607</v>
      </c>
      <c r="AK84" s="63">
        <f t="shared" si="127"/>
        <v>0.96209166162476534</v>
      </c>
      <c r="AL84" s="63">
        <f t="shared" si="128"/>
        <v>7.7320728211550472E-4</v>
      </c>
      <c r="AM84" s="63">
        <f t="shared" si="129"/>
        <v>1.0053622503966224E-3</v>
      </c>
      <c r="AN84" s="63">
        <f t="shared" si="130"/>
        <v>0.16195500813177935</v>
      </c>
      <c r="AO84" s="63">
        <f t="shared" si="131"/>
        <v>899.66007017203424</v>
      </c>
      <c r="AP84" s="63">
        <f t="shared" si="153"/>
        <v>0.16195500813177935</v>
      </c>
      <c r="AQ84" s="61">
        <f t="shared" si="132"/>
        <v>0.46248</v>
      </c>
      <c r="AR84" s="61">
        <f t="shared" si="133"/>
        <v>50128320000</v>
      </c>
      <c r="AS84" s="61">
        <f t="shared" si="154"/>
        <v>0.46248</v>
      </c>
      <c r="AT84" s="61">
        <f t="shared" si="155"/>
        <v>0.23869935483870966</v>
      </c>
      <c r="AU84" s="63">
        <f t="shared" si="156"/>
        <v>0.40165972522088567</v>
      </c>
      <c r="AV84" s="63">
        <f t="shared" si="134"/>
        <v>0.20738145779032263</v>
      </c>
      <c r="AW84" s="63">
        <f t="shared" si="135"/>
        <v>2.9760000000000003E-3</v>
      </c>
      <c r="AX84" s="63">
        <f t="shared" si="136"/>
        <v>0.24299000000000001</v>
      </c>
      <c r="AY84" s="63">
        <f t="shared" si="137"/>
        <v>0.24596600000000002</v>
      </c>
      <c r="AZ84" s="63">
        <f t="shared" si="138"/>
        <v>3.6555966999271727</v>
      </c>
      <c r="BA84" s="64">
        <f t="shared" si="139"/>
        <v>169.20000000000002</v>
      </c>
      <c r="BB84" s="76">
        <f t="shared" si="157"/>
        <v>0.97885173075261667</v>
      </c>
      <c r="BC84" s="64">
        <f t="shared" si="158"/>
        <v>97.885173075261662</v>
      </c>
      <c r="BD84" s="63">
        <f t="shared" si="140"/>
        <v>1.8642813729638863</v>
      </c>
      <c r="BE84" s="63">
        <f t="shared" si="159"/>
        <v>1.3370319521177318</v>
      </c>
      <c r="BF84" s="63">
        <f t="shared" si="141"/>
        <v>0.93537222689684607</v>
      </c>
      <c r="BG84" s="63">
        <f t="shared" si="142"/>
        <v>0.40165972522088567</v>
      </c>
      <c r="BH84" s="63">
        <f t="shared" si="143"/>
        <v>0.20738145779032263</v>
      </c>
      <c r="BI84" s="63">
        <f t="shared" si="160"/>
        <v>0.24596600000000002</v>
      </c>
      <c r="BJ84" s="63">
        <f t="shared" si="161"/>
        <v>9.0909481732878944E-4</v>
      </c>
      <c r="BK84" s="63">
        <f t="shared" si="162"/>
        <v>2.6822237903256362E-5</v>
      </c>
      <c r="BL84" s="63">
        <f t="shared" si="163"/>
        <v>3.6555966999271727</v>
      </c>
      <c r="BQ84" s="77"/>
      <c r="BR84" s="78"/>
    </row>
    <row r="85" spans="3:70" x14ac:dyDescent="0.25">
      <c r="C85" s="61">
        <v>73</v>
      </c>
      <c r="D85" s="61">
        <f t="shared" si="103"/>
        <v>100</v>
      </c>
      <c r="E85" s="61">
        <f t="shared" si="104"/>
        <v>100</v>
      </c>
      <c r="F85" s="61">
        <f t="shared" si="105"/>
        <v>100</v>
      </c>
      <c r="G85" s="73">
        <f t="shared" si="106"/>
        <v>24</v>
      </c>
      <c r="H85" s="64">
        <f t="shared" si="107"/>
        <v>1</v>
      </c>
      <c r="I85" s="63">
        <f t="shared" si="144"/>
        <v>7.3</v>
      </c>
      <c r="J85" s="65">
        <f t="shared" si="108"/>
        <v>8.3533953124311573E-4</v>
      </c>
      <c r="K85" s="65">
        <f t="shared" si="109"/>
        <v>8.3533953124311573E-4</v>
      </c>
      <c r="L85" s="65">
        <f t="shared" si="110"/>
        <v>5.097492818882457E-3</v>
      </c>
      <c r="M85" s="65">
        <f t="shared" si="111"/>
        <v>4.0000000000000001E-3</v>
      </c>
      <c r="N85" s="63">
        <f t="shared" si="112"/>
        <v>0.98218790317316318</v>
      </c>
      <c r="O85" s="64">
        <f t="shared" si="113"/>
        <v>0.25372977034247529</v>
      </c>
      <c r="P85" s="64">
        <f t="shared" si="114"/>
        <v>7.4268648851712378</v>
      </c>
      <c r="Q85" s="64">
        <f t="shared" si="115"/>
        <v>7.1731351148287619</v>
      </c>
      <c r="R85" s="64">
        <f t="shared" si="116"/>
        <v>0</v>
      </c>
      <c r="S85" s="64">
        <f t="shared" si="117"/>
        <v>7.3003674496354289</v>
      </c>
      <c r="T85" s="63">
        <f t="shared" si="145"/>
        <v>0.27167273985592305</v>
      </c>
      <c r="U85" s="63">
        <f t="shared" si="118"/>
        <v>1.6</v>
      </c>
      <c r="V85" s="63">
        <f t="shared" si="146"/>
        <v>1.8716727398559232</v>
      </c>
      <c r="W85" s="64">
        <f t="shared" si="147"/>
        <v>7.3245475604325025E-2</v>
      </c>
      <c r="X85" s="63">
        <f t="shared" si="119"/>
        <v>2.6824498482518863E-5</v>
      </c>
      <c r="Y85" s="63">
        <f t="shared" si="148"/>
        <v>2.6824498482518863E-5</v>
      </c>
      <c r="Z85" s="64">
        <f t="shared" si="120"/>
        <v>0.96560506280279934</v>
      </c>
      <c r="AA85" s="74">
        <f t="shared" si="121"/>
        <v>9.3239313731039808E-4</v>
      </c>
      <c r="AB85" s="75">
        <f t="shared" si="149"/>
        <v>9.3239313731039808E-4</v>
      </c>
      <c r="AC85" s="63">
        <f t="shared" si="122"/>
        <v>7.2350578919371129</v>
      </c>
      <c r="AD85" s="63">
        <f t="shared" si="150"/>
        <v>4.3726735477974683E-2</v>
      </c>
      <c r="AE85" s="63">
        <f t="shared" si="123"/>
        <v>5.7467951831560608E-2</v>
      </c>
      <c r="AF85" s="63">
        <f t="shared" si="124"/>
        <v>0.62359053664031727</v>
      </c>
      <c r="AG85" s="63">
        <f t="shared" si="125"/>
        <v>4.0608000000000005E-2</v>
      </c>
      <c r="AH85" s="63">
        <f t="shared" si="126"/>
        <v>0</v>
      </c>
      <c r="AI85" s="63">
        <f t="shared" si="151"/>
        <v>0.22378064516129031</v>
      </c>
      <c r="AJ85" s="63">
        <f t="shared" si="152"/>
        <v>0.94544713363316824</v>
      </c>
      <c r="AK85" s="63">
        <f t="shared" si="127"/>
        <v>0.97432140488392971</v>
      </c>
      <c r="AL85" s="63">
        <f t="shared" si="128"/>
        <v>7.9298965476858399E-4</v>
      </c>
      <c r="AM85" s="63">
        <f t="shared" si="129"/>
        <v>1.0310893267051256E-3</v>
      </c>
      <c r="AN85" s="63">
        <f t="shared" si="130"/>
        <v>0.16421098803175616</v>
      </c>
      <c r="AO85" s="63">
        <f t="shared" si="131"/>
        <v>912.19203851640532</v>
      </c>
      <c r="AP85" s="63">
        <f t="shared" si="153"/>
        <v>0.16421098803175616</v>
      </c>
      <c r="AQ85" s="61">
        <f t="shared" si="132"/>
        <v>0.46248</v>
      </c>
      <c r="AR85" s="61">
        <f t="shared" si="133"/>
        <v>50128320000</v>
      </c>
      <c r="AS85" s="61">
        <f t="shared" si="154"/>
        <v>0.46248</v>
      </c>
      <c r="AT85" s="61">
        <f t="shared" si="155"/>
        <v>0.23869935483870966</v>
      </c>
      <c r="AU85" s="63">
        <f t="shared" si="156"/>
        <v>0.40394143219717094</v>
      </c>
      <c r="AV85" s="63">
        <f t="shared" si="134"/>
        <v>0.21318145959878598</v>
      </c>
      <c r="AW85" s="63">
        <f t="shared" si="135"/>
        <v>2.9760000000000003E-3</v>
      </c>
      <c r="AX85" s="63">
        <f t="shared" si="136"/>
        <v>0.24299000000000001</v>
      </c>
      <c r="AY85" s="63">
        <f t="shared" si="137"/>
        <v>0.24596600000000002</v>
      </c>
      <c r="AZ85" s="63">
        <f t="shared" si="138"/>
        <v>3.6811679829208419</v>
      </c>
      <c r="BA85" s="64">
        <f t="shared" si="139"/>
        <v>171.54999999999998</v>
      </c>
      <c r="BB85" s="76">
        <f t="shared" si="157"/>
        <v>0.97899250444259078</v>
      </c>
      <c r="BC85" s="64">
        <f t="shared" si="158"/>
        <v>97.899250444259081</v>
      </c>
      <c r="BD85" s="63">
        <f t="shared" si="140"/>
        <v>1.8716727398559232</v>
      </c>
      <c r="BE85" s="63">
        <f t="shared" si="159"/>
        <v>1.3493885658303393</v>
      </c>
      <c r="BF85" s="63">
        <f t="shared" si="141"/>
        <v>0.94544713363316824</v>
      </c>
      <c r="BG85" s="63">
        <f t="shared" si="142"/>
        <v>0.40394143219717094</v>
      </c>
      <c r="BH85" s="63">
        <f t="shared" si="143"/>
        <v>0.21318145959878598</v>
      </c>
      <c r="BI85" s="63">
        <f t="shared" si="160"/>
        <v>0.24596600000000002</v>
      </c>
      <c r="BJ85" s="63">
        <f t="shared" si="161"/>
        <v>9.3239313731039808E-4</v>
      </c>
      <c r="BK85" s="63">
        <f t="shared" si="162"/>
        <v>2.6824498482518863E-5</v>
      </c>
      <c r="BL85" s="63">
        <f t="shared" si="163"/>
        <v>3.6811679829208419</v>
      </c>
      <c r="BQ85" s="77"/>
      <c r="BR85" s="78"/>
    </row>
    <row r="86" spans="3:70" x14ac:dyDescent="0.25">
      <c r="C86" s="61">
        <v>74</v>
      </c>
      <c r="D86" s="61">
        <f t="shared" si="103"/>
        <v>100</v>
      </c>
      <c r="E86" s="61">
        <f t="shared" si="104"/>
        <v>100</v>
      </c>
      <c r="F86" s="61">
        <f t="shared" si="105"/>
        <v>100</v>
      </c>
      <c r="G86" s="73">
        <f t="shared" si="106"/>
        <v>24</v>
      </c>
      <c r="H86" s="64">
        <f t="shared" si="107"/>
        <v>1</v>
      </c>
      <c r="I86" s="63">
        <f t="shared" si="144"/>
        <v>7.4</v>
      </c>
      <c r="J86" s="65">
        <f t="shared" si="108"/>
        <v>8.3533953124311573E-4</v>
      </c>
      <c r="K86" s="65">
        <f t="shared" si="109"/>
        <v>8.3533953124311573E-4</v>
      </c>
      <c r="L86" s="65">
        <f t="shared" si="110"/>
        <v>5.097492818882457E-3</v>
      </c>
      <c r="M86" s="65">
        <f t="shared" si="111"/>
        <v>4.0000000000000001E-3</v>
      </c>
      <c r="N86" s="63">
        <f t="shared" si="112"/>
        <v>0.982229289974622</v>
      </c>
      <c r="O86" s="64">
        <f t="shared" si="113"/>
        <v>0.25374046184416804</v>
      </c>
      <c r="P86" s="64">
        <f t="shared" si="114"/>
        <v>7.5268702309220847</v>
      </c>
      <c r="Q86" s="64">
        <f t="shared" si="115"/>
        <v>7.273129769077916</v>
      </c>
      <c r="R86" s="64">
        <f t="shared" si="116"/>
        <v>0</v>
      </c>
      <c r="S86" s="64">
        <f t="shared" si="117"/>
        <v>7.4003625148928629</v>
      </c>
      <c r="T86" s="63">
        <f t="shared" si="145"/>
        <v>0.27916605660443478</v>
      </c>
      <c r="U86" s="63">
        <f t="shared" si="118"/>
        <v>1.6</v>
      </c>
      <c r="V86" s="63">
        <f t="shared" si="146"/>
        <v>1.8791660566044348</v>
      </c>
      <c r="W86" s="64">
        <f t="shared" si="147"/>
        <v>7.3248561975015197E-2</v>
      </c>
      <c r="X86" s="63">
        <f t="shared" si="119"/>
        <v>2.6826759157038211E-5</v>
      </c>
      <c r="Y86" s="63">
        <f t="shared" si="148"/>
        <v>2.6826759157038211E-5</v>
      </c>
      <c r="Z86" s="64">
        <f t="shared" si="120"/>
        <v>0.97771398009397315</v>
      </c>
      <c r="AA86" s="74">
        <f t="shared" si="121"/>
        <v>9.5592462687119821E-4</v>
      </c>
      <c r="AB86" s="75">
        <f t="shared" si="149"/>
        <v>9.5592462687119821E-4</v>
      </c>
      <c r="AC86" s="63">
        <f t="shared" si="122"/>
        <v>7.334312914290618</v>
      </c>
      <c r="AD86" s="63">
        <f t="shared" si="150"/>
        <v>4.4934705961325351E-2</v>
      </c>
      <c r="AE86" s="63">
        <f t="shared" si="123"/>
        <v>5.9073420551814075E-2</v>
      </c>
      <c r="AF86" s="63">
        <f t="shared" si="124"/>
        <v>0.63208287003135966</v>
      </c>
      <c r="AG86" s="63">
        <f t="shared" si="125"/>
        <v>4.0608000000000005E-2</v>
      </c>
      <c r="AH86" s="63">
        <f t="shared" si="126"/>
        <v>0</v>
      </c>
      <c r="AI86" s="63">
        <f t="shared" si="151"/>
        <v>0.22378064516129031</v>
      </c>
      <c r="AJ86" s="63">
        <f t="shared" si="152"/>
        <v>0.95554493574446409</v>
      </c>
      <c r="AK86" s="63">
        <f t="shared" si="127"/>
        <v>0.9865188427502436</v>
      </c>
      <c r="AL86" s="63">
        <f t="shared" si="128"/>
        <v>8.129686600314767E-4</v>
      </c>
      <c r="AM86" s="63">
        <f t="shared" si="129"/>
        <v>1.0570723809867674E-3</v>
      </c>
      <c r="AN86" s="63">
        <f t="shared" si="130"/>
        <v>0.16646696793173299</v>
      </c>
      <c r="AO86" s="63">
        <f t="shared" si="131"/>
        <v>924.72400686077663</v>
      </c>
      <c r="AP86" s="63">
        <f t="shared" si="153"/>
        <v>0.16646696793173299</v>
      </c>
      <c r="AQ86" s="61">
        <f t="shared" si="132"/>
        <v>0.46248</v>
      </c>
      <c r="AR86" s="61">
        <f t="shared" si="133"/>
        <v>50128320000</v>
      </c>
      <c r="AS86" s="61">
        <f t="shared" si="154"/>
        <v>0.46248</v>
      </c>
      <c r="AT86" s="61">
        <f t="shared" si="155"/>
        <v>0.23869935483870966</v>
      </c>
      <c r="AU86" s="63">
        <f t="shared" si="156"/>
        <v>0.40622339515142941</v>
      </c>
      <c r="AV86" s="63">
        <f t="shared" si="134"/>
        <v>0.21906146140732569</v>
      </c>
      <c r="AW86" s="63">
        <f t="shared" si="135"/>
        <v>2.9760000000000003E-3</v>
      </c>
      <c r="AX86" s="63">
        <f t="shared" si="136"/>
        <v>0.24299000000000001</v>
      </c>
      <c r="AY86" s="63">
        <f t="shared" si="137"/>
        <v>0.24596600000000002</v>
      </c>
      <c r="AZ86" s="63">
        <f t="shared" si="138"/>
        <v>3.7069446002936823</v>
      </c>
      <c r="BA86" s="64">
        <f t="shared" si="139"/>
        <v>173.9</v>
      </c>
      <c r="BB86" s="76">
        <f t="shared" si="157"/>
        <v>0.97912838031960847</v>
      </c>
      <c r="BC86" s="64">
        <f t="shared" si="158"/>
        <v>97.912838031960845</v>
      </c>
      <c r="BD86" s="63">
        <f t="shared" si="140"/>
        <v>1.8791660566044348</v>
      </c>
      <c r="BE86" s="63">
        <f t="shared" si="159"/>
        <v>1.3617683308958934</v>
      </c>
      <c r="BF86" s="63">
        <f t="shared" si="141"/>
        <v>0.95554493574446409</v>
      </c>
      <c r="BG86" s="63">
        <f t="shared" si="142"/>
        <v>0.40622339515142941</v>
      </c>
      <c r="BH86" s="63">
        <f t="shared" si="143"/>
        <v>0.21906146140732569</v>
      </c>
      <c r="BI86" s="63">
        <f t="shared" si="160"/>
        <v>0.24596600000000002</v>
      </c>
      <c r="BJ86" s="63">
        <f t="shared" si="161"/>
        <v>9.5592462687119821E-4</v>
      </c>
      <c r="BK86" s="63">
        <f t="shared" si="162"/>
        <v>2.6826759157038211E-5</v>
      </c>
      <c r="BL86" s="63">
        <f t="shared" si="163"/>
        <v>3.7069446002936828</v>
      </c>
      <c r="BQ86" s="77"/>
      <c r="BR86" s="78"/>
    </row>
    <row r="87" spans="3:70" x14ac:dyDescent="0.25">
      <c r="C87" s="61">
        <v>75</v>
      </c>
      <c r="D87" s="61">
        <f t="shared" si="103"/>
        <v>100</v>
      </c>
      <c r="E87" s="61">
        <f t="shared" si="104"/>
        <v>100</v>
      </c>
      <c r="F87" s="61">
        <f t="shared" si="105"/>
        <v>100</v>
      </c>
      <c r="G87" s="73">
        <f t="shared" si="106"/>
        <v>24</v>
      </c>
      <c r="H87" s="64">
        <f t="shared" si="107"/>
        <v>1</v>
      </c>
      <c r="I87" s="63">
        <f t="shared" si="144"/>
        <v>7.5</v>
      </c>
      <c r="J87" s="65">
        <f t="shared" si="108"/>
        <v>8.3533953124311573E-4</v>
      </c>
      <c r="K87" s="65">
        <f t="shared" si="109"/>
        <v>8.3533953124311573E-4</v>
      </c>
      <c r="L87" s="65">
        <f t="shared" si="110"/>
        <v>5.097492818882457E-3</v>
      </c>
      <c r="M87" s="65">
        <f t="shared" si="111"/>
        <v>4.0000000000000001E-3</v>
      </c>
      <c r="N87" s="63">
        <f t="shared" si="112"/>
        <v>0.98227067677608082</v>
      </c>
      <c r="O87" s="64">
        <f t="shared" si="113"/>
        <v>0.25375115334586079</v>
      </c>
      <c r="P87" s="64">
        <f t="shared" si="114"/>
        <v>7.6268755766729308</v>
      </c>
      <c r="Q87" s="64">
        <f t="shared" si="115"/>
        <v>7.3731244233270692</v>
      </c>
      <c r="R87" s="64">
        <f t="shared" si="116"/>
        <v>0</v>
      </c>
      <c r="S87" s="64">
        <f t="shared" si="117"/>
        <v>7.5003577117351785</v>
      </c>
      <c r="T87" s="63">
        <f t="shared" si="145"/>
        <v>0.2867613232094211</v>
      </c>
      <c r="U87" s="63">
        <f t="shared" si="118"/>
        <v>1.6</v>
      </c>
      <c r="V87" s="63">
        <f t="shared" si="146"/>
        <v>1.8867613232094211</v>
      </c>
      <c r="W87" s="64">
        <f t="shared" si="147"/>
        <v>7.325164834570537E-2</v>
      </c>
      <c r="X87" s="63">
        <f t="shared" si="119"/>
        <v>2.6829019926814403E-5</v>
      </c>
      <c r="Y87" s="63">
        <f t="shared" si="148"/>
        <v>2.6829019926814403E-5</v>
      </c>
      <c r="Z87" s="64">
        <f t="shared" si="120"/>
        <v>0.98979132955139493</v>
      </c>
      <c r="AA87" s="74">
        <f t="shared" si="121"/>
        <v>9.79686876055118E-4</v>
      </c>
      <c r="AB87" s="75">
        <f t="shared" si="149"/>
        <v>9.79686876055118E-4</v>
      </c>
      <c r="AC87" s="63">
        <f t="shared" si="122"/>
        <v>7.4335722395471953</v>
      </c>
      <c r="AD87" s="63">
        <f t="shared" si="150"/>
        <v>4.615918867702884E-2</v>
      </c>
      <c r="AE87" s="63">
        <f t="shared" si="123"/>
        <v>6.0701828170751926E-2</v>
      </c>
      <c r="AF87" s="63">
        <f t="shared" si="124"/>
        <v>0.64057520342240193</v>
      </c>
      <c r="AG87" s="63">
        <f t="shared" si="125"/>
        <v>4.0608000000000005E-2</v>
      </c>
      <c r="AH87" s="63">
        <f t="shared" si="126"/>
        <v>0</v>
      </c>
      <c r="AI87" s="63">
        <f t="shared" si="151"/>
        <v>0.22378064516129031</v>
      </c>
      <c r="AJ87" s="63">
        <f t="shared" si="152"/>
        <v>0.96566567675444404</v>
      </c>
      <c r="AK87" s="63">
        <f t="shared" si="127"/>
        <v>0.99868391567035197</v>
      </c>
      <c r="AL87" s="63">
        <f t="shared" si="128"/>
        <v>8.3314222358229996E-4</v>
      </c>
      <c r="AM87" s="63">
        <f t="shared" si="129"/>
        <v>1.0833087231161139E-3</v>
      </c>
      <c r="AN87" s="63">
        <f t="shared" si="130"/>
        <v>0.16872294783170982</v>
      </c>
      <c r="AO87" s="63">
        <f t="shared" si="131"/>
        <v>937.25597520514793</v>
      </c>
      <c r="AP87" s="63">
        <f t="shared" si="153"/>
        <v>0.16872294783170982</v>
      </c>
      <c r="AQ87" s="61">
        <f t="shared" si="132"/>
        <v>0.46248</v>
      </c>
      <c r="AR87" s="61">
        <f t="shared" si="133"/>
        <v>50128320000</v>
      </c>
      <c r="AS87" s="61">
        <f t="shared" si="154"/>
        <v>0.46248</v>
      </c>
      <c r="AT87" s="61">
        <f t="shared" si="155"/>
        <v>0.23869935483870966</v>
      </c>
      <c r="AU87" s="63">
        <f t="shared" si="156"/>
        <v>0.40850561139353558</v>
      </c>
      <c r="AV87" s="63">
        <f t="shared" si="134"/>
        <v>0.22502146321594146</v>
      </c>
      <c r="AW87" s="63">
        <f t="shared" si="135"/>
        <v>2.9760000000000003E-3</v>
      </c>
      <c r="AX87" s="63">
        <f t="shared" si="136"/>
        <v>0.24299000000000001</v>
      </c>
      <c r="AY87" s="63">
        <f t="shared" si="137"/>
        <v>0.24596600000000002</v>
      </c>
      <c r="AZ87" s="63">
        <f t="shared" si="138"/>
        <v>3.7329265904693245</v>
      </c>
      <c r="BA87" s="64">
        <f t="shared" si="139"/>
        <v>176.25</v>
      </c>
      <c r="BB87" s="76">
        <f t="shared" si="157"/>
        <v>0.97925955166312428</v>
      </c>
      <c r="BC87" s="64">
        <f t="shared" si="158"/>
        <v>97.925955166312434</v>
      </c>
      <c r="BD87" s="63">
        <f t="shared" si="140"/>
        <v>1.8867613232094211</v>
      </c>
      <c r="BE87" s="63">
        <f t="shared" si="159"/>
        <v>1.3741712881479797</v>
      </c>
      <c r="BF87" s="63">
        <f t="shared" si="141"/>
        <v>0.96566567675444404</v>
      </c>
      <c r="BG87" s="63">
        <f t="shared" si="142"/>
        <v>0.40850561139353558</v>
      </c>
      <c r="BH87" s="63">
        <f t="shared" si="143"/>
        <v>0.22502146321594146</v>
      </c>
      <c r="BI87" s="63">
        <f t="shared" si="160"/>
        <v>0.24596600000000002</v>
      </c>
      <c r="BJ87" s="63">
        <f t="shared" si="161"/>
        <v>9.79686876055118E-4</v>
      </c>
      <c r="BK87" s="63">
        <f t="shared" si="162"/>
        <v>2.6829019926814403E-5</v>
      </c>
      <c r="BL87" s="63">
        <f t="shared" si="163"/>
        <v>3.7329265904693245</v>
      </c>
      <c r="BQ87" s="77"/>
      <c r="BR87" s="78"/>
    </row>
    <row r="88" spans="3:70" x14ac:dyDescent="0.25">
      <c r="C88" s="61">
        <v>76</v>
      </c>
      <c r="D88" s="61">
        <f t="shared" si="103"/>
        <v>100</v>
      </c>
      <c r="E88" s="61">
        <f t="shared" si="104"/>
        <v>100</v>
      </c>
      <c r="F88" s="61">
        <f t="shared" si="105"/>
        <v>100</v>
      </c>
      <c r="G88" s="73">
        <f t="shared" si="106"/>
        <v>24</v>
      </c>
      <c r="H88" s="64">
        <f t="shared" si="107"/>
        <v>1</v>
      </c>
      <c r="I88" s="63">
        <f t="shared" si="144"/>
        <v>7.6</v>
      </c>
      <c r="J88" s="65">
        <f t="shared" si="108"/>
        <v>8.3533953124311573E-4</v>
      </c>
      <c r="K88" s="65">
        <f t="shared" si="109"/>
        <v>8.3533953124311573E-4</v>
      </c>
      <c r="L88" s="65">
        <f t="shared" si="110"/>
        <v>5.097492818882457E-3</v>
      </c>
      <c r="M88" s="65">
        <f t="shared" si="111"/>
        <v>4.0000000000000001E-3</v>
      </c>
      <c r="N88" s="63">
        <f t="shared" si="112"/>
        <v>0.98231206357753986</v>
      </c>
      <c r="O88" s="64">
        <f t="shared" si="113"/>
        <v>0.2537618448475536</v>
      </c>
      <c r="P88" s="64">
        <f t="shared" si="114"/>
        <v>7.726880922423776</v>
      </c>
      <c r="Q88" s="64">
        <f t="shared" si="115"/>
        <v>7.4731190775762233</v>
      </c>
      <c r="R88" s="64">
        <f t="shared" si="116"/>
        <v>0</v>
      </c>
      <c r="S88" s="64">
        <f t="shared" si="117"/>
        <v>7.6003530349687285</v>
      </c>
      <c r="T88" s="63">
        <f t="shared" si="145"/>
        <v>0.29445853967088226</v>
      </c>
      <c r="U88" s="63">
        <f t="shared" si="118"/>
        <v>1.6</v>
      </c>
      <c r="V88" s="63">
        <f t="shared" si="146"/>
        <v>1.8944585396708824</v>
      </c>
      <c r="W88" s="64">
        <f t="shared" si="147"/>
        <v>7.3254734716395556E-2</v>
      </c>
      <c r="X88" s="63">
        <f t="shared" si="119"/>
        <v>2.6831280791847443E-5</v>
      </c>
      <c r="Y88" s="63">
        <f t="shared" si="148"/>
        <v>2.6831280791847443E-5</v>
      </c>
      <c r="Z88" s="64">
        <f t="shared" si="120"/>
        <v>1.0018370498713782</v>
      </c>
      <c r="AA88" s="74">
        <f t="shared" si="121"/>
        <v>1.0036774744949864E-3</v>
      </c>
      <c r="AB88" s="75">
        <f t="shared" si="149"/>
        <v>1.0036774744949864E-3</v>
      </c>
      <c r="AC88" s="63">
        <f t="shared" si="122"/>
        <v>7.5328358624358271</v>
      </c>
      <c r="AD88" s="63">
        <f t="shared" si="150"/>
        <v>4.7400185699407058E-2</v>
      </c>
      <c r="AE88" s="63">
        <f t="shared" si="123"/>
        <v>6.2353218838905301E-2</v>
      </c>
      <c r="AF88" s="63">
        <f t="shared" si="124"/>
        <v>0.64906753681344431</v>
      </c>
      <c r="AG88" s="63">
        <f t="shared" si="125"/>
        <v>4.0608000000000005E-2</v>
      </c>
      <c r="AH88" s="63">
        <f t="shared" si="126"/>
        <v>0</v>
      </c>
      <c r="AI88" s="63">
        <f t="shared" si="151"/>
        <v>0.22378064516129031</v>
      </c>
      <c r="AJ88" s="63">
        <f t="shared" si="152"/>
        <v>0.97580940081363998</v>
      </c>
      <c r="AK88" s="63">
        <f t="shared" si="127"/>
        <v>1.0108165638527364</v>
      </c>
      <c r="AL88" s="63">
        <f t="shared" si="128"/>
        <v>8.53508271099162E-4</v>
      </c>
      <c r="AM88" s="63">
        <f t="shared" si="129"/>
        <v>1.1097956629337415E-3</v>
      </c>
      <c r="AN88" s="63">
        <f t="shared" si="130"/>
        <v>0.1709789277316866</v>
      </c>
      <c r="AO88" s="63">
        <f t="shared" si="131"/>
        <v>949.78794354951913</v>
      </c>
      <c r="AP88" s="63">
        <f t="shared" si="153"/>
        <v>0.1709789277316866</v>
      </c>
      <c r="AQ88" s="61">
        <f t="shared" si="132"/>
        <v>0.46248</v>
      </c>
      <c r="AR88" s="61">
        <f t="shared" si="133"/>
        <v>50128320000</v>
      </c>
      <c r="AS88" s="61">
        <f t="shared" si="154"/>
        <v>0.46248</v>
      </c>
      <c r="AT88" s="61">
        <f t="shared" si="155"/>
        <v>0.23869935483870966</v>
      </c>
      <c r="AU88" s="63">
        <f t="shared" si="156"/>
        <v>0.41078807823332997</v>
      </c>
      <c r="AV88" s="63">
        <f t="shared" si="134"/>
        <v>0.23106146502463343</v>
      </c>
      <c r="AW88" s="63">
        <f t="shared" si="135"/>
        <v>2.9760000000000003E-3</v>
      </c>
      <c r="AX88" s="63">
        <f t="shared" si="136"/>
        <v>0.24299000000000001</v>
      </c>
      <c r="AY88" s="63">
        <f t="shared" si="137"/>
        <v>0.24596600000000002</v>
      </c>
      <c r="AZ88" s="63">
        <f t="shared" si="138"/>
        <v>3.759113992497773</v>
      </c>
      <c r="BA88" s="64">
        <f t="shared" si="139"/>
        <v>178.6</v>
      </c>
      <c r="BB88" s="76">
        <f t="shared" si="157"/>
        <v>0.97938620170828194</v>
      </c>
      <c r="BC88" s="64">
        <f t="shared" si="158"/>
        <v>97.938620170828187</v>
      </c>
      <c r="BD88" s="63">
        <f t="shared" si="140"/>
        <v>1.8944585396708824</v>
      </c>
      <c r="BE88" s="63">
        <f t="shared" si="159"/>
        <v>1.3865974790469699</v>
      </c>
      <c r="BF88" s="63">
        <f t="shared" si="141"/>
        <v>0.97580940081363998</v>
      </c>
      <c r="BG88" s="63">
        <f t="shared" si="142"/>
        <v>0.41078807823332997</v>
      </c>
      <c r="BH88" s="63">
        <f t="shared" si="143"/>
        <v>0.23106146502463343</v>
      </c>
      <c r="BI88" s="63">
        <f t="shared" si="160"/>
        <v>0.24596600000000002</v>
      </c>
      <c r="BJ88" s="63">
        <f t="shared" si="161"/>
        <v>1.0036774744949864E-3</v>
      </c>
      <c r="BK88" s="63">
        <f t="shared" si="162"/>
        <v>2.6831280791847443E-5</v>
      </c>
      <c r="BL88" s="63">
        <f t="shared" si="163"/>
        <v>3.759113992497773</v>
      </c>
      <c r="BQ88" s="77"/>
      <c r="BR88" s="78"/>
    </row>
    <row r="89" spans="3:70" x14ac:dyDescent="0.25">
      <c r="C89" s="61">
        <v>77</v>
      </c>
      <c r="D89" s="61">
        <f t="shared" si="103"/>
        <v>100</v>
      </c>
      <c r="E89" s="61">
        <f t="shared" si="104"/>
        <v>100</v>
      </c>
      <c r="F89" s="61">
        <f t="shared" si="105"/>
        <v>100</v>
      </c>
      <c r="G89" s="73">
        <f t="shared" si="106"/>
        <v>24</v>
      </c>
      <c r="H89" s="64">
        <f t="shared" si="107"/>
        <v>1</v>
      </c>
      <c r="I89" s="63">
        <f t="shared" si="144"/>
        <v>7.7</v>
      </c>
      <c r="J89" s="65">
        <f t="shared" si="108"/>
        <v>8.3533953124311573E-4</v>
      </c>
      <c r="K89" s="65">
        <f t="shared" si="109"/>
        <v>8.3533953124311573E-4</v>
      </c>
      <c r="L89" s="65">
        <f t="shared" si="110"/>
        <v>5.097492818882457E-3</v>
      </c>
      <c r="M89" s="65">
        <f t="shared" si="111"/>
        <v>4.0000000000000001E-3</v>
      </c>
      <c r="N89" s="63">
        <f t="shared" si="112"/>
        <v>0.98235345037899868</v>
      </c>
      <c r="O89" s="64">
        <f t="shared" si="113"/>
        <v>0.25377253634924629</v>
      </c>
      <c r="P89" s="64">
        <f t="shared" si="114"/>
        <v>7.826886268174623</v>
      </c>
      <c r="Q89" s="64">
        <f t="shared" si="115"/>
        <v>7.5731137318253774</v>
      </c>
      <c r="R89" s="64">
        <f t="shared" si="116"/>
        <v>0</v>
      </c>
      <c r="S89" s="64">
        <f t="shared" si="117"/>
        <v>7.7003484796696338</v>
      </c>
      <c r="T89" s="63">
        <f t="shared" si="145"/>
        <v>0.30225770598881829</v>
      </c>
      <c r="U89" s="63">
        <f t="shared" si="118"/>
        <v>1.6</v>
      </c>
      <c r="V89" s="63">
        <f t="shared" si="146"/>
        <v>1.9022577059888184</v>
      </c>
      <c r="W89" s="64">
        <f t="shared" si="147"/>
        <v>7.3257821087085728E-2</v>
      </c>
      <c r="X89" s="63">
        <f t="shared" si="119"/>
        <v>2.6833541752137314E-5</v>
      </c>
      <c r="Y89" s="63">
        <f t="shared" si="148"/>
        <v>2.6833541752137314E-5</v>
      </c>
      <c r="Z89" s="64">
        <f t="shared" si="120"/>
        <v>1.0138510795045701</v>
      </c>
      <c r="AA89" s="74">
        <f t="shared" si="121"/>
        <v>1.0278940114125822E-3</v>
      </c>
      <c r="AB89" s="75">
        <f t="shared" si="149"/>
        <v>1.0278940114125822E-3</v>
      </c>
      <c r="AC89" s="63">
        <f t="shared" si="122"/>
        <v>7.6321037779524499</v>
      </c>
      <c r="AD89" s="63">
        <f t="shared" si="150"/>
        <v>4.86576991027819E-2</v>
      </c>
      <c r="AE89" s="63">
        <f t="shared" si="123"/>
        <v>6.402763733653874E-2</v>
      </c>
      <c r="AF89" s="63">
        <f t="shared" si="124"/>
        <v>0.6575598702044867</v>
      </c>
      <c r="AG89" s="63">
        <f t="shared" si="125"/>
        <v>4.0608000000000005E-2</v>
      </c>
      <c r="AH89" s="63">
        <f t="shared" si="126"/>
        <v>0</v>
      </c>
      <c r="AI89" s="63">
        <f t="shared" si="151"/>
        <v>0.22378064516129031</v>
      </c>
      <c r="AJ89" s="63">
        <f t="shared" si="152"/>
        <v>0.98597615270231564</v>
      </c>
      <c r="AK89" s="63">
        <f t="shared" si="127"/>
        <v>1.0229167272629653</v>
      </c>
      <c r="AL89" s="63">
        <f t="shared" si="128"/>
        <v>8.7406472826020304E-4</v>
      </c>
      <c r="AM89" s="63">
        <f t="shared" si="129"/>
        <v>1.1365305102436995E-3</v>
      </c>
      <c r="AN89" s="63">
        <f t="shared" si="130"/>
        <v>0.17323490763166344</v>
      </c>
      <c r="AO89" s="63">
        <f t="shared" si="131"/>
        <v>962.31991189389043</v>
      </c>
      <c r="AP89" s="63">
        <f t="shared" si="153"/>
        <v>0.17323490763166344</v>
      </c>
      <c r="AQ89" s="61">
        <f t="shared" si="132"/>
        <v>0.46248</v>
      </c>
      <c r="AR89" s="61">
        <f t="shared" si="133"/>
        <v>50128320000</v>
      </c>
      <c r="AS89" s="61">
        <f t="shared" si="154"/>
        <v>0.46248</v>
      </c>
      <c r="AT89" s="61">
        <f t="shared" si="155"/>
        <v>0.23869935483870966</v>
      </c>
      <c r="AU89" s="63">
        <f t="shared" si="156"/>
        <v>0.41307079298061677</v>
      </c>
      <c r="AV89" s="63">
        <f t="shared" si="134"/>
        <v>0.23718146683340177</v>
      </c>
      <c r="AW89" s="63">
        <f t="shared" si="135"/>
        <v>2.9760000000000003E-3</v>
      </c>
      <c r="AX89" s="63">
        <f t="shared" si="136"/>
        <v>0.24299000000000001</v>
      </c>
      <c r="AY89" s="63">
        <f t="shared" si="137"/>
        <v>0.24596600000000002</v>
      </c>
      <c r="AZ89" s="63">
        <f t="shared" si="138"/>
        <v>3.7855068460583174</v>
      </c>
      <c r="BA89" s="64">
        <f t="shared" si="139"/>
        <v>180.95000000000002</v>
      </c>
      <c r="BB89" s="76">
        <f t="shared" si="157"/>
        <v>0.97950850428979619</v>
      </c>
      <c r="BC89" s="64">
        <f t="shared" si="158"/>
        <v>97.950850428979621</v>
      </c>
      <c r="BD89" s="63">
        <f t="shared" si="140"/>
        <v>1.9022577059888184</v>
      </c>
      <c r="BE89" s="63">
        <f t="shared" si="159"/>
        <v>1.3990469456829324</v>
      </c>
      <c r="BF89" s="63">
        <f t="shared" si="141"/>
        <v>0.98597615270231564</v>
      </c>
      <c r="BG89" s="63">
        <f t="shared" si="142"/>
        <v>0.41307079298061677</v>
      </c>
      <c r="BH89" s="63">
        <f t="shared" si="143"/>
        <v>0.23718146683340177</v>
      </c>
      <c r="BI89" s="63">
        <f t="shared" si="160"/>
        <v>0.24596600000000002</v>
      </c>
      <c r="BJ89" s="63">
        <f t="shared" si="161"/>
        <v>1.0278940114125822E-3</v>
      </c>
      <c r="BK89" s="63">
        <f t="shared" si="162"/>
        <v>2.6833541752137314E-5</v>
      </c>
      <c r="BL89" s="63">
        <f t="shared" si="163"/>
        <v>3.785506846058317</v>
      </c>
      <c r="BQ89" s="77"/>
      <c r="BR89" s="78"/>
    </row>
    <row r="90" spans="3:70" x14ac:dyDescent="0.25">
      <c r="C90" s="61">
        <v>78</v>
      </c>
      <c r="D90" s="61">
        <f t="shared" si="103"/>
        <v>100</v>
      </c>
      <c r="E90" s="61">
        <f t="shared" si="104"/>
        <v>100</v>
      </c>
      <c r="F90" s="61">
        <f t="shared" si="105"/>
        <v>100</v>
      </c>
      <c r="G90" s="73">
        <f t="shared" si="106"/>
        <v>24</v>
      </c>
      <c r="H90" s="64">
        <f t="shared" si="107"/>
        <v>1</v>
      </c>
      <c r="I90" s="63">
        <f t="shared" si="144"/>
        <v>7.8</v>
      </c>
      <c r="J90" s="65">
        <f t="shared" si="108"/>
        <v>8.3533953124311573E-4</v>
      </c>
      <c r="K90" s="65">
        <f t="shared" si="109"/>
        <v>8.3533953124311573E-4</v>
      </c>
      <c r="L90" s="65">
        <f t="shared" si="110"/>
        <v>5.097492818882457E-3</v>
      </c>
      <c r="M90" s="65">
        <f t="shared" si="111"/>
        <v>4.0000000000000001E-3</v>
      </c>
      <c r="N90" s="63">
        <f t="shared" si="112"/>
        <v>0.9823948371804575</v>
      </c>
      <c r="O90" s="64">
        <f t="shared" si="113"/>
        <v>0.25378322785093904</v>
      </c>
      <c r="P90" s="64">
        <f t="shared" si="114"/>
        <v>7.926891613925469</v>
      </c>
      <c r="Q90" s="64">
        <f t="shared" si="115"/>
        <v>7.6731083860745306</v>
      </c>
      <c r="R90" s="64">
        <f t="shared" si="116"/>
        <v>0</v>
      </c>
      <c r="S90" s="64">
        <f t="shared" si="117"/>
        <v>7.8003440411664879</v>
      </c>
      <c r="T90" s="63">
        <f t="shared" si="145"/>
        <v>0.31015882216322893</v>
      </c>
      <c r="U90" s="63">
        <f t="shared" si="118"/>
        <v>1.6</v>
      </c>
      <c r="V90" s="63">
        <f t="shared" si="146"/>
        <v>1.9101588221632291</v>
      </c>
      <c r="W90" s="64">
        <f t="shared" si="147"/>
        <v>7.3260907457775901E-2</v>
      </c>
      <c r="X90" s="63">
        <f t="shared" si="119"/>
        <v>2.6835802807684022E-5</v>
      </c>
      <c r="Y90" s="63">
        <f t="shared" si="148"/>
        <v>2.6835802807684022E-5</v>
      </c>
      <c r="Z90" s="64">
        <f t="shared" si="120"/>
        <v>1.0258333566513405</v>
      </c>
      <c r="AA90" s="74">
        <f t="shared" si="121"/>
        <v>1.0523340756185562E-3</v>
      </c>
      <c r="AB90" s="75">
        <f t="shared" si="149"/>
        <v>1.0523340756185562E-3</v>
      </c>
      <c r="AC90" s="63">
        <f t="shared" si="122"/>
        <v>7.7313759813428433</v>
      </c>
      <c r="AD90" s="63">
        <f t="shared" si="150"/>
        <v>4.9931730961475219E-2</v>
      </c>
      <c r="AE90" s="63">
        <f t="shared" si="123"/>
        <v>6.5725129076608227E-2</v>
      </c>
      <c r="AF90" s="63">
        <f t="shared" si="124"/>
        <v>0.66605220359552897</v>
      </c>
      <c r="AG90" s="63">
        <f t="shared" si="125"/>
        <v>4.0608000000000005E-2</v>
      </c>
      <c r="AH90" s="63">
        <f t="shared" si="126"/>
        <v>0</v>
      </c>
      <c r="AI90" s="63">
        <f t="shared" si="151"/>
        <v>0.22378064516129031</v>
      </c>
      <c r="AJ90" s="63">
        <f t="shared" si="152"/>
        <v>0.99616597783342753</v>
      </c>
      <c r="AK90" s="63">
        <f t="shared" si="127"/>
        <v>1.0349843456190679</v>
      </c>
      <c r="AL90" s="63">
        <f t="shared" si="128"/>
        <v>8.9480952074352913E-4</v>
      </c>
      <c r="AM90" s="63">
        <f t="shared" si="129"/>
        <v>1.1635105748108649E-3</v>
      </c>
      <c r="AN90" s="63">
        <f t="shared" si="130"/>
        <v>0.17549088753164027</v>
      </c>
      <c r="AO90" s="63">
        <f t="shared" si="131"/>
        <v>974.85188023826163</v>
      </c>
      <c r="AP90" s="63">
        <f t="shared" si="153"/>
        <v>0.17549088753164027</v>
      </c>
      <c r="AQ90" s="61">
        <f t="shared" si="132"/>
        <v>0.46248</v>
      </c>
      <c r="AR90" s="61">
        <f t="shared" si="133"/>
        <v>50128320000</v>
      </c>
      <c r="AS90" s="61">
        <f t="shared" si="154"/>
        <v>0.46248</v>
      </c>
      <c r="AT90" s="61">
        <f t="shared" si="155"/>
        <v>0.23869935483870966</v>
      </c>
      <c r="AU90" s="63">
        <f t="shared" si="156"/>
        <v>0.4153537529451608</v>
      </c>
      <c r="AV90" s="63">
        <f t="shared" si="134"/>
        <v>0.24338146864224616</v>
      </c>
      <c r="AW90" s="63">
        <f t="shared" si="135"/>
        <v>2.9760000000000003E-3</v>
      </c>
      <c r="AX90" s="63">
        <f t="shared" si="136"/>
        <v>0.24299000000000001</v>
      </c>
      <c r="AY90" s="63">
        <f t="shared" si="137"/>
        <v>0.24596600000000002</v>
      </c>
      <c r="AZ90" s="63">
        <f t="shared" si="138"/>
        <v>3.8121051914624902</v>
      </c>
      <c r="BA90" s="64">
        <f t="shared" si="139"/>
        <v>183.29999999999998</v>
      </c>
      <c r="BB90" s="76">
        <f t="shared" si="157"/>
        <v>0.97962662443692916</v>
      </c>
      <c r="BC90" s="64">
        <f t="shared" si="158"/>
        <v>97.962662443692921</v>
      </c>
      <c r="BD90" s="63">
        <f t="shared" si="140"/>
        <v>1.9101588221632291</v>
      </c>
      <c r="BE90" s="63">
        <f t="shared" si="159"/>
        <v>1.4115197307785883</v>
      </c>
      <c r="BF90" s="63">
        <f t="shared" si="141"/>
        <v>0.99616597783342753</v>
      </c>
      <c r="BG90" s="63">
        <f t="shared" si="142"/>
        <v>0.4153537529451608</v>
      </c>
      <c r="BH90" s="63">
        <f t="shared" si="143"/>
        <v>0.24338146864224616</v>
      </c>
      <c r="BI90" s="63">
        <f t="shared" si="160"/>
        <v>0.24596600000000002</v>
      </c>
      <c r="BJ90" s="63">
        <f t="shared" si="161"/>
        <v>1.0523340756185562E-3</v>
      </c>
      <c r="BK90" s="63">
        <f t="shared" si="162"/>
        <v>2.6835802807684022E-5</v>
      </c>
      <c r="BL90" s="63">
        <f t="shared" si="163"/>
        <v>3.8121051914624902</v>
      </c>
      <c r="BQ90" s="77"/>
      <c r="BR90" s="78"/>
    </row>
    <row r="91" spans="3:70" x14ac:dyDescent="0.25">
      <c r="C91" s="61">
        <v>79</v>
      </c>
      <c r="D91" s="61">
        <f t="shared" si="103"/>
        <v>100</v>
      </c>
      <c r="E91" s="61">
        <f t="shared" si="104"/>
        <v>100</v>
      </c>
      <c r="F91" s="61">
        <f t="shared" si="105"/>
        <v>100</v>
      </c>
      <c r="G91" s="73">
        <f t="shared" si="106"/>
        <v>24</v>
      </c>
      <c r="H91" s="64">
        <f t="shared" si="107"/>
        <v>1</v>
      </c>
      <c r="I91" s="63">
        <f t="shared" si="144"/>
        <v>7.9</v>
      </c>
      <c r="J91" s="65">
        <f t="shared" si="108"/>
        <v>8.3533953124311573E-4</v>
      </c>
      <c r="K91" s="65">
        <f t="shared" si="109"/>
        <v>8.3533953124311573E-4</v>
      </c>
      <c r="L91" s="65">
        <f t="shared" si="110"/>
        <v>5.097492818882457E-3</v>
      </c>
      <c r="M91" s="65">
        <f t="shared" si="111"/>
        <v>4.0000000000000001E-3</v>
      </c>
      <c r="N91" s="63">
        <f t="shared" si="112"/>
        <v>0.98243622398191632</v>
      </c>
      <c r="O91" s="64">
        <f t="shared" si="113"/>
        <v>0.25379391935263174</v>
      </c>
      <c r="P91" s="64">
        <f t="shared" si="114"/>
        <v>8.026896959676316</v>
      </c>
      <c r="Q91" s="64">
        <f t="shared" si="115"/>
        <v>7.7731030403236847</v>
      </c>
      <c r="R91" s="64">
        <f t="shared" si="116"/>
        <v>0</v>
      </c>
      <c r="S91" s="64">
        <f t="shared" si="117"/>
        <v>7.9003397150243924</v>
      </c>
      <c r="T91" s="63">
        <f t="shared" si="145"/>
        <v>0.31816188819411434</v>
      </c>
      <c r="U91" s="63">
        <f t="shared" si="118"/>
        <v>1.6</v>
      </c>
      <c r="V91" s="63">
        <f t="shared" si="146"/>
        <v>1.9181618881941145</v>
      </c>
      <c r="W91" s="64">
        <f t="shared" si="147"/>
        <v>7.3263993828466059E-2</v>
      </c>
      <c r="X91" s="63">
        <f t="shared" si="119"/>
        <v>2.6838063958487567E-5</v>
      </c>
      <c r="Y91" s="63">
        <f t="shared" si="148"/>
        <v>2.6838063958487567E-5</v>
      </c>
      <c r="Z91" s="64">
        <f t="shared" si="120"/>
        <v>1.0377838192574051</v>
      </c>
      <c r="AA91" s="74">
        <f t="shared" si="121"/>
        <v>1.0769952555124867E-3</v>
      </c>
      <c r="AB91" s="75">
        <f t="shared" si="149"/>
        <v>1.0769952555124867E-3</v>
      </c>
      <c r="AC91" s="63">
        <f t="shared" si="122"/>
        <v>7.8306524680868241</v>
      </c>
      <c r="AD91" s="63">
        <f t="shared" si="150"/>
        <v>5.1222283349808904E-2</v>
      </c>
      <c r="AE91" s="63">
        <f t="shared" si="123"/>
        <v>6.7445740107764884E-2</v>
      </c>
      <c r="AF91" s="63">
        <f t="shared" si="124"/>
        <v>0.67454453698657135</v>
      </c>
      <c r="AG91" s="63">
        <f t="shared" si="125"/>
        <v>4.0608000000000005E-2</v>
      </c>
      <c r="AH91" s="63">
        <f t="shared" si="126"/>
        <v>0</v>
      </c>
      <c r="AI91" s="63">
        <f t="shared" si="151"/>
        <v>0.22378064516129031</v>
      </c>
      <c r="AJ91" s="63">
        <f t="shared" si="152"/>
        <v>1.0063789222556265</v>
      </c>
      <c r="AK91" s="63">
        <f t="shared" si="127"/>
        <v>1.0470193583871443</v>
      </c>
      <c r="AL91" s="63">
        <f t="shared" si="128"/>
        <v>9.1574057422725934E-4</v>
      </c>
      <c r="AM91" s="63">
        <f t="shared" si="129"/>
        <v>1.1907331663584685E-3</v>
      </c>
      <c r="AN91" s="63">
        <f t="shared" si="130"/>
        <v>0.17774686743161708</v>
      </c>
      <c r="AO91" s="63">
        <f t="shared" si="131"/>
        <v>987.38384858263282</v>
      </c>
      <c r="AP91" s="63">
        <f t="shared" si="153"/>
        <v>0.17774686743161708</v>
      </c>
      <c r="AQ91" s="61">
        <f t="shared" si="132"/>
        <v>0.46248</v>
      </c>
      <c r="AR91" s="61">
        <f t="shared" si="133"/>
        <v>50128320000</v>
      </c>
      <c r="AS91" s="61">
        <f t="shared" si="154"/>
        <v>0.46248</v>
      </c>
      <c r="AT91" s="61">
        <f t="shared" si="155"/>
        <v>0.23869935483870966</v>
      </c>
      <c r="AU91" s="63">
        <f t="shared" si="156"/>
        <v>0.41763695543668522</v>
      </c>
      <c r="AV91" s="63">
        <f t="shared" si="134"/>
        <v>0.24966147045116679</v>
      </c>
      <c r="AW91" s="63">
        <f t="shared" si="135"/>
        <v>2.9760000000000003E-3</v>
      </c>
      <c r="AX91" s="63">
        <f t="shared" si="136"/>
        <v>0.24299000000000001</v>
      </c>
      <c r="AY91" s="63">
        <f t="shared" si="137"/>
        <v>0.24596600000000002</v>
      </c>
      <c r="AZ91" s="63">
        <f t="shared" si="138"/>
        <v>3.8389090696570642</v>
      </c>
      <c r="BA91" s="64">
        <f t="shared" si="139"/>
        <v>185.65</v>
      </c>
      <c r="BB91" s="76">
        <f t="shared" si="157"/>
        <v>0.97974071892384018</v>
      </c>
      <c r="BC91" s="64">
        <f t="shared" si="158"/>
        <v>97.974071892384018</v>
      </c>
      <c r="BD91" s="63">
        <f t="shared" si="140"/>
        <v>1.9181618881941145</v>
      </c>
      <c r="BE91" s="63">
        <f t="shared" si="159"/>
        <v>1.4240158776923117</v>
      </c>
      <c r="BF91" s="63">
        <f t="shared" si="141"/>
        <v>1.0063789222556265</v>
      </c>
      <c r="BG91" s="63">
        <f t="shared" si="142"/>
        <v>0.41763695543668522</v>
      </c>
      <c r="BH91" s="63">
        <f t="shared" si="143"/>
        <v>0.24966147045116679</v>
      </c>
      <c r="BI91" s="63">
        <f t="shared" si="160"/>
        <v>0.24596600000000002</v>
      </c>
      <c r="BJ91" s="63">
        <f t="shared" si="161"/>
        <v>1.0769952555124867E-3</v>
      </c>
      <c r="BK91" s="63">
        <f t="shared" si="162"/>
        <v>2.6838063958487567E-5</v>
      </c>
      <c r="BL91" s="63">
        <f t="shared" si="163"/>
        <v>3.8389090696570638</v>
      </c>
      <c r="BQ91" s="77"/>
      <c r="BR91" s="78"/>
    </row>
    <row r="92" spans="3:70" s="81" customFormat="1" x14ac:dyDescent="0.25">
      <c r="C92" s="81">
        <v>80</v>
      </c>
      <c r="D92" s="61">
        <f t="shared" si="103"/>
        <v>100</v>
      </c>
      <c r="E92" s="61">
        <f t="shared" si="104"/>
        <v>100</v>
      </c>
      <c r="F92" s="61">
        <f t="shared" si="105"/>
        <v>100</v>
      </c>
      <c r="G92" s="89">
        <f t="shared" si="106"/>
        <v>24</v>
      </c>
      <c r="H92" s="85">
        <f t="shared" si="107"/>
        <v>1</v>
      </c>
      <c r="I92" s="86">
        <f t="shared" si="144"/>
        <v>8</v>
      </c>
      <c r="J92" s="90">
        <f t="shared" si="108"/>
        <v>8.3533953124311573E-4</v>
      </c>
      <c r="K92" s="90">
        <f t="shared" si="109"/>
        <v>8.3533953124311573E-4</v>
      </c>
      <c r="L92" s="90">
        <f t="shared" si="110"/>
        <v>5.097492818882457E-3</v>
      </c>
      <c r="M92" s="90">
        <f t="shared" si="111"/>
        <v>4.0000000000000001E-3</v>
      </c>
      <c r="N92" s="86">
        <f t="shared" si="112"/>
        <v>0.98247761078337525</v>
      </c>
      <c r="O92" s="85">
        <f t="shared" si="113"/>
        <v>0.25380461085432454</v>
      </c>
      <c r="P92" s="85">
        <f t="shared" si="114"/>
        <v>8.1269023054271621</v>
      </c>
      <c r="Q92" s="85">
        <f t="shared" si="115"/>
        <v>7.8730976945728379</v>
      </c>
      <c r="R92" s="85">
        <f t="shared" si="116"/>
        <v>0</v>
      </c>
      <c r="S92" s="85">
        <f t="shared" si="117"/>
        <v>8.0003354970301661</v>
      </c>
      <c r="T92" s="86">
        <f t="shared" si="145"/>
        <v>0.32626690408147457</v>
      </c>
      <c r="U92" s="86">
        <f t="shared" si="118"/>
        <v>1.6</v>
      </c>
      <c r="V92" s="86">
        <f t="shared" si="146"/>
        <v>1.9262669040814746</v>
      </c>
      <c r="W92" s="85">
        <f t="shared" si="147"/>
        <v>7.3267080199156245E-2</v>
      </c>
      <c r="X92" s="86">
        <f t="shared" si="119"/>
        <v>2.6840325204547967E-5</v>
      </c>
      <c r="Y92" s="86">
        <f t="shared" si="148"/>
        <v>2.6840325204547967E-5</v>
      </c>
      <c r="Z92" s="85">
        <f t="shared" si="120"/>
        <v>1.0497024050095605</v>
      </c>
      <c r="AA92" s="88">
        <f t="shared" si="121"/>
        <v>1.1018751390828555E-3</v>
      </c>
      <c r="AB92" s="87">
        <f t="shared" si="149"/>
        <v>1.1018751390828555E-3</v>
      </c>
      <c r="AC92" s="86">
        <f t="shared" si="122"/>
        <v>7.929933233883621</v>
      </c>
      <c r="AD92" s="86">
        <f t="shared" si="150"/>
        <v>5.2529358342104857E-2</v>
      </c>
      <c r="AE92" s="86">
        <f t="shared" si="123"/>
        <v>6.9189517117404301E-2</v>
      </c>
      <c r="AF92" s="86">
        <f t="shared" si="124"/>
        <v>0.68303687037761363</v>
      </c>
      <c r="AG92" s="86">
        <f t="shared" si="125"/>
        <v>4.0608000000000005E-2</v>
      </c>
      <c r="AH92" s="86">
        <f t="shared" si="126"/>
        <v>0</v>
      </c>
      <c r="AI92" s="63">
        <f t="shared" si="151"/>
        <v>0.22378064516129031</v>
      </c>
      <c r="AJ92" s="63">
        <f t="shared" si="152"/>
        <v>1.0166150326563081</v>
      </c>
      <c r="AK92" s="86">
        <f t="shared" si="127"/>
        <v>1.0590217047770885</v>
      </c>
      <c r="AL92" s="86">
        <f t="shared" si="128"/>
        <v>9.3685581438950603E-4</v>
      </c>
      <c r="AM92" s="86">
        <f t="shared" si="129"/>
        <v>1.2181955945655644E-3</v>
      </c>
      <c r="AN92" s="86">
        <f t="shared" si="130"/>
        <v>0.18000284733159388</v>
      </c>
      <c r="AO92" s="86">
        <f t="shared" si="131"/>
        <v>999.91581692700402</v>
      </c>
      <c r="AP92" s="86">
        <f t="shared" si="153"/>
        <v>0.18000284733159388</v>
      </c>
      <c r="AQ92" s="81">
        <f t="shared" si="132"/>
        <v>0.46248</v>
      </c>
      <c r="AR92" s="81">
        <f t="shared" si="133"/>
        <v>50128320000</v>
      </c>
      <c r="AS92" s="81">
        <f t="shared" si="154"/>
        <v>0.46248</v>
      </c>
      <c r="AT92" s="61">
        <f t="shared" si="155"/>
        <v>0.23869935483870966</v>
      </c>
      <c r="AU92" s="63">
        <f t="shared" si="156"/>
        <v>0.41992039776486911</v>
      </c>
      <c r="AV92" s="86">
        <f t="shared" si="134"/>
        <v>0.25602147226016364</v>
      </c>
      <c r="AW92" s="86">
        <f t="shared" si="135"/>
        <v>2.9760000000000003E-3</v>
      </c>
      <c r="AX92" s="86">
        <f t="shared" si="136"/>
        <v>0.24299000000000001</v>
      </c>
      <c r="AY92" s="86">
        <f t="shared" si="137"/>
        <v>0.24596600000000002</v>
      </c>
      <c r="AZ92" s="86">
        <f t="shared" si="138"/>
        <v>3.8659185222271026</v>
      </c>
      <c r="BA92" s="85">
        <f t="shared" si="139"/>
        <v>188</v>
      </c>
      <c r="BB92" s="91">
        <f t="shared" si="157"/>
        <v>0.97985093677916935</v>
      </c>
      <c r="BC92" s="85">
        <f t="shared" si="158"/>
        <v>97.985093677916936</v>
      </c>
      <c r="BD92" s="86">
        <f t="shared" si="140"/>
        <v>1.9262669040814746</v>
      </c>
      <c r="BE92" s="86">
        <f t="shared" si="159"/>
        <v>1.4365354304211773</v>
      </c>
      <c r="BF92" s="86">
        <f t="shared" si="141"/>
        <v>1.0166150326563081</v>
      </c>
      <c r="BG92" s="86">
        <f t="shared" si="142"/>
        <v>0.41992039776486911</v>
      </c>
      <c r="BH92" s="86">
        <f t="shared" si="143"/>
        <v>0.25602147226016364</v>
      </c>
      <c r="BI92" s="86">
        <f t="shared" si="160"/>
        <v>0.24596600000000002</v>
      </c>
      <c r="BJ92" s="86">
        <f t="shared" si="161"/>
        <v>1.1018751390828555E-3</v>
      </c>
      <c r="BK92" s="86">
        <f t="shared" si="162"/>
        <v>2.6840325204547967E-5</v>
      </c>
      <c r="BL92" s="86">
        <f t="shared" si="163"/>
        <v>3.8659185222271026</v>
      </c>
      <c r="BQ92" s="92"/>
      <c r="BR92" s="93"/>
    </row>
    <row r="93" spans="3:70" x14ac:dyDescent="0.25">
      <c r="C93" s="61">
        <v>81</v>
      </c>
      <c r="D93" s="61">
        <f t="shared" si="103"/>
        <v>100</v>
      </c>
      <c r="E93" s="61">
        <f t="shared" si="104"/>
        <v>100</v>
      </c>
      <c r="F93" s="61">
        <f t="shared" si="105"/>
        <v>100</v>
      </c>
      <c r="G93" s="73">
        <f t="shared" si="106"/>
        <v>24</v>
      </c>
      <c r="H93" s="64">
        <f t="shared" si="107"/>
        <v>1</v>
      </c>
      <c r="I93" s="63">
        <f t="shared" si="144"/>
        <v>8.1</v>
      </c>
      <c r="J93" s="65">
        <f t="shared" si="108"/>
        <v>8.3533953124311573E-4</v>
      </c>
      <c r="K93" s="65">
        <f t="shared" si="109"/>
        <v>8.3533953124311573E-4</v>
      </c>
      <c r="L93" s="65">
        <f t="shared" si="110"/>
        <v>5.097492818882457E-3</v>
      </c>
      <c r="M93" s="65">
        <f t="shared" si="111"/>
        <v>4.0000000000000001E-3</v>
      </c>
      <c r="N93" s="63">
        <f t="shared" si="112"/>
        <v>0.98251899758483408</v>
      </c>
      <c r="O93" s="64">
        <f t="shared" si="113"/>
        <v>0.25381530235601724</v>
      </c>
      <c r="P93" s="64">
        <f t="shared" si="114"/>
        <v>8.2269076511780082</v>
      </c>
      <c r="Q93" s="64">
        <f t="shared" si="115"/>
        <v>7.9730923488219911</v>
      </c>
      <c r="R93" s="64">
        <f t="shared" si="116"/>
        <v>0</v>
      </c>
      <c r="S93" s="64">
        <f t="shared" si="117"/>
        <v>8.1003313831786645</v>
      </c>
      <c r="T93" s="63">
        <f t="shared" si="145"/>
        <v>0.33447386982530958</v>
      </c>
      <c r="U93" s="63">
        <f t="shared" si="118"/>
        <v>1.6</v>
      </c>
      <c r="V93" s="63">
        <f t="shared" si="146"/>
        <v>1.9344738698253097</v>
      </c>
      <c r="W93" s="64">
        <f t="shared" si="147"/>
        <v>7.3270166569846404E-2</v>
      </c>
      <c r="X93" s="63">
        <f t="shared" si="119"/>
        <v>2.684258654586519E-5</v>
      </c>
      <c r="Y93" s="63">
        <f t="shared" si="148"/>
        <v>2.684258654586519E-5</v>
      </c>
      <c r="Z93" s="64">
        <f t="shared" si="120"/>
        <v>1.061589051331576</v>
      </c>
      <c r="AA93" s="74">
        <f t="shared" si="121"/>
        <v>1.1269713139070755E-3</v>
      </c>
      <c r="AB93" s="75">
        <f t="shared" si="149"/>
        <v>1.1269713139070755E-3</v>
      </c>
      <c r="AC93" s="63">
        <f t="shared" si="122"/>
        <v>8.0292182746383283</v>
      </c>
      <c r="AD93" s="63">
        <f t="shared" si="150"/>
        <v>5.3852958012684943E-2</v>
      </c>
      <c r="AE93" s="63">
        <f t="shared" si="123"/>
        <v>7.0956507434761965E-2</v>
      </c>
      <c r="AF93" s="63">
        <f t="shared" si="124"/>
        <v>0.6915292037686559</v>
      </c>
      <c r="AG93" s="63">
        <f t="shared" si="125"/>
        <v>4.0608000000000005E-2</v>
      </c>
      <c r="AH93" s="63">
        <f t="shared" si="126"/>
        <v>0</v>
      </c>
      <c r="AI93" s="63">
        <f t="shared" si="151"/>
        <v>0.22378064516129031</v>
      </c>
      <c r="AJ93" s="63">
        <f t="shared" si="152"/>
        <v>1.0268743563647083</v>
      </c>
      <c r="AK93" s="63">
        <f t="shared" si="127"/>
        <v>1.0709913237384718</v>
      </c>
      <c r="AL93" s="63">
        <f t="shared" si="128"/>
        <v>9.5815316690839943E-4</v>
      </c>
      <c r="AM93" s="63">
        <f t="shared" si="129"/>
        <v>1.2458951690645843E-3</v>
      </c>
      <c r="AN93" s="63">
        <f t="shared" si="130"/>
        <v>0.18225882723157069</v>
      </c>
      <c r="AO93" s="63">
        <f t="shared" si="131"/>
        <v>1012.4477852713752</v>
      </c>
      <c r="AP93" s="63">
        <f t="shared" si="153"/>
        <v>0.18225882723157069</v>
      </c>
      <c r="AQ93" s="61">
        <f t="shared" si="132"/>
        <v>0.46248</v>
      </c>
      <c r="AR93" s="61">
        <f t="shared" si="133"/>
        <v>50128320000</v>
      </c>
      <c r="AS93" s="61">
        <f t="shared" si="154"/>
        <v>0.46248</v>
      </c>
      <c r="AT93" s="61">
        <f t="shared" si="155"/>
        <v>0.23869935483870966</v>
      </c>
      <c r="AU93" s="63">
        <f t="shared" si="156"/>
        <v>0.42220407723934494</v>
      </c>
      <c r="AV93" s="63">
        <f t="shared" si="134"/>
        <v>0.2624614740692367</v>
      </c>
      <c r="AW93" s="63">
        <f t="shared" si="135"/>
        <v>2.9760000000000003E-3</v>
      </c>
      <c r="AX93" s="63">
        <f t="shared" si="136"/>
        <v>0.24299000000000001</v>
      </c>
      <c r="AY93" s="63">
        <f t="shared" si="137"/>
        <v>0.24596600000000002</v>
      </c>
      <c r="AZ93" s="63">
        <f t="shared" si="138"/>
        <v>3.893133591399053</v>
      </c>
      <c r="BA93" s="64">
        <f t="shared" si="139"/>
        <v>190.35</v>
      </c>
      <c r="BB93" s="76">
        <f t="shared" si="157"/>
        <v>0.97995741975832995</v>
      </c>
      <c r="BC93" s="64">
        <f t="shared" si="158"/>
        <v>97.995741975832999</v>
      </c>
      <c r="BD93" s="63">
        <f t="shared" si="140"/>
        <v>1.9344738698253097</v>
      </c>
      <c r="BE93" s="63">
        <f t="shared" si="159"/>
        <v>1.4490784336040532</v>
      </c>
      <c r="BF93" s="63">
        <f t="shared" si="141"/>
        <v>1.0268743563647083</v>
      </c>
      <c r="BG93" s="63">
        <f t="shared" si="142"/>
        <v>0.42220407723934494</v>
      </c>
      <c r="BH93" s="63">
        <f t="shared" si="143"/>
        <v>0.2624614740692367</v>
      </c>
      <c r="BI93" s="63">
        <f t="shared" si="160"/>
        <v>0.24596600000000002</v>
      </c>
      <c r="BJ93" s="63">
        <f t="shared" si="161"/>
        <v>1.1269713139070755E-3</v>
      </c>
      <c r="BK93" s="63">
        <f t="shared" si="162"/>
        <v>2.684258654586519E-5</v>
      </c>
      <c r="BL93" s="63">
        <f t="shared" si="163"/>
        <v>3.893133591399053</v>
      </c>
      <c r="BQ93" s="77"/>
      <c r="BR93" s="78"/>
    </row>
    <row r="94" spans="3:70" x14ac:dyDescent="0.25">
      <c r="C94" s="61">
        <v>82</v>
      </c>
      <c r="D94" s="61">
        <f t="shared" si="103"/>
        <v>100</v>
      </c>
      <c r="E94" s="61">
        <f t="shared" si="104"/>
        <v>100</v>
      </c>
      <c r="F94" s="61">
        <f t="shared" si="105"/>
        <v>100</v>
      </c>
      <c r="G94" s="73">
        <f t="shared" si="106"/>
        <v>24</v>
      </c>
      <c r="H94" s="64">
        <f t="shared" si="107"/>
        <v>1</v>
      </c>
      <c r="I94" s="63">
        <f t="shared" si="144"/>
        <v>8.1999999999999993</v>
      </c>
      <c r="J94" s="65">
        <f t="shared" si="108"/>
        <v>8.3533953124311573E-4</v>
      </c>
      <c r="K94" s="65">
        <f t="shared" si="109"/>
        <v>8.3533953124311573E-4</v>
      </c>
      <c r="L94" s="65">
        <f t="shared" si="110"/>
        <v>5.097492818882457E-3</v>
      </c>
      <c r="M94" s="65">
        <f t="shared" si="111"/>
        <v>4.0000000000000001E-3</v>
      </c>
      <c r="N94" s="63">
        <f t="shared" si="112"/>
        <v>0.9825603843862929</v>
      </c>
      <c r="O94" s="64">
        <f t="shared" si="113"/>
        <v>0.25382599385770999</v>
      </c>
      <c r="P94" s="64">
        <f t="shared" si="114"/>
        <v>8.3269129969288542</v>
      </c>
      <c r="Q94" s="64">
        <f t="shared" si="115"/>
        <v>8.0730870030711444</v>
      </c>
      <c r="R94" s="64">
        <f t="shared" si="116"/>
        <v>0</v>
      </c>
      <c r="S94" s="64">
        <f t="shared" si="117"/>
        <v>8.2003273696600978</v>
      </c>
      <c r="T94" s="63">
        <f t="shared" si="145"/>
        <v>0.34278278542561935</v>
      </c>
      <c r="U94" s="63">
        <f t="shared" si="118"/>
        <v>1.6</v>
      </c>
      <c r="V94" s="63">
        <f t="shared" si="146"/>
        <v>1.9427827854256194</v>
      </c>
      <c r="W94" s="64">
        <f t="shared" si="147"/>
        <v>7.3273252940536576E-2</v>
      </c>
      <c r="X94" s="63">
        <f t="shared" si="119"/>
        <v>2.6844847982439258E-5</v>
      </c>
      <c r="Y94" s="63">
        <f t="shared" si="148"/>
        <v>2.6844847982439258E-5</v>
      </c>
      <c r="Z94" s="64">
        <f t="shared" si="120"/>
        <v>1.0734436953801783</v>
      </c>
      <c r="AA94" s="74">
        <f t="shared" si="121"/>
        <v>1.1522813671514529E-3</v>
      </c>
      <c r="AB94" s="75">
        <f t="shared" si="149"/>
        <v>1.1522813671514529E-3</v>
      </c>
      <c r="AC94" s="63">
        <f t="shared" si="122"/>
        <v>8.128507586449361</v>
      </c>
      <c r="AD94" s="63">
        <f t="shared" si="150"/>
        <v>5.5193084435871044E-2</v>
      </c>
      <c r="AE94" s="63">
        <f t="shared" si="123"/>
        <v>7.2746759034055392E-2</v>
      </c>
      <c r="AF94" s="63">
        <f t="shared" si="124"/>
        <v>0.70002153715969828</v>
      </c>
      <c r="AG94" s="63">
        <f t="shared" si="125"/>
        <v>4.0608000000000005E-2</v>
      </c>
      <c r="AH94" s="63">
        <f t="shared" si="126"/>
        <v>0</v>
      </c>
      <c r="AI94" s="63">
        <f t="shared" si="151"/>
        <v>0.22378064516129031</v>
      </c>
      <c r="AJ94" s="63">
        <f t="shared" si="152"/>
        <v>1.0371569413550439</v>
      </c>
      <c r="AK94" s="63">
        <f t="shared" si="127"/>
        <v>1.0829281539565174</v>
      </c>
      <c r="AL94" s="63">
        <f t="shared" si="128"/>
        <v>9.7963055746205134E-4</v>
      </c>
      <c r="AM94" s="63">
        <f t="shared" si="129"/>
        <v>1.2738291994388387E-3</v>
      </c>
      <c r="AN94" s="63">
        <f t="shared" si="130"/>
        <v>0.1845148071315475</v>
      </c>
      <c r="AO94" s="63">
        <f t="shared" si="131"/>
        <v>1024.9797536157464</v>
      </c>
      <c r="AP94" s="63">
        <f t="shared" si="153"/>
        <v>0.1845148071315475</v>
      </c>
      <c r="AQ94" s="61">
        <f t="shared" si="132"/>
        <v>0.46248</v>
      </c>
      <c r="AR94" s="61">
        <f t="shared" si="133"/>
        <v>50128320000</v>
      </c>
      <c r="AS94" s="61">
        <f t="shared" si="154"/>
        <v>0.46248</v>
      </c>
      <c r="AT94" s="61">
        <f t="shared" si="155"/>
        <v>0.23869935483870966</v>
      </c>
      <c r="AU94" s="63">
        <f t="shared" si="156"/>
        <v>0.42448799116969599</v>
      </c>
      <c r="AV94" s="63">
        <f t="shared" si="134"/>
        <v>0.268981475878386</v>
      </c>
      <c r="AW94" s="63">
        <f t="shared" si="135"/>
        <v>2.9760000000000003E-3</v>
      </c>
      <c r="AX94" s="63">
        <f t="shared" si="136"/>
        <v>0.24299000000000001</v>
      </c>
      <c r="AY94" s="63">
        <f t="shared" si="137"/>
        <v>0.24596600000000002</v>
      </c>
      <c r="AZ94" s="63">
        <f t="shared" si="138"/>
        <v>3.9205543200438795</v>
      </c>
      <c r="BA94" s="64">
        <f t="shared" si="139"/>
        <v>192.7</v>
      </c>
      <c r="BB94" s="76">
        <f t="shared" si="157"/>
        <v>0.98006030278165979</v>
      </c>
      <c r="BC94" s="64">
        <f t="shared" si="158"/>
        <v>98.00603027816598</v>
      </c>
      <c r="BD94" s="63">
        <f t="shared" si="140"/>
        <v>1.9427827854256194</v>
      </c>
      <c r="BE94" s="63">
        <f t="shared" si="159"/>
        <v>1.4616449325247398</v>
      </c>
      <c r="BF94" s="63">
        <f t="shared" si="141"/>
        <v>1.0371569413550439</v>
      </c>
      <c r="BG94" s="63">
        <f t="shared" si="142"/>
        <v>0.42448799116969599</v>
      </c>
      <c r="BH94" s="63">
        <f t="shared" si="143"/>
        <v>0.268981475878386</v>
      </c>
      <c r="BI94" s="63">
        <f t="shared" si="160"/>
        <v>0.24596600000000002</v>
      </c>
      <c r="BJ94" s="63">
        <f t="shared" si="161"/>
        <v>1.1522813671514529E-3</v>
      </c>
      <c r="BK94" s="63">
        <f t="shared" si="162"/>
        <v>2.6844847982439258E-5</v>
      </c>
      <c r="BL94" s="63">
        <f t="shared" si="163"/>
        <v>3.9205543200438795</v>
      </c>
      <c r="BQ94" s="77"/>
      <c r="BR94" s="78"/>
    </row>
    <row r="95" spans="3:70" x14ac:dyDescent="0.25">
      <c r="C95" s="61">
        <v>83</v>
      </c>
      <c r="D95" s="61">
        <f t="shared" si="103"/>
        <v>100</v>
      </c>
      <c r="E95" s="61">
        <f t="shared" si="104"/>
        <v>100</v>
      </c>
      <c r="F95" s="61">
        <f t="shared" si="105"/>
        <v>100</v>
      </c>
      <c r="G95" s="73">
        <f t="shared" si="106"/>
        <v>24</v>
      </c>
      <c r="H95" s="64">
        <f t="shared" si="107"/>
        <v>1</v>
      </c>
      <c r="I95" s="63">
        <f t="shared" si="144"/>
        <v>8.3000000000000007</v>
      </c>
      <c r="J95" s="65">
        <f t="shared" si="108"/>
        <v>8.3533953124311573E-4</v>
      </c>
      <c r="K95" s="65">
        <f t="shared" si="109"/>
        <v>8.3533953124311573E-4</v>
      </c>
      <c r="L95" s="65">
        <f t="shared" si="110"/>
        <v>5.097492818882457E-3</v>
      </c>
      <c r="M95" s="65">
        <f t="shared" si="111"/>
        <v>4.0000000000000001E-3</v>
      </c>
      <c r="N95" s="63">
        <f t="shared" si="112"/>
        <v>0.98260177118775172</v>
      </c>
      <c r="O95" s="64">
        <f t="shared" si="113"/>
        <v>0.25383668535940274</v>
      </c>
      <c r="P95" s="64">
        <f t="shared" si="114"/>
        <v>8.4269183426797021</v>
      </c>
      <c r="Q95" s="64">
        <f t="shared" si="115"/>
        <v>8.1730816573202993</v>
      </c>
      <c r="R95" s="64">
        <f t="shared" si="116"/>
        <v>0</v>
      </c>
      <c r="S95" s="64">
        <f t="shared" si="117"/>
        <v>8.3003234528482608</v>
      </c>
      <c r="T95" s="63">
        <f t="shared" si="145"/>
        <v>0.3511936508824039</v>
      </c>
      <c r="U95" s="63">
        <f t="shared" si="118"/>
        <v>1.6</v>
      </c>
      <c r="V95" s="63">
        <f t="shared" si="146"/>
        <v>1.9511936508824039</v>
      </c>
      <c r="W95" s="64">
        <f t="shared" si="147"/>
        <v>7.3276339311226762E-2</v>
      </c>
      <c r="X95" s="63">
        <f t="shared" si="119"/>
        <v>2.6847109514270183E-5</v>
      </c>
      <c r="Y95" s="63">
        <f t="shared" si="148"/>
        <v>2.6847109514270183E-5</v>
      </c>
      <c r="Z95" s="64">
        <f t="shared" si="120"/>
        <v>1.0852662740411738</v>
      </c>
      <c r="AA95" s="74">
        <f t="shared" si="121"/>
        <v>1.1778028855712122E-3</v>
      </c>
      <c r="AB95" s="75">
        <f t="shared" si="149"/>
        <v>1.1778028855712122E-3</v>
      </c>
      <c r="AC95" s="63">
        <f t="shared" si="122"/>
        <v>8.2278011655968104</v>
      </c>
      <c r="AD95" s="63">
        <f t="shared" si="150"/>
        <v>5.6549739685985062E-2</v>
      </c>
      <c r="AE95" s="63">
        <f t="shared" si="123"/>
        <v>7.4560320537673225E-2</v>
      </c>
      <c r="AF95" s="63">
        <f t="shared" si="124"/>
        <v>0.70851387055074078</v>
      </c>
      <c r="AG95" s="63">
        <f t="shared" si="125"/>
        <v>4.0608000000000005E-2</v>
      </c>
      <c r="AH95" s="63">
        <f t="shared" si="126"/>
        <v>0</v>
      </c>
      <c r="AI95" s="63">
        <f t="shared" si="151"/>
        <v>0.22378064516129031</v>
      </c>
      <c r="AJ95" s="63">
        <f t="shared" si="152"/>
        <v>1.0474628362497043</v>
      </c>
      <c r="AK95" s="63">
        <f t="shared" si="127"/>
        <v>1.094832133848217</v>
      </c>
      <c r="AL95" s="63">
        <f t="shared" si="128"/>
        <v>1.00128591172858E-3</v>
      </c>
      <c r="AM95" s="63">
        <f t="shared" si="129"/>
        <v>1.301994995220126E-3</v>
      </c>
      <c r="AN95" s="63">
        <f t="shared" si="130"/>
        <v>0.18677078703152439</v>
      </c>
      <c r="AO95" s="63">
        <f t="shared" si="131"/>
        <v>1037.5117219601177</v>
      </c>
      <c r="AP95" s="63">
        <f t="shared" si="153"/>
        <v>0.18677078703152439</v>
      </c>
      <c r="AQ95" s="61">
        <f t="shared" si="132"/>
        <v>0.46248</v>
      </c>
      <c r="AR95" s="61">
        <f t="shared" si="133"/>
        <v>50128320000</v>
      </c>
      <c r="AS95" s="61">
        <f t="shared" si="154"/>
        <v>0.46248</v>
      </c>
      <c r="AT95" s="61">
        <f t="shared" si="155"/>
        <v>0.23869935483870966</v>
      </c>
      <c r="AU95" s="63">
        <f t="shared" si="156"/>
        <v>0.42677213686545418</v>
      </c>
      <c r="AV95" s="63">
        <f t="shared" si="134"/>
        <v>0.27558147768761149</v>
      </c>
      <c r="AW95" s="63">
        <f t="shared" si="135"/>
        <v>2.9760000000000003E-3</v>
      </c>
      <c r="AX95" s="63">
        <f t="shared" si="136"/>
        <v>0.24299000000000001</v>
      </c>
      <c r="AY95" s="63">
        <f t="shared" si="137"/>
        <v>0.24596600000000002</v>
      </c>
      <c r="AZ95" s="63">
        <f t="shared" si="138"/>
        <v>3.9481807516802592</v>
      </c>
      <c r="BA95" s="64">
        <f t="shared" si="139"/>
        <v>195.05</v>
      </c>
      <c r="BB95" s="76">
        <f t="shared" si="157"/>
        <v>0.98015971434127325</v>
      </c>
      <c r="BC95" s="64">
        <f t="shared" si="158"/>
        <v>98.015971434127323</v>
      </c>
      <c r="BD95" s="63">
        <f t="shared" si="140"/>
        <v>1.9511936508824039</v>
      </c>
      <c r="BE95" s="63">
        <f t="shared" si="159"/>
        <v>1.4742349731151585</v>
      </c>
      <c r="BF95" s="63">
        <f t="shared" si="141"/>
        <v>1.0474628362497043</v>
      </c>
      <c r="BG95" s="63">
        <f t="shared" si="142"/>
        <v>0.42677213686545418</v>
      </c>
      <c r="BH95" s="63">
        <f t="shared" si="143"/>
        <v>0.27558147768761149</v>
      </c>
      <c r="BI95" s="63">
        <f t="shared" si="160"/>
        <v>0.24596600000000002</v>
      </c>
      <c r="BJ95" s="63">
        <f t="shared" si="161"/>
        <v>1.1778028855712122E-3</v>
      </c>
      <c r="BK95" s="63">
        <f t="shared" si="162"/>
        <v>2.6847109514270183E-5</v>
      </c>
      <c r="BL95" s="63">
        <f t="shared" si="163"/>
        <v>3.9481807516802596</v>
      </c>
      <c r="BQ95" s="77"/>
      <c r="BR95" s="78"/>
    </row>
    <row r="96" spans="3:70" x14ac:dyDescent="0.25">
      <c r="C96" s="61">
        <v>84</v>
      </c>
      <c r="D96" s="61">
        <f t="shared" si="103"/>
        <v>100</v>
      </c>
      <c r="E96" s="61">
        <f t="shared" si="104"/>
        <v>100</v>
      </c>
      <c r="F96" s="61">
        <f t="shared" si="105"/>
        <v>100</v>
      </c>
      <c r="G96" s="73">
        <f t="shared" si="106"/>
        <v>24</v>
      </c>
      <c r="H96" s="64">
        <f t="shared" si="107"/>
        <v>1</v>
      </c>
      <c r="I96" s="63">
        <f t="shared" si="144"/>
        <v>8.4</v>
      </c>
      <c r="J96" s="65">
        <f t="shared" si="108"/>
        <v>8.3533953124311573E-4</v>
      </c>
      <c r="K96" s="65">
        <f t="shared" si="109"/>
        <v>8.3533953124311573E-4</v>
      </c>
      <c r="L96" s="65">
        <f t="shared" si="110"/>
        <v>5.097492818882457E-3</v>
      </c>
      <c r="M96" s="65">
        <f t="shared" si="111"/>
        <v>4.0000000000000001E-3</v>
      </c>
      <c r="N96" s="63">
        <f t="shared" si="112"/>
        <v>0.98264315798921065</v>
      </c>
      <c r="O96" s="64">
        <f t="shared" si="113"/>
        <v>0.25384737686109549</v>
      </c>
      <c r="P96" s="64">
        <f t="shared" si="114"/>
        <v>8.5269236884305482</v>
      </c>
      <c r="Q96" s="64">
        <f t="shared" si="115"/>
        <v>8.2730763115694526</v>
      </c>
      <c r="R96" s="64">
        <f t="shared" si="116"/>
        <v>0</v>
      </c>
      <c r="S96" s="64">
        <f t="shared" si="117"/>
        <v>8.4003196292896067</v>
      </c>
      <c r="T96" s="63">
        <f t="shared" si="145"/>
        <v>0.35970646619566315</v>
      </c>
      <c r="U96" s="63">
        <f t="shared" si="118"/>
        <v>1.6</v>
      </c>
      <c r="V96" s="63">
        <f t="shared" si="146"/>
        <v>1.9597064661956631</v>
      </c>
      <c r="W96" s="64">
        <f t="shared" si="147"/>
        <v>7.3279425681916935E-2</v>
      </c>
      <c r="X96" s="63">
        <f t="shared" si="119"/>
        <v>2.6849371141357939E-5</v>
      </c>
      <c r="Y96" s="63">
        <f t="shared" si="148"/>
        <v>2.6849371141357939E-5</v>
      </c>
      <c r="Z96" s="64">
        <f t="shared" si="120"/>
        <v>1.0970567239256506</v>
      </c>
      <c r="AA96" s="74">
        <f t="shared" si="121"/>
        <v>1.203533455510481E-3</v>
      </c>
      <c r="AB96" s="75">
        <f t="shared" si="149"/>
        <v>1.203533455510481E-3</v>
      </c>
      <c r="AC96" s="63">
        <f t="shared" si="122"/>
        <v>8.3270990085316257</v>
      </c>
      <c r="AD96" s="63">
        <f t="shared" si="150"/>
        <v>5.7922925837348829E-2</v>
      </c>
      <c r="AE96" s="63">
        <f t="shared" si="123"/>
        <v>7.6397241219411327E-2</v>
      </c>
      <c r="AF96" s="63">
        <f t="shared" si="124"/>
        <v>0.71700620394178305</v>
      </c>
      <c r="AG96" s="63">
        <f t="shared" si="125"/>
        <v>4.0608000000000005E-2</v>
      </c>
      <c r="AH96" s="63">
        <f t="shared" si="126"/>
        <v>0</v>
      </c>
      <c r="AI96" s="63">
        <f t="shared" si="151"/>
        <v>0.22378064516129031</v>
      </c>
      <c r="AJ96" s="63">
        <f t="shared" si="152"/>
        <v>1.0577920903224847</v>
      </c>
      <c r="AK96" s="63">
        <f t="shared" si="127"/>
        <v>1.1067032015585274</v>
      </c>
      <c r="AL96" s="63">
        <f t="shared" si="128"/>
        <v>1.0231171553860968E-3</v>
      </c>
      <c r="AM96" s="63">
        <f t="shared" si="129"/>
        <v>1.3303898658863207E-3</v>
      </c>
      <c r="AN96" s="63">
        <f t="shared" si="130"/>
        <v>0.18902676693150117</v>
      </c>
      <c r="AO96" s="63">
        <f t="shared" si="131"/>
        <v>1050.043690304489</v>
      </c>
      <c r="AP96" s="63">
        <f t="shared" si="153"/>
        <v>0.18902676693150117</v>
      </c>
      <c r="AQ96" s="61">
        <f t="shared" si="132"/>
        <v>0.46248</v>
      </c>
      <c r="AR96" s="61">
        <f t="shared" si="133"/>
        <v>50128320000</v>
      </c>
      <c r="AS96" s="61">
        <f t="shared" si="154"/>
        <v>0.46248</v>
      </c>
      <c r="AT96" s="61">
        <f t="shared" si="155"/>
        <v>0.23869935483870966</v>
      </c>
      <c r="AU96" s="63">
        <f t="shared" si="156"/>
        <v>0.42905651163609715</v>
      </c>
      <c r="AV96" s="63">
        <f t="shared" si="134"/>
        <v>0.2822614794969131</v>
      </c>
      <c r="AW96" s="63">
        <f t="shared" si="135"/>
        <v>2.9760000000000003E-3</v>
      </c>
      <c r="AX96" s="63">
        <f t="shared" si="136"/>
        <v>0.24299000000000001</v>
      </c>
      <c r="AY96" s="63">
        <f t="shared" si="137"/>
        <v>0.24596600000000002</v>
      </c>
      <c r="AZ96" s="63">
        <f t="shared" si="138"/>
        <v>3.9760129304778098</v>
      </c>
      <c r="BA96" s="64">
        <f t="shared" si="139"/>
        <v>197.4</v>
      </c>
      <c r="BB96" s="76">
        <f t="shared" si="157"/>
        <v>0.98025577687919319</v>
      </c>
      <c r="BC96" s="64">
        <f t="shared" si="158"/>
        <v>98.025577687919323</v>
      </c>
      <c r="BD96" s="63">
        <f t="shared" si="140"/>
        <v>1.9597064661956631</v>
      </c>
      <c r="BE96" s="63">
        <f t="shared" si="159"/>
        <v>1.4868486019585818</v>
      </c>
      <c r="BF96" s="63">
        <f t="shared" si="141"/>
        <v>1.0577920903224847</v>
      </c>
      <c r="BG96" s="63">
        <f t="shared" si="142"/>
        <v>0.42905651163609715</v>
      </c>
      <c r="BH96" s="63">
        <f t="shared" si="143"/>
        <v>0.2822614794969131</v>
      </c>
      <c r="BI96" s="63">
        <f t="shared" si="160"/>
        <v>0.24596600000000002</v>
      </c>
      <c r="BJ96" s="63">
        <f t="shared" si="161"/>
        <v>1.203533455510481E-3</v>
      </c>
      <c r="BK96" s="63">
        <f t="shared" si="162"/>
        <v>2.6849371141357939E-5</v>
      </c>
      <c r="BL96" s="63">
        <f t="shared" si="163"/>
        <v>3.9760129304778098</v>
      </c>
      <c r="BQ96" s="77"/>
      <c r="BR96" s="78"/>
    </row>
    <row r="97" spans="3:70" x14ac:dyDescent="0.25">
      <c r="C97" s="61">
        <v>85</v>
      </c>
      <c r="D97" s="61">
        <f t="shared" si="103"/>
        <v>100</v>
      </c>
      <c r="E97" s="61">
        <f t="shared" si="104"/>
        <v>100</v>
      </c>
      <c r="F97" s="61">
        <f t="shared" si="105"/>
        <v>100</v>
      </c>
      <c r="G97" s="73">
        <f t="shared" si="106"/>
        <v>24</v>
      </c>
      <c r="H97" s="64">
        <f t="shared" si="107"/>
        <v>1</v>
      </c>
      <c r="I97" s="63">
        <f t="shared" si="144"/>
        <v>8.5</v>
      </c>
      <c r="J97" s="65">
        <f t="shared" si="108"/>
        <v>8.3533953124311573E-4</v>
      </c>
      <c r="K97" s="65">
        <f t="shared" si="109"/>
        <v>8.3533953124311573E-4</v>
      </c>
      <c r="L97" s="65">
        <f t="shared" si="110"/>
        <v>5.097492818882457E-3</v>
      </c>
      <c r="M97" s="65">
        <f t="shared" si="111"/>
        <v>4.0000000000000001E-3</v>
      </c>
      <c r="N97" s="63">
        <f t="shared" si="112"/>
        <v>0.98268454479066947</v>
      </c>
      <c r="O97" s="64">
        <f t="shared" si="113"/>
        <v>0.25385806836278824</v>
      </c>
      <c r="P97" s="64">
        <f t="shared" si="114"/>
        <v>8.6269290341813942</v>
      </c>
      <c r="Q97" s="64">
        <f t="shared" si="115"/>
        <v>8.3730709658186058</v>
      </c>
      <c r="R97" s="64">
        <f t="shared" si="116"/>
        <v>0</v>
      </c>
      <c r="S97" s="64">
        <f t="shared" si="117"/>
        <v>8.5003158956930971</v>
      </c>
      <c r="T97" s="63">
        <f t="shared" si="145"/>
        <v>0.36832123136539713</v>
      </c>
      <c r="U97" s="63">
        <f t="shared" si="118"/>
        <v>1.6</v>
      </c>
      <c r="V97" s="63">
        <f t="shared" si="146"/>
        <v>1.9683212313653973</v>
      </c>
      <c r="W97" s="64">
        <f t="shared" si="147"/>
        <v>7.3282512052607107E-2</v>
      </c>
      <c r="X97" s="63">
        <f t="shared" si="119"/>
        <v>2.6851632863702532E-5</v>
      </c>
      <c r="Y97" s="63">
        <f t="shared" si="148"/>
        <v>2.6851632863702532E-5</v>
      </c>
      <c r="Z97" s="64">
        <f t="shared" si="120"/>
        <v>1.1088149813662882</v>
      </c>
      <c r="AA97" s="74">
        <f t="shared" si="121"/>
        <v>1.2294706629023221E-3</v>
      </c>
      <c r="AB97" s="75">
        <f t="shared" si="149"/>
        <v>1.2294706629023221E-3</v>
      </c>
      <c r="AC97" s="63">
        <f t="shared" si="122"/>
        <v>8.4264011118655748</v>
      </c>
      <c r="AD97" s="63">
        <f t="shared" si="150"/>
        <v>5.9312644964284289E-2</v>
      </c>
      <c r="AE97" s="63">
        <f t="shared" si="123"/>
        <v>7.8257571007757279E-2</v>
      </c>
      <c r="AF97" s="63">
        <f t="shared" si="124"/>
        <v>0.72549853733282543</v>
      </c>
      <c r="AG97" s="63">
        <f t="shared" si="125"/>
        <v>4.0608000000000005E-2</v>
      </c>
      <c r="AH97" s="63">
        <f t="shared" si="126"/>
        <v>0</v>
      </c>
      <c r="AI97" s="63">
        <f t="shared" si="151"/>
        <v>0.22378064516129031</v>
      </c>
      <c r="AJ97" s="63">
        <f t="shared" si="152"/>
        <v>1.0681447535018731</v>
      </c>
      <c r="AK97" s="63">
        <f t="shared" si="127"/>
        <v>1.1185412949566773</v>
      </c>
      <c r="AL97" s="63">
        <f t="shared" si="128"/>
        <v>1.0451222141127337E-3</v>
      </c>
      <c r="AM97" s="63">
        <f t="shared" si="129"/>
        <v>1.3590111208590396E-3</v>
      </c>
      <c r="AN97" s="63">
        <f t="shared" si="130"/>
        <v>0.191282746831478</v>
      </c>
      <c r="AO97" s="63">
        <f t="shared" si="131"/>
        <v>1062.5756586488601</v>
      </c>
      <c r="AP97" s="63">
        <f t="shared" si="153"/>
        <v>0.191282746831478</v>
      </c>
      <c r="AQ97" s="61">
        <f t="shared" si="132"/>
        <v>0.46248</v>
      </c>
      <c r="AR97" s="61">
        <f t="shared" si="133"/>
        <v>50128320000</v>
      </c>
      <c r="AS97" s="61">
        <f t="shared" si="154"/>
        <v>0.46248</v>
      </c>
      <c r="AT97" s="61">
        <f t="shared" si="155"/>
        <v>0.23869935483870966</v>
      </c>
      <c r="AU97" s="63">
        <f t="shared" si="156"/>
        <v>0.4313411127910467</v>
      </c>
      <c r="AV97" s="63">
        <f t="shared" si="134"/>
        <v>0.28902148130629096</v>
      </c>
      <c r="AW97" s="63">
        <f t="shared" si="135"/>
        <v>2.9760000000000003E-3</v>
      </c>
      <c r="AX97" s="63">
        <f t="shared" si="136"/>
        <v>0.24299000000000001</v>
      </c>
      <c r="AY97" s="63">
        <f t="shared" si="137"/>
        <v>0.24596600000000002</v>
      </c>
      <c r="AZ97" s="63">
        <f t="shared" si="138"/>
        <v>4.0040509012603742</v>
      </c>
      <c r="BA97" s="64">
        <f t="shared" si="139"/>
        <v>199.75</v>
      </c>
      <c r="BB97" s="76">
        <f t="shared" si="157"/>
        <v>0.98034860713910055</v>
      </c>
      <c r="BC97" s="64">
        <f t="shared" si="158"/>
        <v>98.034860713910049</v>
      </c>
      <c r="BD97" s="63">
        <f t="shared" si="140"/>
        <v>1.9683212313653973</v>
      </c>
      <c r="BE97" s="63">
        <f t="shared" si="159"/>
        <v>1.4994858662929198</v>
      </c>
      <c r="BF97" s="63">
        <f t="shared" si="141"/>
        <v>1.0681447535018731</v>
      </c>
      <c r="BG97" s="63">
        <f t="shared" si="142"/>
        <v>0.4313411127910467</v>
      </c>
      <c r="BH97" s="63">
        <f t="shared" si="143"/>
        <v>0.28902148130629096</v>
      </c>
      <c r="BI97" s="63">
        <f t="shared" si="160"/>
        <v>0.24596600000000002</v>
      </c>
      <c r="BJ97" s="63">
        <f t="shared" si="161"/>
        <v>1.2294706629023221E-3</v>
      </c>
      <c r="BK97" s="63">
        <f t="shared" si="162"/>
        <v>2.6851632863702532E-5</v>
      </c>
      <c r="BL97" s="63">
        <f t="shared" si="163"/>
        <v>4.0040509012603733</v>
      </c>
      <c r="BQ97" s="77"/>
      <c r="BR97" s="78"/>
    </row>
    <row r="98" spans="3:70" x14ac:dyDescent="0.25">
      <c r="C98" s="61">
        <v>86</v>
      </c>
      <c r="D98" s="61">
        <f t="shared" si="103"/>
        <v>100</v>
      </c>
      <c r="E98" s="61">
        <f t="shared" si="104"/>
        <v>100</v>
      </c>
      <c r="F98" s="61">
        <f t="shared" si="105"/>
        <v>100</v>
      </c>
      <c r="G98" s="73">
        <f t="shared" si="106"/>
        <v>24</v>
      </c>
      <c r="H98" s="64">
        <f t="shared" si="107"/>
        <v>1</v>
      </c>
      <c r="I98" s="63">
        <f t="shared" si="144"/>
        <v>8.6</v>
      </c>
      <c r="J98" s="65">
        <f t="shared" si="108"/>
        <v>8.3533953124311573E-4</v>
      </c>
      <c r="K98" s="65">
        <f t="shared" si="109"/>
        <v>8.3533953124311573E-4</v>
      </c>
      <c r="L98" s="65">
        <f t="shared" si="110"/>
        <v>5.097492818882457E-3</v>
      </c>
      <c r="M98" s="65">
        <f t="shared" si="111"/>
        <v>4.0000000000000001E-3</v>
      </c>
      <c r="N98" s="63">
        <f t="shared" si="112"/>
        <v>0.98272593159212829</v>
      </c>
      <c r="O98" s="64">
        <f t="shared" si="113"/>
        <v>0.25386875986448099</v>
      </c>
      <c r="P98" s="64">
        <f t="shared" si="114"/>
        <v>8.7269343799322403</v>
      </c>
      <c r="Q98" s="64">
        <f t="shared" si="115"/>
        <v>8.473065620067759</v>
      </c>
      <c r="R98" s="64">
        <f t="shared" si="116"/>
        <v>0</v>
      </c>
      <c r="S98" s="64">
        <f t="shared" si="117"/>
        <v>8.6003122489207477</v>
      </c>
      <c r="T98" s="63">
        <f t="shared" si="145"/>
        <v>0.37703794639160582</v>
      </c>
      <c r="U98" s="63">
        <f t="shared" si="118"/>
        <v>1.6</v>
      </c>
      <c r="V98" s="63">
        <f t="shared" si="146"/>
        <v>1.9770379463916059</v>
      </c>
      <c r="W98" s="64">
        <f t="shared" si="147"/>
        <v>7.328559842329728E-2</v>
      </c>
      <c r="X98" s="63">
        <f t="shared" si="119"/>
        <v>2.6853894681303962E-5</v>
      </c>
      <c r="Y98" s="63">
        <f t="shared" si="148"/>
        <v>2.6853894681303962E-5</v>
      </c>
      <c r="Z98" s="64">
        <f t="shared" si="120"/>
        <v>1.1205409824137127</v>
      </c>
      <c r="AA98" s="74">
        <f t="shared" si="121"/>
        <v>1.2556120932686883E-3</v>
      </c>
      <c r="AB98" s="75">
        <f t="shared" si="149"/>
        <v>1.2556120932686883E-3</v>
      </c>
      <c r="AC98" s="63">
        <f t="shared" si="122"/>
        <v>8.5257074723618871</v>
      </c>
      <c r="AD98" s="63">
        <f t="shared" si="150"/>
        <v>6.071889914111326E-2</v>
      </c>
      <c r="AE98" s="63">
        <f t="shared" si="123"/>
        <v>8.0141360489222255E-2</v>
      </c>
      <c r="AF98" s="63">
        <f t="shared" si="124"/>
        <v>0.73399087072386782</v>
      </c>
      <c r="AG98" s="63">
        <f t="shared" si="125"/>
        <v>4.0608000000000005E-2</v>
      </c>
      <c r="AH98" s="63">
        <f t="shared" si="126"/>
        <v>0</v>
      </c>
      <c r="AI98" s="63">
        <f t="shared" si="151"/>
        <v>0.22378064516129031</v>
      </c>
      <c r="AJ98" s="63">
        <f t="shared" si="152"/>
        <v>1.0785208763743803</v>
      </c>
      <c r="AK98" s="63">
        <f t="shared" si="127"/>
        <v>1.1303463516325163</v>
      </c>
      <c r="AL98" s="63">
        <f t="shared" si="128"/>
        <v>1.0672990135866022E-3</v>
      </c>
      <c r="AM98" s="63">
        <f t="shared" si="129"/>
        <v>1.3878560695012496E-3</v>
      </c>
      <c r="AN98" s="63">
        <f t="shared" si="130"/>
        <v>0.19353872673145478</v>
      </c>
      <c r="AO98" s="63">
        <f t="shared" si="131"/>
        <v>1075.1076269932314</v>
      </c>
      <c r="AP98" s="63">
        <f t="shared" si="153"/>
        <v>0.19353872673145478</v>
      </c>
      <c r="AQ98" s="61">
        <f t="shared" si="132"/>
        <v>0.46248</v>
      </c>
      <c r="AR98" s="61">
        <f t="shared" si="133"/>
        <v>50128320000</v>
      </c>
      <c r="AS98" s="61">
        <f t="shared" si="154"/>
        <v>0.46248</v>
      </c>
      <c r="AT98" s="61">
        <f t="shared" si="155"/>
        <v>0.23869935483870966</v>
      </c>
      <c r="AU98" s="63">
        <f t="shared" si="156"/>
        <v>0.43362593763966573</v>
      </c>
      <c r="AV98" s="63">
        <f t="shared" si="134"/>
        <v>0.29586148311574501</v>
      </c>
      <c r="AW98" s="63">
        <f t="shared" si="135"/>
        <v>2.9760000000000003E-3</v>
      </c>
      <c r="AX98" s="63">
        <f t="shared" si="136"/>
        <v>0.24299000000000001</v>
      </c>
      <c r="AY98" s="63">
        <f t="shared" si="137"/>
        <v>0.24596600000000002</v>
      </c>
      <c r="AZ98" s="63">
        <f t="shared" si="138"/>
        <v>4.0322947095093467</v>
      </c>
      <c r="BA98" s="64">
        <f t="shared" si="139"/>
        <v>202.1</v>
      </c>
      <c r="BB98" s="76">
        <f t="shared" si="157"/>
        <v>0.98043831649382329</v>
      </c>
      <c r="BC98" s="64">
        <f t="shared" si="158"/>
        <v>98.043831649382327</v>
      </c>
      <c r="BD98" s="63">
        <f t="shared" si="140"/>
        <v>1.9770379463916059</v>
      </c>
      <c r="BE98" s="63">
        <f t="shared" si="159"/>
        <v>1.5121468140140459</v>
      </c>
      <c r="BF98" s="63">
        <f t="shared" si="141"/>
        <v>1.0785208763743803</v>
      </c>
      <c r="BG98" s="63">
        <f t="shared" si="142"/>
        <v>0.43362593763966573</v>
      </c>
      <c r="BH98" s="63">
        <f t="shared" si="143"/>
        <v>0.29586148311574501</v>
      </c>
      <c r="BI98" s="63">
        <f t="shared" si="160"/>
        <v>0.24596600000000002</v>
      </c>
      <c r="BJ98" s="63">
        <f t="shared" si="161"/>
        <v>1.2556120932686883E-3</v>
      </c>
      <c r="BK98" s="63">
        <f t="shared" si="162"/>
        <v>2.6853894681303962E-5</v>
      </c>
      <c r="BL98" s="63">
        <f t="shared" si="163"/>
        <v>4.0322947095093475</v>
      </c>
      <c r="BQ98" s="77"/>
      <c r="BR98" s="78"/>
    </row>
    <row r="99" spans="3:70" x14ac:dyDescent="0.25">
      <c r="C99" s="61">
        <v>87</v>
      </c>
      <c r="D99" s="61">
        <f t="shared" si="103"/>
        <v>100</v>
      </c>
      <c r="E99" s="61">
        <f t="shared" si="104"/>
        <v>100</v>
      </c>
      <c r="F99" s="61">
        <f t="shared" si="105"/>
        <v>100</v>
      </c>
      <c r="G99" s="73">
        <f t="shared" si="106"/>
        <v>24</v>
      </c>
      <c r="H99" s="64">
        <f t="shared" si="107"/>
        <v>1</v>
      </c>
      <c r="I99" s="63">
        <f t="shared" si="144"/>
        <v>8.6999999999999993</v>
      </c>
      <c r="J99" s="65">
        <f t="shared" si="108"/>
        <v>8.3533953124311573E-4</v>
      </c>
      <c r="K99" s="65">
        <f t="shared" si="109"/>
        <v>8.3533953124311573E-4</v>
      </c>
      <c r="L99" s="65">
        <f t="shared" si="110"/>
        <v>5.097492818882457E-3</v>
      </c>
      <c r="M99" s="65">
        <f t="shared" si="111"/>
        <v>4.0000000000000001E-3</v>
      </c>
      <c r="N99" s="63">
        <f t="shared" si="112"/>
        <v>0.98276731839358711</v>
      </c>
      <c r="O99" s="64">
        <f t="shared" si="113"/>
        <v>0.25387945136617368</v>
      </c>
      <c r="P99" s="64">
        <f t="shared" si="114"/>
        <v>8.8269397256830864</v>
      </c>
      <c r="Q99" s="64">
        <f t="shared" si="115"/>
        <v>8.5730602743169122</v>
      </c>
      <c r="R99" s="64">
        <f t="shared" si="116"/>
        <v>0</v>
      </c>
      <c r="S99" s="64">
        <f t="shared" si="117"/>
        <v>8.7003086859788379</v>
      </c>
      <c r="T99" s="63">
        <f t="shared" si="145"/>
        <v>0.38585661127428938</v>
      </c>
      <c r="U99" s="63">
        <f t="shared" si="118"/>
        <v>1.6</v>
      </c>
      <c r="V99" s="63">
        <f t="shared" si="146"/>
        <v>1.9858566112742895</v>
      </c>
      <c r="W99" s="64">
        <f t="shared" si="147"/>
        <v>7.3288684793987438E-2</v>
      </c>
      <c r="X99" s="63">
        <f t="shared" si="119"/>
        <v>2.6856156594162227E-5</v>
      </c>
      <c r="Y99" s="63">
        <f t="shared" si="148"/>
        <v>2.6856156594162227E-5</v>
      </c>
      <c r="Z99" s="64">
        <f t="shared" si="120"/>
        <v>1.1322346628329532</v>
      </c>
      <c r="AA99" s="74">
        <f t="shared" si="121"/>
        <v>1.281955331720451E-3</v>
      </c>
      <c r="AB99" s="75">
        <f t="shared" si="149"/>
        <v>1.281955331720451E-3</v>
      </c>
      <c r="AC99" s="63">
        <f t="shared" si="122"/>
        <v>8.6250180869265574</v>
      </c>
      <c r="AD99" s="63">
        <f t="shared" si="150"/>
        <v>6.214169044215765E-2</v>
      </c>
      <c r="AE99" s="63">
        <f t="shared" si="123"/>
        <v>8.2048660911722249E-2</v>
      </c>
      <c r="AF99" s="63">
        <f t="shared" si="124"/>
        <v>0.74248320411491009</v>
      </c>
      <c r="AG99" s="63">
        <f t="shared" si="125"/>
        <v>4.0608000000000005E-2</v>
      </c>
      <c r="AH99" s="63">
        <f t="shared" si="126"/>
        <v>0</v>
      </c>
      <c r="AI99" s="63">
        <f t="shared" si="151"/>
        <v>0.22378064516129031</v>
      </c>
      <c r="AJ99" s="63">
        <f t="shared" si="152"/>
        <v>1.0889205101879227</v>
      </c>
      <c r="AK99" s="63">
        <f t="shared" si="127"/>
        <v>1.1421183088929723</v>
      </c>
      <c r="AL99" s="63">
        <f t="shared" si="128"/>
        <v>1.0896454794858202E-3</v>
      </c>
      <c r="AM99" s="63">
        <f t="shared" si="129"/>
        <v>1.416922021114989E-3</v>
      </c>
      <c r="AN99" s="63">
        <f t="shared" si="130"/>
        <v>0.19579470663143161</v>
      </c>
      <c r="AO99" s="63">
        <f t="shared" si="131"/>
        <v>1087.6395953376027</v>
      </c>
      <c r="AP99" s="63">
        <f t="shared" si="153"/>
        <v>0.19579470663143161</v>
      </c>
      <c r="AQ99" s="61">
        <f t="shared" si="132"/>
        <v>0.46248</v>
      </c>
      <c r="AR99" s="61">
        <f t="shared" si="133"/>
        <v>50128320000</v>
      </c>
      <c r="AS99" s="61">
        <f t="shared" si="154"/>
        <v>0.46248</v>
      </c>
      <c r="AT99" s="61">
        <f t="shared" si="155"/>
        <v>0.23869935483870966</v>
      </c>
      <c r="AU99" s="63">
        <f t="shared" si="156"/>
        <v>0.43591098349125623</v>
      </c>
      <c r="AV99" s="63">
        <f t="shared" si="134"/>
        <v>0.30278148492527529</v>
      </c>
      <c r="AW99" s="63">
        <f t="shared" si="135"/>
        <v>2.9760000000000003E-3</v>
      </c>
      <c r="AX99" s="63">
        <f t="shared" si="136"/>
        <v>0.24299000000000001</v>
      </c>
      <c r="AY99" s="63">
        <f t="shared" si="137"/>
        <v>0.24596600000000002</v>
      </c>
      <c r="AZ99" s="63">
        <f t="shared" si="138"/>
        <v>4.0607444013670584</v>
      </c>
      <c r="BA99" s="64">
        <f t="shared" si="139"/>
        <v>204.45</v>
      </c>
      <c r="BB99" s="76">
        <f t="shared" si="157"/>
        <v>0.98052501125049729</v>
      </c>
      <c r="BC99" s="64">
        <f t="shared" si="158"/>
        <v>98.05250112504973</v>
      </c>
      <c r="BD99" s="63">
        <f t="shared" si="140"/>
        <v>1.9858566112742895</v>
      </c>
      <c r="BE99" s="63">
        <f t="shared" si="159"/>
        <v>1.5248314936791789</v>
      </c>
      <c r="BF99" s="63">
        <f t="shared" si="141"/>
        <v>1.0889205101879227</v>
      </c>
      <c r="BG99" s="63">
        <f t="shared" si="142"/>
        <v>0.43591098349125623</v>
      </c>
      <c r="BH99" s="63">
        <f t="shared" si="143"/>
        <v>0.30278148492527529</v>
      </c>
      <c r="BI99" s="63">
        <f t="shared" si="160"/>
        <v>0.24596600000000002</v>
      </c>
      <c r="BJ99" s="63">
        <f t="shared" si="161"/>
        <v>1.281955331720451E-3</v>
      </c>
      <c r="BK99" s="63">
        <f t="shared" si="162"/>
        <v>2.6856156594162227E-5</v>
      </c>
      <c r="BL99" s="63">
        <f t="shared" si="163"/>
        <v>4.0607444013670584</v>
      </c>
      <c r="BQ99" s="77"/>
      <c r="BR99" s="78"/>
    </row>
    <row r="100" spans="3:70" x14ac:dyDescent="0.25">
      <c r="C100" s="61">
        <v>88</v>
      </c>
      <c r="D100" s="61">
        <f t="shared" si="103"/>
        <v>100</v>
      </c>
      <c r="E100" s="61">
        <f t="shared" si="104"/>
        <v>100</v>
      </c>
      <c r="F100" s="61">
        <f t="shared" si="105"/>
        <v>100</v>
      </c>
      <c r="G100" s="73">
        <f t="shared" si="106"/>
        <v>24</v>
      </c>
      <c r="H100" s="64">
        <f t="shared" si="107"/>
        <v>1</v>
      </c>
      <c r="I100" s="63">
        <f t="shared" si="144"/>
        <v>8.8000000000000007</v>
      </c>
      <c r="J100" s="65">
        <f t="shared" si="108"/>
        <v>8.3533953124311573E-4</v>
      </c>
      <c r="K100" s="65">
        <f t="shared" si="109"/>
        <v>8.3533953124311573E-4</v>
      </c>
      <c r="L100" s="65">
        <f t="shared" si="110"/>
        <v>5.097492818882457E-3</v>
      </c>
      <c r="M100" s="65">
        <f t="shared" si="111"/>
        <v>4.0000000000000001E-3</v>
      </c>
      <c r="N100" s="63">
        <f t="shared" si="112"/>
        <v>0.98280870519504615</v>
      </c>
      <c r="O100" s="64">
        <f t="shared" si="113"/>
        <v>0.25389014286786643</v>
      </c>
      <c r="P100" s="64">
        <f t="shared" si="114"/>
        <v>8.9269450714339342</v>
      </c>
      <c r="Q100" s="64">
        <f t="shared" si="115"/>
        <v>8.6730549285660672</v>
      </c>
      <c r="R100" s="64">
        <f t="shared" si="116"/>
        <v>0</v>
      </c>
      <c r="S100" s="64">
        <f t="shared" si="117"/>
        <v>8.8003052040097156</v>
      </c>
      <c r="T100" s="63">
        <f t="shared" si="145"/>
        <v>0.39477722601344795</v>
      </c>
      <c r="U100" s="63">
        <f t="shared" si="118"/>
        <v>1.6</v>
      </c>
      <c r="V100" s="63">
        <f t="shared" si="146"/>
        <v>1.994777226013448</v>
      </c>
      <c r="W100" s="64">
        <f t="shared" si="147"/>
        <v>7.3291771164677624E-2</v>
      </c>
      <c r="X100" s="63">
        <f t="shared" si="119"/>
        <v>2.6858418602277356E-5</v>
      </c>
      <c r="Y100" s="63">
        <f t="shared" si="148"/>
        <v>2.6858418602277356E-5</v>
      </c>
      <c r="Z100" s="64">
        <f t="shared" si="120"/>
        <v>1.143895958099939</v>
      </c>
      <c r="AA100" s="74">
        <f t="shared" si="121"/>
        <v>1.3084979629573775E-3</v>
      </c>
      <c r="AB100" s="75">
        <f t="shared" si="149"/>
        <v>1.3084979629573775E-3</v>
      </c>
      <c r="AC100" s="63">
        <f t="shared" si="122"/>
        <v>8.7243329526002409</v>
      </c>
      <c r="AD100" s="63">
        <f t="shared" si="150"/>
        <v>6.3581020941739466E-2</v>
      </c>
      <c r="AE100" s="63">
        <f t="shared" si="123"/>
        <v>8.3979524188007915E-2</v>
      </c>
      <c r="AF100" s="63">
        <f t="shared" si="124"/>
        <v>0.75097553750595258</v>
      </c>
      <c r="AG100" s="63">
        <f t="shared" si="125"/>
        <v>4.0608000000000005E-2</v>
      </c>
      <c r="AH100" s="63">
        <f t="shared" si="126"/>
        <v>0</v>
      </c>
      <c r="AI100" s="63">
        <f t="shared" si="151"/>
        <v>0.22378064516129031</v>
      </c>
      <c r="AJ100" s="63">
        <f t="shared" si="152"/>
        <v>1.0993437068552507</v>
      </c>
      <c r="AK100" s="63">
        <f t="shared" si="127"/>
        <v>1.1538571037585479</v>
      </c>
      <c r="AL100" s="63">
        <f t="shared" si="128"/>
        <v>1.1121595374884933E-3</v>
      </c>
      <c r="AM100" s="63">
        <f t="shared" si="129"/>
        <v>1.446206284939058E-3</v>
      </c>
      <c r="AN100" s="63">
        <f t="shared" si="130"/>
        <v>0.19805068653140845</v>
      </c>
      <c r="AO100" s="63">
        <f t="shared" si="131"/>
        <v>1100.171563681974</v>
      </c>
      <c r="AP100" s="63">
        <f t="shared" si="153"/>
        <v>0.19805068653140845</v>
      </c>
      <c r="AQ100" s="61">
        <f t="shared" si="132"/>
        <v>0.46248</v>
      </c>
      <c r="AR100" s="61">
        <f t="shared" si="133"/>
        <v>50128320000</v>
      </c>
      <c r="AS100" s="61">
        <f t="shared" si="154"/>
        <v>0.46248</v>
      </c>
      <c r="AT100" s="61">
        <f t="shared" si="155"/>
        <v>0.23869935483870966</v>
      </c>
      <c r="AU100" s="63">
        <f t="shared" si="156"/>
        <v>0.43819624765505716</v>
      </c>
      <c r="AV100" s="63">
        <f t="shared" si="134"/>
        <v>0.30978148673488193</v>
      </c>
      <c r="AW100" s="63">
        <f t="shared" si="135"/>
        <v>2.9760000000000003E-3</v>
      </c>
      <c r="AX100" s="63">
        <f t="shared" si="136"/>
        <v>0.24299000000000001</v>
      </c>
      <c r="AY100" s="63">
        <f t="shared" si="137"/>
        <v>0.24596600000000002</v>
      </c>
      <c r="AZ100" s="63">
        <f t="shared" si="138"/>
        <v>4.0894000236401977</v>
      </c>
      <c r="BA100" s="64">
        <f t="shared" si="139"/>
        <v>206.8</v>
      </c>
      <c r="BB100" s="76">
        <f t="shared" si="157"/>
        <v>0.98060879293515091</v>
      </c>
      <c r="BC100" s="64">
        <f t="shared" si="158"/>
        <v>98.060879293515086</v>
      </c>
      <c r="BD100" s="63">
        <f t="shared" si="140"/>
        <v>1.994777226013448</v>
      </c>
      <c r="BE100" s="63">
        <f t="shared" si="159"/>
        <v>1.5375399545103079</v>
      </c>
      <c r="BF100" s="63">
        <f t="shared" si="141"/>
        <v>1.0993437068552507</v>
      </c>
      <c r="BG100" s="63">
        <f t="shared" si="142"/>
        <v>0.43819624765505716</v>
      </c>
      <c r="BH100" s="63">
        <f t="shared" si="143"/>
        <v>0.30978148673488193</v>
      </c>
      <c r="BI100" s="63">
        <f t="shared" si="160"/>
        <v>0.24596600000000002</v>
      </c>
      <c r="BJ100" s="63">
        <f t="shared" si="161"/>
        <v>1.3084979629573775E-3</v>
      </c>
      <c r="BK100" s="63">
        <f t="shared" si="162"/>
        <v>2.6858418602277356E-5</v>
      </c>
      <c r="BL100" s="63">
        <f t="shared" si="163"/>
        <v>4.0894000236401968</v>
      </c>
      <c r="BQ100" s="77"/>
      <c r="BR100" s="78"/>
    </row>
    <row r="101" spans="3:70" x14ac:dyDescent="0.25">
      <c r="C101" s="61">
        <v>89</v>
      </c>
      <c r="D101" s="61">
        <f t="shared" si="103"/>
        <v>100</v>
      </c>
      <c r="E101" s="61">
        <f t="shared" si="104"/>
        <v>100</v>
      </c>
      <c r="F101" s="61">
        <f t="shared" si="105"/>
        <v>100</v>
      </c>
      <c r="G101" s="73">
        <f t="shared" si="106"/>
        <v>24</v>
      </c>
      <c r="H101" s="64">
        <f t="shared" si="107"/>
        <v>1</v>
      </c>
      <c r="I101" s="63">
        <f t="shared" si="144"/>
        <v>8.9</v>
      </c>
      <c r="J101" s="65">
        <f t="shared" si="108"/>
        <v>8.3533953124311573E-4</v>
      </c>
      <c r="K101" s="65">
        <f t="shared" si="109"/>
        <v>8.3533953124311573E-4</v>
      </c>
      <c r="L101" s="65">
        <f t="shared" si="110"/>
        <v>5.097492818882457E-3</v>
      </c>
      <c r="M101" s="65">
        <f t="shared" si="111"/>
        <v>4.0000000000000001E-3</v>
      </c>
      <c r="N101" s="63">
        <f t="shared" si="112"/>
        <v>0.98285009199650497</v>
      </c>
      <c r="O101" s="64">
        <f t="shared" si="113"/>
        <v>0.25390083436955918</v>
      </c>
      <c r="P101" s="64">
        <f t="shared" si="114"/>
        <v>9.0269504171847803</v>
      </c>
      <c r="Q101" s="64">
        <f t="shared" si="115"/>
        <v>8.7730495828152204</v>
      </c>
      <c r="R101" s="64">
        <f t="shared" si="116"/>
        <v>0</v>
      </c>
      <c r="S101" s="64">
        <f t="shared" si="117"/>
        <v>8.9003018002841419</v>
      </c>
      <c r="T101" s="63">
        <f t="shared" si="145"/>
        <v>0.40379979060908094</v>
      </c>
      <c r="U101" s="63">
        <f t="shared" si="118"/>
        <v>1.6</v>
      </c>
      <c r="V101" s="63">
        <f t="shared" si="146"/>
        <v>2.0037997906090812</v>
      </c>
      <c r="W101" s="64">
        <f t="shared" si="147"/>
        <v>7.3294857535367797E-2</v>
      </c>
      <c r="X101" s="63">
        <f t="shared" si="119"/>
        <v>2.6860680705649308E-5</v>
      </c>
      <c r="Y101" s="63">
        <f t="shared" si="148"/>
        <v>2.6860680705649308E-5</v>
      </c>
      <c r="Z101" s="64">
        <f t="shared" si="120"/>
        <v>1.1555248033980896</v>
      </c>
      <c r="AA101" s="74">
        <f t="shared" si="121"/>
        <v>1.3352375712681937E-3</v>
      </c>
      <c r="AB101" s="75">
        <f t="shared" si="149"/>
        <v>1.3352375712681937E-3</v>
      </c>
      <c r="AC101" s="63">
        <f t="shared" si="122"/>
        <v>8.8236520665506575</v>
      </c>
      <c r="AD101" s="63">
        <f t="shared" si="150"/>
        <v>6.5036892714180339E-2</v>
      </c>
      <c r="AE101" s="63">
        <f t="shared" si="123"/>
        <v>8.5934002899143241E-2</v>
      </c>
      <c r="AF101" s="63">
        <f t="shared" si="124"/>
        <v>0.75946787089699486</v>
      </c>
      <c r="AG101" s="63">
        <f t="shared" si="125"/>
        <v>4.0608000000000005E-2</v>
      </c>
      <c r="AH101" s="63">
        <f t="shared" si="126"/>
        <v>0</v>
      </c>
      <c r="AI101" s="63">
        <f t="shared" si="151"/>
        <v>0.22378064516129031</v>
      </c>
      <c r="AJ101" s="63">
        <f t="shared" si="152"/>
        <v>1.1097905189574284</v>
      </c>
      <c r="AK101" s="63">
        <f t="shared" si="127"/>
        <v>1.1655626729599076</v>
      </c>
      <c r="AL101" s="63">
        <f t="shared" si="128"/>
        <v>1.1348391132727652E-3</v>
      </c>
      <c r="AM101" s="63">
        <f t="shared" si="129"/>
        <v>1.4757061701468268E-3</v>
      </c>
      <c r="AN101" s="63">
        <f t="shared" si="130"/>
        <v>0.20030666643138523</v>
      </c>
      <c r="AO101" s="63">
        <f t="shared" si="131"/>
        <v>1112.7035320263449</v>
      </c>
      <c r="AP101" s="63">
        <f t="shared" si="153"/>
        <v>0.20030666643138523</v>
      </c>
      <c r="AQ101" s="61">
        <f t="shared" si="132"/>
        <v>0.46248</v>
      </c>
      <c r="AR101" s="61">
        <f t="shared" si="133"/>
        <v>50128320000</v>
      </c>
      <c r="AS101" s="61">
        <f t="shared" si="154"/>
        <v>0.46248</v>
      </c>
      <c r="AT101" s="61">
        <f t="shared" si="155"/>
        <v>0.23869935483870966</v>
      </c>
      <c r="AU101" s="63">
        <f t="shared" si="156"/>
        <v>0.44048172744024172</v>
      </c>
      <c r="AV101" s="63">
        <f t="shared" si="134"/>
        <v>0.31686148854456458</v>
      </c>
      <c r="AW101" s="63">
        <f t="shared" si="135"/>
        <v>2.9760000000000003E-3</v>
      </c>
      <c r="AX101" s="63">
        <f t="shared" si="136"/>
        <v>0.24299000000000001</v>
      </c>
      <c r="AY101" s="63">
        <f t="shared" si="137"/>
        <v>0.24596600000000002</v>
      </c>
      <c r="AZ101" s="63">
        <f t="shared" si="138"/>
        <v>4.1182616238032894</v>
      </c>
      <c r="BA101" s="64">
        <f t="shared" si="139"/>
        <v>209.15</v>
      </c>
      <c r="BB101" s="76">
        <f t="shared" si="157"/>
        <v>0.98068975855831875</v>
      </c>
      <c r="BC101" s="64">
        <f t="shared" si="158"/>
        <v>98.06897585583188</v>
      </c>
      <c r="BD101" s="63">
        <f t="shared" si="140"/>
        <v>2.0037997906090812</v>
      </c>
      <c r="BE101" s="63">
        <f t="shared" si="159"/>
        <v>1.5502722463976701</v>
      </c>
      <c r="BF101" s="63">
        <f t="shared" si="141"/>
        <v>1.1097905189574284</v>
      </c>
      <c r="BG101" s="63">
        <f t="shared" si="142"/>
        <v>0.44048172744024172</v>
      </c>
      <c r="BH101" s="63">
        <f t="shared" si="143"/>
        <v>0.31686148854456458</v>
      </c>
      <c r="BI101" s="63">
        <f t="shared" si="160"/>
        <v>0.24596600000000002</v>
      </c>
      <c r="BJ101" s="63">
        <f t="shared" si="161"/>
        <v>1.3352375712681937E-3</v>
      </c>
      <c r="BK101" s="63">
        <f t="shared" si="162"/>
        <v>2.6860680705649308E-5</v>
      </c>
      <c r="BL101" s="63">
        <f t="shared" si="163"/>
        <v>4.1182616238032894</v>
      </c>
      <c r="BQ101" s="77"/>
      <c r="BR101" s="78"/>
    </row>
    <row r="102" spans="3:70" x14ac:dyDescent="0.25">
      <c r="C102" s="61">
        <v>90</v>
      </c>
      <c r="D102" s="61">
        <f t="shared" si="103"/>
        <v>100</v>
      </c>
      <c r="E102" s="61">
        <f t="shared" si="104"/>
        <v>100</v>
      </c>
      <c r="F102" s="61">
        <f t="shared" si="105"/>
        <v>100</v>
      </c>
      <c r="G102" s="73">
        <f t="shared" si="106"/>
        <v>24</v>
      </c>
      <c r="H102" s="64">
        <f t="shared" si="107"/>
        <v>1</v>
      </c>
      <c r="I102" s="63">
        <f t="shared" si="144"/>
        <v>9</v>
      </c>
      <c r="J102" s="65">
        <f t="shared" si="108"/>
        <v>8.3533953124311573E-4</v>
      </c>
      <c r="K102" s="65">
        <f t="shared" si="109"/>
        <v>8.3533953124311573E-4</v>
      </c>
      <c r="L102" s="65">
        <f t="shared" si="110"/>
        <v>5.097492818882457E-3</v>
      </c>
      <c r="M102" s="65">
        <f t="shared" si="111"/>
        <v>4.0000000000000001E-3</v>
      </c>
      <c r="N102" s="63">
        <f t="shared" si="112"/>
        <v>0.98289147879796379</v>
      </c>
      <c r="O102" s="64">
        <f t="shared" si="113"/>
        <v>0.25391152587125193</v>
      </c>
      <c r="P102" s="64">
        <f t="shared" si="114"/>
        <v>9.1269557629356264</v>
      </c>
      <c r="Q102" s="64">
        <f t="shared" si="115"/>
        <v>8.8730442370643736</v>
      </c>
      <c r="R102" s="64">
        <f t="shared" si="116"/>
        <v>0</v>
      </c>
      <c r="S102" s="64">
        <f t="shared" si="117"/>
        <v>9.0002984721941779</v>
      </c>
      <c r="T102" s="63">
        <f t="shared" si="145"/>
        <v>0.41292430506118871</v>
      </c>
      <c r="U102" s="63">
        <f t="shared" si="118"/>
        <v>1.6</v>
      </c>
      <c r="V102" s="63">
        <f t="shared" si="146"/>
        <v>2.0129243050611887</v>
      </c>
      <c r="W102" s="64">
        <f t="shared" si="147"/>
        <v>7.3297943906057969E-2</v>
      </c>
      <c r="X102" s="63">
        <f t="shared" si="119"/>
        <v>2.6862942904278105E-5</v>
      </c>
      <c r="Y102" s="63">
        <f t="shared" si="148"/>
        <v>2.6862942904278105E-5</v>
      </c>
      <c r="Z102" s="64">
        <f t="shared" si="120"/>
        <v>1.1671211336148839</v>
      </c>
      <c r="AA102" s="74">
        <f t="shared" si="121"/>
        <v>1.3621717405304917E-3</v>
      </c>
      <c r="AB102" s="75">
        <f t="shared" si="149"/>
        <v>1.3621717405304917E-3</v>
      </c>
      <c r="AC102" s="63">
        <f t="shared" si="122"/>
        <v>8.9229754260655838</v>
      </c>
      <c r="AD102" s="63">
        <f t="shared" si="150"/>
        <v>6.6509307833802336E-2</v>
      </c>
      <c r="AE102" s="63">
        <f t="shared" si="123"/>
        <v>8.7912150298035924E-2</v>
      </c>
      <c r="AF102" s="63">
        <f t="shared" si="124"/>
        <v>0.76796020428803713</v>
      </c>
      <c r="AG102" s="63">
        <f t="shared" si="125"/>
        <v>4.0608000000000005E-2</v>
      </c>
      <c r="AH102" s="63">
        <f t="shared" si="126"/>
        <v>0</v>
      </c>
      <c r="AI102" s="63">
        <f t="shared" si="151"/>
        <v>0.22378064516129031</v>
      </c>
      <c r="AJ102" s="63">
        <f t="shared" si="152"/>
        <v>1.1202609997473634</v>
      </c>
      <c r="AK102" s="63">
        <f t="shared" si="127"/>
        <v>1.1772349529344506</v>
      </c>
      <c r="AL102" s="63">
        <f t="shared" si="128"/>
        <v>1.157682132516741E-3</v>
      </c>
      <c r="AM102" s="63">
        <f t="shared" si="129"/>
        <v>1.5054189858439053E-3</v>
      </c>
      <c r="AN102" s="63">
        <f t="shared" si="130"/>
        <v>0.20256264633136206</v>
      </c>
      <c r="AO102" s="63">
        <f t="shared" si="131"/>
        <v>1125.2355003707162</v>
      </c>
      <c r="AP102" s="63">
        <f t="shared" si="153"/>
        <v>0.20256264633136206</v>
      </c>
      <c r="AQ102" s="61">
        <f t="shared" si="132"/>
        <v>0.46248</v>
      </c>
      <c r="AR102" s="61">
        <f t="shared" si="133"/>
        <v>50128320000</v>
      </c>
      <c r="AS102" s="61">
        <f t="shared" si="154"/>
        <v>0.46248</v>
      </c>
      <c r="AT102" s="61">
        <f t="shared" si="155"/>
        <v>0.23869935483870966</v>
      </c>
      <c r="AU102" s="63">
        <f t="shared" si="156"/>
        <v>0.44276742015591564</v>
      </c>
      <c r="AV102" s="63">
        <f t="shared" si="134"/>
        <v>0.32402149035432343</v>
      </c>
      <c r="AW102" s="63">
        <f t="shared" si="135"/>
        <v>2.9760000000000003E-3</v>
      </c>
      <c r="AX102" s="63">
        <f t="shared" si="136"/>
        <v>0.24299000000000001</v>
      </c>
      <c r="AY102" s="63">
        <f t="shared" si="137"/>
        <v>0.24596600000000002</v>
      </c>
      <c r="AZ102" s="63">
        <f t="shared" si="138"/>
        <v>4.1473292500022261</v>
      </c>
      <c r="BA102" s="64">
        <f t="shared" si="139"/>
        <v>211.5</v>
      </c>
      <c r="BB102" s="76">
        <f t="shared" si="157"/>
        <v>0.98076800086313987</v>
      </c>
      <c r="BC102" s="64">
        <f t="shared" si="158"/>
        <v>98.07680008631398</v>
      </c>
      <c r="BD102" s="63">
        <f t="shared" si="140"/>
        <v>2.0129243050611887</v>
      </c>
      <c r="BE102" s="63">
        <f t="shared" si="159"/>
        <v>1.5630284199032789</v>
      </c>
      <c r="BF102" s="63">
        <f t="shared" si="141"/>
        <v>1.1202609997473634</v>
      </c>
      <c r="BG102" s="63">
        <f t="shared" si="142"/>
        <v>0.44276742015591564</v>
      </c>
      <c r="BH102" s="63">
        <f t="shared" si="143"/>
        <v>0.32402149035432343</v>
      </c>
      <c r="BI102" s="63">
        <f t="shared" si="160"/>
        <v>0.24596600000000002</v>
      </c>
      <c r="BJ102" s="63">
        <f t="shared" si="161"/>
        <v>1.3621717405304917E-3</v>
      </c>
      <c r="BK102" s="63">
        <f t="shared" si="162"/>
        <v>2.6862942904278105E-5</v>
      </c>
      <c r="BL102" s="63">
        <f t="shared" si="163"/>
        <v>4.1473292500022252</v>
      </c>
      <c r="BQ102" s="77"/>
      <c r="BR102" s="78"/>
    </row>
    <row r="103" spans="3:70" x14ac:dyDescent="0.25">
      <c r="C103" s="61">
        <v>91</v>
      </c>
      <c r="D103" s="61">
        <f t="shared" si="103"/>
        <v>100</v>
      </c>
      <c r="E103" s="61">
        <f t="shared" si="104"/>
        <v>100</v>
      </c>
      <c r="F103" s="61">
        <f t="shared" si="105"/>
        <v>100</v>
      </c>
      <c r="G103" s="73">
        <f t="shared" si="106"/>
        <v>24</v>
      </c>
      <c r="H103" s="64">
        <f t="shared" si="107"/>
        <v>1</v>
      </c>
      <c r="I103" s="63">
        <f t="shared" si="144"/>
        <v>9.1</v>
      </c>
      <c r="J103" s="65">
        <f t="shared" si="108"/>
        <v>8.3533953124311573E-4</v>
      </c>
      <c r="K103" s="65">
        <f t="shared" si="109"/>
        <v>8.3533953124311573E-4</v>
      </c>
      <c r="L103" s="65">
        <f t="shared" si="110"/>
        <v>5.097492818882457E-3</v>
      </c>
      <c r="M103" s="65">
        <f t="shared" si="111"/>
        <v>4.0000000000000001E-3</v>
      </c>
      <c r="N103" s="63">
        <f t="shared" si="112"/>
        <v>0.98293286559942261</v>
      </c>
      <c r="O103" s="64">
        <f t="shared" si="113"/>
        <v>0.25392221737294468</v>
      </c>
      <c r="P103" s="64">
        <f t="shared" si="114"/>
        <v>9.2269611086864725</v>
      </c>
      <c r="Q103" s="64">
        <f t="shared" si="115"/>
        <v>8.9730388913135268</v>
      </c>
      <c r="R103" s="64">
        <f t="shared" si="116"/>
        <v>0</v>
      </c>
      <c r="S103" s="64">
        <f t="shared" si="117"/>
        <v>9.1002952172465061</v>
      </c>
      <c r="T103" s="63">
        <f t="shared" si="145"/>
        <v>0.42215076936977136</v>
      </c>
      <c r="U103" s="63">
        <f t="shared" si="118"/>
        <v>1.6</v>
      </c>
      <c r="V103" s="63">
        <f t="shared" si="146"/>
        <v>2.0221507693697713</v>
      </c>
      <c r="W103" s="64">
        <f t="shared" si="147"/>
        <v>7.3301030276748141E-2</v>
      </c>
      <c r="X103" s="63">
        <f t="shared" si="119"/>
        <v>2.6865205198163739E-5</v>
      </c>
      <c r="Y103" s="63">
        <f t="shared" si="148"/>
        <v>2.6865205198163739E-5</v>
      </c>
      <c r="Z103" s="64">
        <f t="shared" si="120"/>
        <v>1.1786848833385413</v>
      </c>
      <c r="AA103" s="74">
        <f t="shared" si="121"/>
        <v>1.3892980542107908E-3</v>
      </c>
      <c r="AB103" s="75">
        <f t="shared" si="149"/>
        <v>1.3892980542107908E-3</v>
      </c>
      <c r="AC103" s="63">
        <f t="shared" si="122"/>
        <v>9.0223030285462187</v>
      </c>
      <c r="AD103" s="63">
        <f t="shared" si="150"/>
        <v>6.7998268374927284E-2</v>
      </c>
      <c r="AE103" s="63">
        <f t="shared" si="123"/>
        <v>8.9914020313015916E-2</v>
      </c>
      <c r="AF103" s="63">
        <f t="shared" si="124"/>
        <v>0.7764525376790794</v>
      </c>
      <c r="AG103" s="63">
        <f t="shared" si="125"/>
        <v>4.0608000000000005E-2</v>
      </c>
      <c r="AH103" s="63">
        <f t="shared" si="126"/>
        <v>0</v>
      </c>
      <c r="AI103" s="63">
        <f t="shared" si="151"/>
        <v>0.22378064516129031</v>
      </c>
      <c r="AJ103" s="63">
        <f t="shared" si="152"/>
        <v>1.1307552031533856</v>
      </c>
      <c r="AK103" s="63">
        <f t="shared" si="127"/>
        <v>1.188873879822993</v>
      </c>
      <c r="AL103" s="63">
        <f t="shared" si="128"/>
        <v>1.18068652089854E-3</v>
      </c>
      <c r="AM103" s="63">
        <f t="shared" si="129"/>
        <v>1.5353420410660103E-3</v>
      </c>
      <c r="AN103" s="63">
        <f t="shared" si="130"/>
        <v>0.2048186262313389</v>
      </c>
      <c r="AO103" s="63">
        <f t="shared" si="131"/>
        <v>1137.7674687150875</v>
      </c>
      <c r="AP103" s="63">
        <f t="shared" si="153"/>
        <v>0.2048186262313389</v>
      </c>
      <c r="AQ103" s="61">
        <f t="shared" si="132"/>
        <v>0.46248</v>
      </c>
      <c r="AR103" s="61">
        <f t="shared" si="133"/>
        <v>50128320000</v>
      </c>
      <c r="AS103" s="61">
        <f t="shared" si="154"/>
        <v>0.46248</v>
      </c>
      <c r="AT103" s="61">
        <f t="shared" si="155"/>
        <v>0.23869935483870966</v>
      </c>
      <c r="AU103" s="63">
        <f t="shared" si="156"/>
        <v>0.44505332311111456</v>
      </c>
      <c r="AV103" s="63">
        <f t="shared" si="134"/>
        <v>0.33126149216415857</v>
      </c>
      <c r="AW103" s="63">
        <f t="shared" si="135"/>
        <v>2.9760000000000003E-3</v>
      </c>
      <c r="AX103" s="63">
        <f t="shared" si="136"/>
        <v>0.24299000000000001</v>
      </c>
      <c r="AY103" s="63">
        <f t="shared" si="137"/>
        <v>0.24596600000000002</v>
      </c>
      <c r="AZ103" s="63">
        <f t="shared" si="138"/>
        <v>4.1766029510578395</v>
      </c>
      <c r="BA103" s="64">
        <f t="shared" si="139"/>
        <v>213.85</v>
      </c>
      <c r="BB103" s="76">
        <f t="shared" si="157"/>
        <v>0.98084360855727593</v>
      </c>
      <c r="BC103" s="64">
        <f t="shared" si="158"/>
        <v>98.084360855727596</v>
      </c>
      <c r="BD103" s="63">
        <f t="shared" si="140"/>
        <v>2.0221507693697713</v>
      </c>
      <c r="BE103" s="63">
        <f t="shared" si="159"/>
        <v>1.5758085262645003</v>
      </c>
      <c r="BF103" s="63">
        <f t="shared" si="141"/>
        <v>1.1307552031533856</v>
      </c>
      <c r="BG103" s="63">
        <f t="shared" si="142"/>
        <v>0.44505332311111456</v>
      </c>
      <c r="BH103" s="63">
        <f t="shared" si="143"/>
        <v>0.33126149216415857</v>
      </c>
      <c r="BI103" s="63">
        <f t="shared" si="160"/>
        <v>0.24596600000000002</v>
      </c>
      <c r="BJ103" s="63">
        <f t="shared" si="161"/>
        <v>1.3892980542107908E-3</v>
      </c>
      <c r="BK103" s="63">
        <f t="shared" si="162"/>
        <v>2.6865205198163739E-5</v>
      </c>
      <c r="BL103" s="63">
        <f t="shared" si="163"/>
        <v>4.1766029510578395</v>
      </c>
      <c r="BQ103" s="77"/>
      <c r="BR103" s="78"/>
    </row>
    <row r="104" spans="3:70" x14ac:dyDescent="0.25">
      <c r="C104" s="61">
        <v>92</v>
      </c>
      <c r="D104" s="61">
        <f t="shared" si="103"/>
        <v>100</v>
      </c>
      <c r="E104" s="61">
        <f t="shared" si="104"/>
        <v>100</v>
      </c>
      <c r="F104" s="61">
        <f t="shared" si="105"/>
        <v>100</v>
      </c>
      <c r="G104" s="73">
        <f t="shared" si="106"/>
        <v>24</v>
      </c>
      <c r="H104" s="64">
        <f t="shared" si="107"/>
        <v>1</v>
      </c>
      <c r="I104" s="63">
        <f t="shared" si="144"/>
        <v>9.1999999999999993</v>
      </c>
      <c r="J104" s="65">
        <f t="shared" si="108"/>
        <v>8.3533953124311573E-4</v>
      </c>
      <c r="K104" s="65">
        <f t="shared" si="109"/>
        <v>8.3533953124311573E-4</v>
      </c>
      <c r="L104" s="65">
        <f t="shared" si="110"/>
        <v>5.097492818882457E-3</v>
      </c>
      <c r="M104" s="65">
        <f t="shared" si="111"/>
        <v>4.0000000000000001E-3</v>
      </c>
      <c r="N104" s="63">
        <f t="shared" si="112"/>
        <v>0.98297425240088154</v>
      </c>
      <c r="O104" s="64">
        <f t="shared" si="113"/>
        <v>0.25393290887463743</v>
      </c>
      <c r="P104" s="64">
        <f t="shared" si="114"/>
        <v>9.3269664544373185</v>
      </c>
      <c r="Q104" s="64">
        <f t="shared" si="115"/>
        <v>9.07303354556268</v>
      </c>
      <c r="R104" s="64">
        <f t="shared" si="116"/>
        <v>0</v>
      </c>
      <c r="S104" s="64">
        <f t="shared" si="117"/>
        <v>9.2002920330562041</v>
      </c>
      <c r="T104" s="63">
        <f t="shared" si="145"/>
        <v>0.43147918353482878</v>
      </c>
      <c r="U104" s="63">
        <f t="shared" si="118"/>
        <v>1.6</v>
      </c>
      <c r="V104" s="63">
        <f t="shared" si="146"/>
        <v>2.0314791835348287</v>
      </c>
      <c r="W104" s="64">
        <f t="shared" si="147"/>
        <v>7.3304116647438314E-2</v>
      </c>
      <c r="X104" s="63">
        <f t="shared" si="119"/>
        <v>2.6867467587306218E-5</v>
      </c>
      <c r="Y104" s="63">
        <f t="shared" si="148"/>
        <v>2.6867467587306218E-5</v>
      </c>
      <c r="Z104" s="64">
        <f t="shared" si="120"/>
        <v>1.1902159868547018</v>
      </c>
      <c r="AA104" s="74">
        <f t="shared" si="121"/>
        <v>1.4166140953645117E-3</v>
      </c>
      <c r="AB104" s="75">
        <f t="shared" si="149"/>
        <v>1.4166140953645117E-3</v>
      </c>
      <c r="AC104" s="63">
        <f t="shared" si="122"/>
        <v>9.1216348715010351</v>
      </c>
      <c r="AD104" s="63">
        <f t="shared" si="150"/>
        <v>6.950377641187705E-2</v>
      </c>
      <c r="AE104" s="63">
        <f t="shared" si="123"/>
        <v>9.1939667551466264E-2</v>
      </c>
      <c r="AF104" s="63">
        <f t="shared" si="124"/>
        <v>0.78494487107012167</v>
      </c>
      <c r="AG104" s="63">
        <f t="shared" si="125"/>
        <v>4.0608000000000005E-2</v>
      </c>
      <c r="AH104" s="63">
        <f t="shared" si="126"/>
        <v>0</v>
      </c>
      <c r="AI104" s="63">
        <f t="shared" si="151"/>
        <v>0.22378064516129031</v>
      </c>
      <c r="AJ104" s="63">
        <f t="shared" si="152"/>
        <v>1.1412731837828782</v>
      </c>
      <c r="AK104" s="63">
        <f t="shared" si="127"/>
        <v>1.2004793894664496</v>
      </c>
      <c r="AL104" s="63">
        <f t="shared" si="128"/>
        <v>1.2038502040962718E-3</v>
      </c>
      <c r="AM104" s="63">
        <f t="shared" si="129"/>
        <v>1.5654726447767579E-3</v>
      </c>
      <c r="AN104" s="63">
        <f t="shared" si="130"/>
        <v>0.2070746061313157</v>
      </c>
      <c r="AO104" s="63">
        <f t="shared" si="131"/>
        <v>1150.2994370594588</v>
      </c>
      <c r="AP104" s="63">
        <f t="shared" si="153"/>
        <v>0.2070746061313157</v>
      </c>
      <c r="AQ104" s="61">
        <f t="shared" si="132"/>
        <v>0.46248</v>
      </c>
      <c r="AR104" s="61">
        <f t="shared" si="133"/>
        <v>50128320000</v>
      </c>
      <c r="AS104" s="61">
        <f t="shared" si="154"/>
        <v>0.46248</v>
      </c>
      <c r="AT104" s="61">
        <f t="shared" si="155"/>
        <v>0.23869935483870966</v>
      </c>
      <c r="AU104" s="63">
        <f t="shared" si="156"/>
        <v>0.44733943361480211</v>
      </c>
      <c r="AV104" s="63">
        <f t="shared" si="134"/>
        <v>0.33858149397406989</v>
      </c>
      <c r="AW104" s="63">
        <f t="shared" si="135"/>
        <v>2.9760000000000003E-3</v>
      </c>
      <c r="AX104" s="63">
        <f t="shared" si="136"/>
        <v>0.24299000000000001</v>
      </c>
      <c r="AY104" s="63">
        <f t="shared" si="137"/>
        <v>0.24596600000000002</v>
      </c>
      <c r="AZ104" s="63">
        <f t="shared" si="138"/>
        <v>4.2060827764695308</v>
      </c>
      <c r="BA104" s="64">
        <f t="shared" si="139"/>
        <v>216.2</v>
      </c>
      <c r="BB104" s="76">
        <f t="shared" si="157"/>
        <v>0.98091666652986498</v>
      </c>
      <c r="BC104" s="64">
        <f t="shared" si="158"/>
        <v>98.091666652986504</v>
      </c>
      <c r="BD104" s="63">
        <f t="shared" si="140"/>
        <v>2.0314791835348287</v>
      </c>
      <c r="BE104" s="63">
        <f t="shared" si="159"/>
        <v>1.5886126173976804</v>
      </c>
      <c r="BF104" s="63">
        <f t="shared" si="141"/>
        <v>1.1412731837828782</v>
      </c>
      <c r="BG104" s="63">
        <f t="shared" si="142"/>
        <v>0.44733943361480211</v>
      </c>
      <c r="BH104" s="63">
        <f t="shared" si="143"/>
        <v>0.33858149397406989</v>
      </c>
      <c r="BI104" s="63">
        <f t="shared" si="160"/>
        <v>0.24596600000000002</v>
      </c>
      <c r="BJ104" s="63">
        <f t="shared" si="161"/>
        <v>1.4166140953645117E-3</v>
      </c>
      <c r="BK104" s="63">
        <f t="shared" si="162"/>
        <v>2.6867467587306218E-5</v>
      </c>
      <c r="BL104" s="63">
        <f t="shared" si="163"/>
        <v>4.2060827764695317</v>
      </c>
      <c r="BQ104" s="77"/>
      <c r="BR104" s="78"/>
    </row>
    <row r="105" spans="3:70" x14ac:dyDescent="0.25">
      <c r="C105" s="61">
        <v>93</v>
      </c>
      <c r="D105" s="61">
        <f t="shared" si="103"/>
        <v>100</v>
      </c>
      <c r="E105" s="61">
        <f t="shared" si="104"/>
        <v>100</v>
      </c>
      <c r="F105" s="61">
        <f t="shared" si="105"/>
        <v>100</v>
      </c>
      <c r="G105" s="73">
        <f t="shared" si="106"/>
        <v>24</v>
      </c>
      <c r="H105" s="64">
        <f t="shared" si="107"/>
        <v>1</v>
      </c>
      <c r="I105" s="63">
        <f t="shared" si="144"/>
        <v>9.3000000000000007</v>
      </c>
      <c r="J105" s="65">
        <f t="shared" si="108"/>
        <v>8.3533953124311573E-4</v>
      </c>
      <c r="K105" s="65">
        <f t="shared" si="109"/>
        <v>8.3533953124311573E-4</v>
      </c>
      <c r="L105" s="65">
        <f t="shared" si="110"/>
        <v>5.097492818882457E-3</v>
      </c>
      <c r="M105" s="65">
        <f t="shared" si="111"/>
        <v>4.0000000000000001E-3</v>
      </c>
      <c r="N105" s="63">
        <f t="shared" si="112"/>
        <v>0.98301563920234036</v>
      </c>
      <c r="O105" s="64">
        <f t="shared" si="113"/>
        <v>0.25394360037633018</v>
      </c>
      <c r="P105" s="64">
        <f t="shared" si="114"/>
        <v>9.4269718001881664</v>
      </c>
      <c r="Q105" s="64">
        <f t="shared" si="115"/>
        <v>9.173028199811835</v>
      </c>
      <c r="R105" s="64">
        <f t="shared" si="116"/>
        <v>0</v>
      </c>
      <c r="S105" s="64">
        <f t="shared" si="117"/>
        <v>9.3002889173409198</v>
      </c>
      <c r="T105" s="63">
        <f t="shared" si="145"/>
        <v>0.44090954755636086</v>
      </c>
      <c r="U105" s="63">
        <f t="shared" si="118"/>
        <v>1.6</v>
      </c>
      <c r="V105" s="63">
        <f t="shared" si="146"/>
        <v>2.0409095475563608</v>
      </c>
      <c r="W105" s="64">
        <f t="shared" si="147"/>
        <v>7.33072030181285E-2</v>
      </c>
      <c r="X105" s="63">
        <f t="shared" si="119"/>
        <v>2.686973007170554E-5</v>
      </c>
      <c r="Y105" s="63">
        <f t="shared" si="148"/>
        <v>2.686973007170554E-5</v>
      </c>
      <c r="Z105" s="64">
        <f t="shared" si="120"/>
        <v>1.2017143781431658</v>
      </c>
      <c r="AA105" s="74">
        <f t="shared" si="121"/>
        <v>1.4441174466360159E-3</v>
      </c>
      <c r="AB105" s="75">
        <f t="shared" si="149"/>
        <v>1.4441174466360159E-3</v>
      </c>
      <c r="AC105" s="63">
        <f t="shared" si="122"/>
        <v>9.2209709525400161</v>
      </c>
      <c r="AD105" s="63">
        <f t="shared" si="150"/>
        <v>7.1025834018973541E-2</v>
      </c>
      <c r="AE105" s="63">
        <f t="shared" si="123"/>
        <v>9.3989147303504564E-2</v>
      </c>
      <c r="AF105" s="63">
        <f t="shared" si="124"/>
        <v>0.79343720446116417</v>
      </c>
      <c r="AG105" s="63">
        <f t="shared" si="125"/>
        <v>4.0608000000000005E-2</v>
      </c>
      <c r="AH105" s="63">
        <f t="shared" si="126"/>
        <v>0</v>
      </c>
      <c r="AI105" s="63">
        <f t="shared" si="151"/>
        <v>0.22378064516129031</v>
      </c>
      <c r="AJ105" s="63">
        <f t="shared" si="152"/>
        <v>1.151814996925959</v>
      </c>
      <c r="AK105" s="63">
        <f t="shared" si="127"/>
        <v>1.2120514174025772</v>
      </c>
      <c r="AL105" s="63">
        <f t="shared" si="128"/>
        <v>1.2271711077880706E-3</v>
      </c>
      <c r="AM105" s="63">
        <f t="shared" si="129"/>
        <v>1.5958081058655626E-3</v>
      </c>
      <c r="AN105" s="63">
        <f t="shared" si="130"/>
        <v>0.20933058603129254</v>
      </c>
      <c r="AO105" s="63">
        <f t="shared" si="131"/>
        <v>1162.8314054038299</v>
      </c>
      <c r="AP105" s="63">
        <f t="shared" si="153"/>
        <v>0.20933058603129254</v>
      </c>
      <c r="AQ105" s="61">
        <f t="shared" si="132"/>
        <v>0.46248</v>
      </c>
      <c r="AR105" s="61">
        <f t="shared" si="133"/>
        <v>50128320000</v>
      </c>
      <c r="AS105" s="61">
        <f t="shared" si="154"/>
        <v>0.46248</v>
      </c>
      <c r="AT105" s="61">
        <f t="shared" si="155"/>
        <v>0.23869935483870966</v>
      </c>
      <c r="AU105" s="63">
        <f t="shared" si="156"/>
        <v>0.44962574897586777</v>
      </c>
      <c r="AV105" s="63">
        <f t="shared" si="134"/>
        <v>0.34598149578405735</v>
      </c>
      <c r="AW105" s="63">
        <f t="shared" si="135"/>
        <v>2.9760000000000003E-3</v>
      </c>
      <c r="AX105" s="63">
        <f t="shared" si="136"/>
        <v>0.24299000000000001</v>
      </c>
      <c r="AY105" s="63">
        <f t="shared" si="137"/>
        <v>0.24596600000000002</v>
      </c>
      <c r="AZ105" s="63">
        <f t="shared" si="138"/>
        <v>4.2357687764189524</v>
      </c>
      <c r="BA105" s="64">
        <f t="shared" si="139"/>
        <v>218.55</v>
      </c>
      <c r="BB105" s="76">
        <f t="shared" si="157"/>
        <v>0.98098725605462778</v>
      </c>
      <c r="BC105" s="64">
        <f t="shared" si="158"/>
        <v>98.098725605462775</v>
      </c>
      <c r="BD105" s="63">
        <f t="shared" si="140"/>
        <v>2.0409095475563608</v>
      </c>
      <c r="BE105" s="63">
        <f t="shared" si="159"/>
        <v>1.6014407459018267</v>
      </c>
      <c r="BF105" s="63">
        <f t="shared" si="141"/>
        <v>1.151814996925959</v>
      </c>
      <c r="BG105" s="63">
        <f t="shared" si="142"/>
        <v>0.44962574897586777</v>
      </c>
      <c r="BH105" s="63">
        <f t="shared" si="143"/>
        <v>0.34598149578405735</v>
      </c>
      <c r="BI105" s="63">
        <f t="shared" si="160"/>
        <v>0.24596600000000002</v>
      </c>
      <c r="BJ105" s="63">
        <f t="shared" si="161"/>
        <v>1.4441174466360159E-3</v>
      </c>
      <c r="BK105" s="63">
        <f t="shared" si="162"/>
        <v>2.686973007170554E-5</v>
      </c>
      <c r="BL105" s="63">
        <f t="shared" si="163"/>
        <v>4.2357687764189524</v>
      </c>
      <c r="BQ105" s="77"/>
      <c r="BR105" s="78"/>
    </row>
    <row r="106" spans="3:70" x14ac:dyDescent="0.25">
      <c r="C106" s="61">
        <v>94</v>
      </c>
      <c r="D106" s="61">
        <f t="shared" si="103"/>
        <v>100</v>
      </c>
      <c r="E106" s="61">
        <f t="shared" si="104"/>
        <v>100</v>
      </c>
      <c r="F106" s="61">
        <f t="shared" si="105"/>
        <v>100</v>
      </c>
      <c r="G106" s="73">
        <f t="shared" si="106"/>
        <v>24</v>
      </c>
      <c r="H106" s="64">
        <f t="shared" si="107"/>
        <v>1</v>
      </c>
      <c r="I106" s="63">
        <f t="shared" si="144"/>
        <v>9.4</v>
      </c>
      <c r="J106" s="65">
        <f t="shared" si="108"/>
        <v>8.3533953124311573E-4</v>
      </c>
      <c r="K106" s="65">
        <f t="shared" si="109"/>
        <v>8.3533953124311573E-4</v>
      </c>
      <c r="L106" s="65">
        <f t="shared" si="110"/>
        <v>5.097492818882457E-3</v>
      </c>
      <c r="M106" s="65">
        <f t="shared" si="111"/>
        <v>4.0000000000000001E-3</v>
      </c>
      <c r="N106" s="63">
        <f t="shared" si="112"/>
        <v>0.98305702600379918</v>
      </c>
      <c r="O106" s="64">
        <f t="shared" si="113"/>
        <v>0.25395429187802288</v>
      </c>
      <c r="P106" s="64">
        <f t="shared" si="114"/>
        <v>9.5269771459390125</v>
      </c>
      <c r="Q106" s="64">
        <f t="shared" si="115"/>
        <v>9.2730228540609883</v>
      </c>
      <c r="R106" s="64">
        <f t="shared" si="116"/>
        <v>0</v>
      </c>
      <c r="S106" s="64">
        <f t="shared" si="117"/>
        <v>9.4002858679154162</v>
      </c>
      <c r="T106" s="63">
        <f t="shared" si="145"/>
        <v>0.45044186143436787</v>
      </c>
      <c r="U106" s="63">
        <f t="shared" si="118"/>
        <v>1.6</v>
      </c>
      <c r="V106" s="63">
        <f t="shared" si="146"/>
        <v>2.050441861434368</v>
      </c>
      <c r="W106" s="64">
        <f t="shared" si="147"/>
        <v>7.3310289388818659E-2</v>
      </c>
      <c r="X106" s="63">
        <f t="shared" si="119"/>
        <v>2.6871992651361687E-5</v>
      </c>
      <c r="Y106" s="63">
        <f t="shared" si="148"/>
        <v>2.6871992651361687E-5</v>
      </c>
      <c r="Z106" s="64">
        <f t="shared" si="120"/>
        <v>1.2131799908746221</v>
      </c>
      <c r="AA106" s="74">
        <f t="shared" si="121"/>
        <v>1.4718056902585483E-3</v>
      </c>
      <c r="AB106" s="75">
        <f t="shared" si="149"/>
        <v>1.4718056902585483E-3</v>
      </c>
      <c r="AC106" s="63">
        <f t="shared" si="122"/>
        <v>9.3203112693692507</v>
      </c>
      <c r="AD106" s="63">
        <f t="shared" si="150"/>
        <v>7.2564443270538667E-2</v>
      </c>
      <c r="AE106" s="63">
        <f t="shared" si="123"/>
        <v>9.6062515545716376E-2</v>
      </c>
      <c r="AF106" s="63">
        <f t="shared" si="124"/>
        <v>0.80192953785220644</v>
      </c>
      <c r="AG106" s="63">
        <f t="shared" si="125"/>
        <v>4.0608000000000005E-2</v>
      </c>
      <c r="AH106" s="63">
        <f t="shared" si="126"/>
        <v>0</v>
      </c>
      <c r="AI106" s="63">
        <f t="shared" si="151"/>
        <v>0.22378064516129031</v>
      </c>
      <c r="AJ106" s="63">
        <f t="shared" si="152"/>
        <v>1.1623806985592131</v>
      </c>
      <c r="AK106" s="63">
        <f t="shared" si="127"/>
        <v>1.2235898988627065</v>
      </c>
      <c r="AL106" s="63">
        <f t="shared" si="128"/>
        <v>1.2506471576520474E-3</v>
      </c>
      <c r="AM106" s="63">
        <f t="shared" si="129"/>
        <v>1.626345733145454E-3</v>
      </c>
      <c r="AN106" s="63">
        <f t="shared" si="130"/>
        <v>0.21158656593126934</v>
      </c>
      <c r="AO106" s="63">
        <f t="shared" si="131"/>
        <v>1175.3633737482012</v>
      </c>
      <c r="AP106" s="63">
        <f t="shared" si="153"/>
        <v>0.21158656593126934</v>
      </c>
      <c r="AQ106" s="61">
        <f t="shared" si="132"/>
        <v>0.46248</v>
      </c>
      <c r="AR106" s="61">
        <f t="shared" si="133"/>
        <v>50128320000</v>
      </c>
      <c r="AS106" s="61">
        <f t="shared" si="154"/>
        <v>0.46248</v>
      </c>
      <c r="AT106" s="61">
        <f t="shared" si="155"/>
        <v>0.23869935483870966</v>
      </c>
      <c r="AU106" s="63">
        <f t="shared" si="156"/>
        <v>0.45191226650312444</v>
      </c>
      <c r="AV106" s="63">
        <f t="shared" si="134"/>
        <v>0.35346149759412115</v>
      </c>
      <c r="AW106" s="63">
        <f t="shared" si="135"/>
        <v>2.9760000000000003E-3</v>
      </c>
      <c r="AX106" s="63">
        <f t="shared" si="136"/>
        <v>0.24299000000000001</v>
      </c>
      <c r="AY106" s="63">
        <f t="shared" si="137"/>
        <v>0.24596600000000002</v>
      </c>
      <c r="AZ106" s="63">
        <f t="shared" si="138"/>
        <v>4.2656610017737364</v>
      </c>
      <c r="BA106" s="64">
        <f t="shared" si="139"/>
        <v>220.9</v>
      </c>
      <c r="BB106" s="76">
        <f t="shared" si="157"/>
        <v>0.98105545498014401</v>
      </c>
      <c r="BC106" s="64">
        <f t="shared" si="158"/>
        <v>98.105545498014408</v>
      </c>
      <c r="BD106" s="63">
        <f t="shared" si="140"/>
        <v>2.050441861434368</v>
      </c>
      <c r="BE106" s="63">
        <f t="shared" si="159"/>
        <v>1.6142929650623374</v>
      </c>
      <c r="BF106" s="63">
        <f t="shared" si="141"/>
        <v>1.1623806985592131</v>
      </c>
      <c r="BG106" s="63">
        <f t="shared" si="142"/>
        <v>0.45191226650312444</v>
      </c>
      <c r="BH106" s="63">
        <f t="shared" si="143"/>
        <v>0.35346149759412115</v>
      </c>
      <c r="BI106" s="63">
        <f t="shared" si="160"/>
        <v>0.24596600000000002</v>
      </c>
      <c r="BJ106" s="63">
        <f t="shared" si="161"/>
        <v>1.4718056902585483E-3</v>
      </c>
      <c r="BK106" s="63">
        <f t="shared" si="162"/>
        <v>2.6871992651361687E-5</v>
      </c>
      <c r="BL106" s="63">
        <f t="shared" si="163"/>
        <v>4.2656610017737373</v>
      </c>
      <c r="BQ106" s="77"/>
      <c r="BR106" s="78"/>
    </row>
    <row r="107" spans="3:70" x14ac:dyDescent="0.25">
      <c r="C107" s="61">
        <v>95</v>
      </c>
      <c r="D107" s="61">
        <f t="shared" si="103"/>
        <v>100</v>
      </c>
      <c r="E107" s="61">
        <f t="shared" si="104"/>
        <v>100</v>
      </c>
      <c r="F107" s="61">
        <f t="shared" si="105"/>
        <v>100</v>
      </c>
      <c r="G107" s="73">
        <f t="shared" si="106"/>
        <v>24</v>
      </c>
      <c r="H107" s="64">
        <f t="shared" si="107"/>
        <v>1</v>
      </c>
      <c r="I107" s="63">
        <f t="shared" si="144"/>
        <v>9.5</v>
      </c>
      <c r="J107" s="65">
        <f t="shared" si="108"/>
        <v>8.3533953124311573E-4</v>
      </c>
      <c r="K107" s="65">
        <f t="shared" si="109"/>
        <v>8.3533953124311573E-4</v>
      </c>
      <c r="L107" s="65">
        <f t="shared" si="110"/>
        <v>5.097492818882457E-3</v>
      </c>
      <c r="M107" s="65">
        <f t="shared" si="111"/>
        <v>4.0000000000000001E-3</v>
      </c>
      <c r="N107" s="63">
        <f t="shared" si="112"/>
        <v>0.983098412805258</v>
      </c>
      <c r="O107" s="64">
        <f t="shared" si="113"/>
        <v>0.25396498337971563</v>
      </c>
      <c r="P107" s="64">
        <f t="shared" si="114"/>
        <v>9.6269824916898585</v>
      </c>
      <c r="Q107" s="64">
        <f t="shared" si="115"/>
        <v>9.3730175083101415</v>
      </c>
      <c r="R107" s="64">
        <f t="shared" si="116"/>
        <v>0</v>
      </c>
      <c r="S107" s="64">
        <f t="shared" si="117"/>
        <v>9.500282882686454</v>
      </c>
      <c r="T107" s="63">
        <f t="shared" si="145"/>
        <v>0.46007612516884938</v>
      </c>
      <c r="U107" s="63">
        <f t="shared" si="118"/>
        <v>1.6</v>
      </c>
      <c r="V107" s="63">
        <f t="shared" si="146"/>
        <v>2.0600761251688495</v>
      </c>
      <c r="W107" s="64">
        <f t="shared" si="147"/>
        <v>7.3313375759508831E-2</v>
      </c>
      <c r="X107" s="63">
        <f t="shared" si="119"/>
        <v>2.6874255326274684E-5</v>
      </c>
      <c r="Y107" s="63">
        <f t="shared" si="148"/>
        <v>2.6874255326274684E-5</v>
      </c>
      <c r="Z107" s="64">
        <f t="shared" si="120"/>
        <v>1.2246127584074378</v>
      </c>
      <c r="AA107" s="74">
        <f t="shared" si="121"/>
        <v>1.4996764080542734E-3</v>
      </c>
      <c r="AB107" s="75">
        <f t="shared" si="149"/>
        <v>1.4996764080542734E-3</v>
      </c>
      <c r="AC107" s="63">
        <f t="shared" si="122"/>
        <v>9.4196558197858717</v>
      </c>
      <c r="AD107" s="63">
        <f t="shared" si="150"/>
        <v>7.4119606240894226E-2</v>
      </c>
      <c r="AE107" s="63">
        <f t="shared" si="123"/>
        <v>9.8159828944940478E-2</v>
      </c>
      <c r="AF107" s="63">
        <f t="shared" si="124"/>
        <v>0.81042187124324894</v>
      </c>
      <c r="AG107" s="63">
        <f t="shared" si="125"/>
        <v>4.0608000000000005E-2</v>
      </c>
      <c r="AH107" s="63">
        <f t="shared" si="126"/>
        <v>0</v>
      </c>
      <c r="AI107" s="63">
        <f t="shared" si="151"/>
        <v>0.22378064516129031</v>
      </c>
      <c r="AJ107" s="63">
        <f t="shared" si="152"/>
        <v>1.1729703453494797</v>
      </c>
      <c r="AK107" s="63">
        <f t="shared" si="127"/>
        <v>1.2350947687685359</v>
      </c>
      <c r="AL107" s="63">
        <f t="shared" si="128"/>
        <v>1.2742762793663178E-3</v>
      </c>
      <c r="AM107" s="63">
        <f t="shared" si="129"/>
        <v>1.6570828353510213E-3</v>
      </c>
      <c r="AN107" s="63">
        <f t="shared" si="130"/>
        <v>0.21384254583124615</v>
      </c>
      <c r="AO107" s="63">
        <f t="shared" si="131"/>
        <v>1187.8953420925723</v>
      </c>
      <c r="AP107" s="63">
        <f t="shared" si="153"/>
        <v>0.21384254583124615</v>
      </c>
      <c r="AQ107" s="61">
        <f t="shared" si="132"/>
        <v>0.46248</v>
      </c>
      <c r="AR107" s="61">
        <f t="shared" si="133"/>
        <v>50128320000</v>
      </c>
      <c r="AS107" s="61">
        <f t="shared" si="154"/>
        <v>0.46248</v>
      </c>
      <c r="AT107" s="61">
        <f t="shared" si="155"/>
        <v>0.23869935483870966</v>
      </c>
      <c r="AU107" s="63">
        <f t="shared" si="156"/>
        <v>0.45419898350530685</v>
      </c>
      <c r="AV107" s="63">
        <f t="shared" si="134"/>
        <v>0.36102149940426098</v>
      </c>
      <c r="AW107" s="63">
        <f t="shared" si="135"/>
        <v>2.9760000000000003E-3</v>
      </c>
      <c r="AX107" s="63">
        <f t="shared" si="136"/>
        <v>0.24299000000000001</v>
      </c>
      <c r="AY107" s="63">
        <f t="shared" si="137"/>
        <v>0.24596600000000002</v>
      </c>
      <c r="AZ107" s="63">
        <f t="shared" si="138"/>
        <v>4.2957595040912775</v>
      </c>
      <c r="BA107" s="64">
        <f t="shared" si="139"/>
        <v>223.25</v>
      </c>
      <c r="BB107" s="76">
        <f t="shared" si="157"/>
        <v>0.98112133790823708</v>
      </c>
      <c r="BC107" s="64">
        <f t="shared" si="158"/>
        <v>98.112133790823705</v>
      </c>
      <c r="BD107" s="63">
        <f t="shared" si="140"/>
        <v>2.0600761251688495</v>
      </c>
      <c r="BE107" s="63">
        <f t="shared" si="159"/>
        <v>1.6271693288547866</v>
      </c>
      <c r="BF107" s="63">
        <f t="shared" si="141"/>
        <v>1.1729703453494797</v>
      </c>
      <c r="BG107" s="63">
        <f t="shared" si="142"/>
        <v>0.45419898350530685</v>
      </c>
      <c r="BH107" s="63">
        <f t="shared" si="143"/>
        <v>0.36102149940426098</v>
      </c>
      <c r="BI107" s="63">
        <f t="shared" si="160"/>
        <v>0.24596600000000002</v>
      </c>
      <c r="BJ107" s="63">
        <f t="shared" si="161"/>
        <v>1.4996764080542734E-3</v>
      </c>
      <c r="BK107" s="63">
        <f t="shared" si="162"/>
        <v>2.6874255326274684E-5</v>
      </c>
      <c r="BL107" s="63">
        <f t="shared" si="163"/>
        <v>4.2957595040912766</v>
      </c>
      <c r="BQ107" s="77"/>
      <c r="BR107" s="78"/>
    </row>
    <row r="108" spans="3:70" x14ac:dyDescent="0.25">
      <c r="C108" s="61">
        <v>96</v>
      </c>
      <c r="D108" s="61">
        <f t="shared" si="103"/>
        <v>100</v>
      </c>
      <c r="E108" s="61">
        <f t="shared" si="104"/>
        <v>100</v>
      </c>
      <c r="F108" s="61">
        <f t="shared" si="105"/>
        <v>100</v>
      </c>
      <c r="G108" s="73">
        <f t="shared" si="106"/>
        <v>24</v>
      </c>
      <c r="H108" s="64">
        <f t="shared" si="107"/>
        <v>1</v>
      </c>
      <c r="I108" s="63">
        <f t="shared" si="144"/>
        <v>9.6</v>
      </c>
      <c r="J108" s="65">
        <f t="shared" si="108"/>
        <v>8.3533953124311573E-4</v>
      </c>
      <c r="K108" s="65">
        <f t="shared" si="109"/>
        <v>8.3533953124311573E-4</v>
      </c>
      <c r="L108" s="65">
        <f t="shared" si="110"/>
        <v>5.097492818882457E-3</v>
      </c>
      <c r="M108" s="65">
        <f t="shared" si="111"/>
        <v>4.0000000000000001E-3</v>
      </c>
      <c r="N108" s="63">
        <f>(V.load+I108*(K108+L108+M108))/(V.supply_typ+I108*(K108-J108))</f>
        <v>0.98313979960671682</v>
      </c>
      <c r="O108" s="64">
        <f>(V.supply_typ-I.load*(J108+L108+M108)-V.load)*N108/(f.sw*L.out)</f>
        <v>0.25397567488140832</v>
      </c>
      <c r="P108" s="64">
        <f>I108+O108/2</f>
        <v>9.7269878374407046</v>
      </c>
      <c r="Q108" s="64">
        <f t="shared" si="115"/>
        <v>9.4730121625592947</v>
      </c>
      <c r="R108" s="64">
        <f>IF(MIN(V.supply_typ, -Q108/(C.oss_hs+C.oss_ls)*0.00000002)&lt;0, 0, MIN(V.supply_typ, -Q108/(C.oss_hs+C.oss_ls)*0.00000002))</f>
        <v>0</v>
      </c>
      <c r="S108" s="64">
        <f t="shared" si="117"/>
        <v>9.6002799596480148</v>
      </c>
      <c r="T108" s="63">
        <f t="shared" si="145"/>
        <v>0.46981233875980588</v>
      </c>
      <c r="U108" s="63">
        <f t="shared" si="118"/>
        <v>1.6</v>
      </c>
      <c r="V108" s="63">
        <f t="shared" si="146"/>
        <v>2.0698123387598057</v>
      </c>
      <c r="W108" s="64">
        <f t="shared" si="147"/>
        <v>7.3316462130198989E-2</v>
      </c>
      <c r="X108" s="63">
        <f>R.esrb*W108^2</f>
        <v>2.6876518096444515E-5</v>
      </c>
      <c r="Y108" s="63">
        <f t="shared" si="148"/>
        <v>2.6876518096444515E-5</v>
      </c>
      <c r="Z108" s="64">
        <f t="shared" si="120"/>
        <v>1.2360126137844518</v>
      </c>
      <c r="AA108" s="74">
        <f>R.esr_cin*Z108^2</f>
        <v>1.5277271814342725E-3</v>
      </c>
      <c r="AB108" s="75">
        <f t="shared" si="149"/>
        <v>1.5277271814342725E-3</v>
      </c>
      <c r="AC108" s="63">
        <f t="shared" si="122"/>
        <v>9.5190046016733341</v>
      </c>
      <c r="AD108" s="63">
        <f t="shared" si="150"/>
        <v>7.5691325004362167E-2</v>
      </c>
      <c r="AE108" s="63">
        <f>AD108*(1+TC_rdson_hs*(T.amb-25))/(1-AD108*TC_rdson_hs*theta.ja_hs)</f>
        <v>0.10028114486210751</v>
      </c>
      <c r="AF108" s="63">
        <f t="shared" si="124"/>
        <v>0.81891420463429121</v>
      </c>
      <c r="AG108" s="63">
        <f t="shared" si="125"/>
        <v>4.0608000000000005E-2</v>
      </c>
      <c r="AH108" s="63">
        <f t="shared" si="126"/>
        <v>0</v>
      </c>
      <c r="AI108" s="63">
        <f t="shared" si="151"/>
        <v>0.22378064516129031</v>
      </c>
      <c r="AJ108" s="63">
        <f t="shared" si="152"/>
        <v>1.1835839946576889</v>
      </c>
      <c r="AK108" s="63">
        <f t="shared" si="127"/>
        <v>1.2465659617289304</v>
      </c>
      <c r="AL108" s="63">
        <f>K108*AK108^2</f>
        <v>1.2980563986090027E-3</v>
      </c>
      <c r="AM108" s="63">
        <f>AL108*(1+TC_rdson_ls*(T.amb-25))/(1-AL108*TC_rdson_ls*theta.ja_ls)</f>
        <v>1.6880167211363493E-3</v>
      </c>
      <c r="AN108" s="63">
        <f t="shared" si="130"/>
        <v>0.21609852573122296</v>
      </c>
      <c r="AO108" s="63">
        <f t="shared" si="131"/>
        <v>1200.4273104369436</v>
      </c>
      <c r="AP108" s="63">
        <f t="shared" si="153"/>
        <v>0.21609852573122296</v>
      </c>
      <c r="AQ108" s="61">
        <f t="shared" si="132"/>
        <v>0.46248</v>
      </c>
      <c r="AR108" s="61">
        <f t="shared" si="133"/>
        <v>50128320000</v>
      </c>
      <c r="AS108" s="61">
        <f t="shared" si="154"/>
        <v>0.46248</v>
      </c>
      <c r="AT108" s="61">
        <f t="shared" si="155"/>
        <v>0.23869935483870966</v>
      </c>
      <c r="AU108" s="63">
        <f t="shared" si="156"/>
        <v>0.45648589729106898</v>
      </c>
      <c r="AV108" s="63">
        <f t="shared" si="134"/>
        <v>0.36866150121447716</v>
      </c>
      <c r="AW108" s="63">
        <f t="shared" si="135"/>
        <v>2.9760000000000003E-3</v>
      </c>
      <c r="AX108" s="63">
        <f t="shared" si="136"/>
        <v>0.24299000000000001</v>
      </c>
      <c r="AY108" s="63">
        <f>SUM(AW108:AX108)</f>
        <v>0.24596600000000002</v>
      </c>
      <c r="AZ108" s="63">
        <f>V108+Y108+AB108+AJ108+AU108+AV108+AY108</f>
        <v>4.3260643356225721</v>
      </c>
      <c r="BA108" s="64">
        <f t="shared" si="139"/>
        <v>225.6</v>
      </c>
      <c r="BB108" s="76">
        <f t="shared" si="157"/>
        <v>0.98118497636132362</v>
      </c>
      <c r="BC108" s="64">
        <f t="shared" si="158"/>
        <v>98.118497636132361</v>
      </c>
      <c r="BD108" s="63">
        <f t="shared" si="140"/>
        <v>2.0698123387598057</v>
      </c>
      <c r="BE108" s="63">
        <f t="shared" si="159"/>
        <v>1.640069891948758</v>
      </c>
      <c r="BF108" s="63">
        <f t="shared" si="141"/>
        <v>1.1835839946576889</v>
      </c>
      <c r="BG108" s="63">
        <f t="shared" si="142"/>
        <v>0.45648589729106898</v>
      </c>
      <c r="BH108" s="63">
        <f t="shared" si="143"/>
        <v>0.36866150121447716</v>
      </c>
      <c r="BI108" s="63">
        <f t="shared" si="160"/>
        <v>0.24596600000000002</v>
      </c>
      <c r="BJ108" s="63">
        <f t="shared" si="161"/>
        <v>1.5277271814342725E-3</v>
      </c>
      <c r="BK108" s="63">
        <f t="shared" si="162"/>
        <v>2.6876518096444515E-5</v>
      </c>
      <c r="BL108" s="63">
        <f t="shared" si="163"/>
        <v>4.3260643356225721</v>
      </c>
      <c r="BQ108" s="77"/>
      <c r="BR108" s="78"/>
    </row>
    <row r="109" spans="3:70" x14ac:dyDescent="0.25">
      <c r="C109" s="61">
        <v>97</v>
      </c>
      <c r="D109" s="61">
        <f t="shared" si="103"/>
        <v>100</v>
      </c>
      <c r="E109" s="61">
        <f t="shared" si="104"/>
        <v>100</v>
      </c>
      <c r="F109" s="61">
        <f t="shared" si="105"/>
        <v>100</v>
      </c>
      <c r="G109" s="73">
        <f t="shared" si="106"/>
        <v>24</v>
      </c>
      <c r="H109" s="64">
        <f t="shared" si="107"/>
        <v>1</v>
      </c>
      <c r="I109" s="63">
        <f t="shared" si="144"/>
        <v>9.6999999999999993</v>
      </c>
      <c r="J109" s="65">
        <f t="shared" si="108"/>
        <v>8.3533953124311573E-4</v>
      </c>
      <c r="K109" s="65">
        <f t="shared" si="109"/>
        <v>8.3533953124311573E-4</v>
      </c>
      <c r="L109" s="65">
        <f t="shared" si="110"/>
        <v>5.097492818882457E-3</v>
      </c>
      <c r="M109" s="65">
        <f t="shared" si="111"/>
        <v>4.0000000000000001E-3</v>
      </c>
      <c r="N109" s="63">
        <f>(V.load+I109*(K109+L109+M109))/(V.supply_typ+I109*(K109-J109))</f>
        <v>0.98318118640817576</v>
      </c>
      <c r="O109" s="64">
        <f>(V.supply_typ-I.load*(J109+L109+M109)-V.load)*N109/(f.sw*L.out)</f>
        <v>0.25398636638310113</v>
      </c>
      <c r="P109" s="64">
        <f>I109+O109/2</f>
        <v>9.8269931831915507</v>
      </c>
      <c r="Q109" s="64">
        <f t="shared" si="115"/>
        <v>9.5730068168084479</v>
      </c>
      <c r="R109" s="64">
        <f>IF(MIN(V.supply_typ, -Q109/(C.oss_hs+C.oss_ls)*0.00000002)&lt;0, 0, MIN(V.supply_typ, -Q109/(C.oss_hs+C.oss_ls)*0.00000002))</f>
        <v>0</v>
      </c>
      <c r="S109" s="64">
        <f t="shared" si="117"/>
        <v>9.7002770968767873</v>
      </c>
      <c r="T109" s="63">
        <f t="shared" si="145"/>
        <v>0.47965050220723698</v>
      </c>
      <c r="U109" s="63">
        <f t="shared" si="118"/>
        <v>1.6</v>
      </c>
      <c r="V109" s="63">
        <f t="shared" si="146"/>
        <v>2.0796505022072371</v>
      </c>
      <c r="W109" s="64">
        <f t="shared" si="147"/>
        <v>7.3319548500889176E-2</v>
      </c>
      <c r="X109" s="63">
        <f>R.esrb*W109^2</f>
        <v>2.6878780961871204E-5</v>
      </c>
      <c r="Y109" s="63">
        <f t="shared" si="148"/>
        <v>2.6878780961871204E-5</v>
      </c>
      <c r="Z109" s="64">
        <f t="shared" si="120"/>
        <v>1.2473794897297787</v>
      </c>
      <c r="AA109" s="74">
        <f>R.esr_cin*Z109^2</f>
        <v>1.5559555913985232E-3</v>
      </c>
      <c r="AB109" s="75">
        <f t="shared" si="149"/>
        <v>1.5559555913985232E-3</v>
      </c>
      <c r="AC109" s="63">
        <f t="shared" si="122"/>
        <v>9.6183576129969452</v>
      </c>
      <c r="AD109" s="63">
        <f t="shared" si="150"/>
        <v>7.7279601635264344E-2</v>
      </c>
      <c r="AE109" s="63">
        <f>AD109*(1+TC_rdson_hs*(T.amb-25))/(1-AD109*TC_rdson_hs*theta.ja_hs)</f>
        <v>0.10242652135613101</v>
      </c>
      <c r="AF109" s="63">
        <f t="shared" si="124"/>
        <v>0.82740653802533348</v>
      </c>
      <c r="AG109" s="63">
        <f t="shared" si="125"/>
        <v>4.0608000000000005E-2</v>
      </c>
      <c r="AH109" s="63">
        <f t="shared" si="126"/>
        <v>0</v>
      </c>
      <c r="AI109" s="63">
        <f t="shared" si="151"/>
        <v>0.22378064516129031</v>
      </c>
      <c r="AJ109" s="63">
        <f t="shared" si="152"/>
        <v>1.1942217045427548</v>
      </c>
      <c r="AK109" s="63">
        <f t="shared" si="127"/>
        <v>1.2580034120367312</v>
      </c>
      <c r="AL109" s="63">
        <f>K109*AK109^2</f>
        <v>1.3219854410582109E-3</v>
      </c>
      <c r="AM109" s="63">
        <f>AL109*(1+TC_rdson_ls*(T.amb-25))/(1-AL109*TC_rdson_ls*theta.ja_ls)</f>
        <v>1.7191446990729596E-3</v>
      </c>
      <c r="AN109" s="63">
        <f t="shared" si="130"/>
        <v>0.21835450563119974</v>
      </c>
      <c r="AO109" s="63">
        <f t="shared" si="131"/>
        <v>1212.9592787813144</v>
      </c>
      <c r="AP109" s="63">
        <f t="shared" si="153"/>
        <v>0.21835450563119974</v>
      </c>
      <c r="AQ109" s="61">
        <f t="shared" si="132"/>
        <v>0.46248</v>
      </c>
      <c r="AR109" s="61">
        <f t="shared" si="133"/>
        <v>50128320000</v>
      </c>
      <c r="AS109" s="61">
        <f t="shared" si="154"/>
        <v>0.46248</v>
      </c>
      <c r="AT109" s="61">
        <f t="shared" si="155"/>
        <v>0.23869935483870966</v>
      </c>
      <c r="AU109" s="63">
        <f t="shared" si="156"/>
        <v>0.45877300516898234</v>
      </c>
      <c r="AV109" s="63">
        <f t="shared" si="134"/>
        <v>0.37638150302476941</v>
      </c>
      <c r="AW109" s="63">
        <f t="shared" si="135"/>
        <v>2.9760000000000003E-3</v>
      </c>
      <c r="AX109" s="63">
        <f t="shared" si="136"/>
        <v>0.24299000000000001</v>
      </c>
      <c r="AY109" s="63">
        <f>SUM(AW109:AX109)</f>
        <v>0.24596600000000002</v>
      </c>
      <c r="AZ109" s="63">
        <f>V109+Y109+AB109+AJ109+AU109+AV109+AY109</f>
        <v>4.3565755493161049</v>
      </c>
      <c r="BA109" s="64">
        <f t="shared" si="139"/>
        <v>227.95</v>
      </c>
      <c r="BB109" s="76">
        <f t="shared" si="157"/>
        <v>0.98124643893951569</v>
      </c>
      <c r="BC109" s="64">
        <f t="shared" si="158"/>
        <v>98.124643893951571</v>
      </c>
      <c r="BD109" s="63">
        <f t="shared" si="140"/>
        <v>2.0796505022072371</v>
      </c>
      <c r="BE109" s="63">
        <f t="shared" si="159"/>
        <v>1.652994709711737</v>
      </c>
      <c r="BF109" s="63">
        <f t="shared" si="141"/>
        <v>1.1942217045427548</v>
      </c>
      <c r="BG109" s="63">
        <f t="shared" si="142"/>
        <v>0.45877300516898234</v>
      </c>
      <c r="BH109" s="63">
        <f t="shared" si="143"/>
        <v>0.37638150302476941</v>
      </c>
      <c r="BI109" s="63">
        <f t="shared" si="160"/>
        <v>0.24596600000000002</v>
      </c>
      <c r="BJ109" s="63">
        <f t="shared" si="161"/>
        <v>1.5559555913985232E-3</v>
      </c>
      <c r="BK109" s="63">
        <f t="shared" si="162"/>
        <v>2.6878780961871204E-5</v>
      </c>
      <c r="BL109" s="63">
        <f t="shared" si="163"/>
        <v>4.3565755493161049</v>
      </c>
      <c r="BQ109" s="77"/>
      <c r="BR109" s="78"/>
    </row>
    <row r="110" spans="3:70" x14ac:dyDescent="0.25">
      <c r="C110" s="61">
        <v>98</v>
      </c>
      <c r="D110" s="61">
        <f t="shared" si="103"/>
        <v>100</v>
      </c>
      <c r="E110" s="61">
        <f t="shared" si="104"/>
        <v>100</v>
      </c>
      <c r="F110" s="61">
        <f t="shared" si="105"/>
        <v>100</v>
      </c>
      <c r="G110" s="73">
        <f t="shared" si="106"/>
        <v>24</v>
      </c>
      <c r="H110" s="64">
        <f t="shared" si="107"/>
        <v>1</v>
      </c>
      <c r="I110" s="63">
        <f t="shared" si="144"/>
        <v>9.8000000000000007</v>
      </c>
      <c r="J110" s="65">
        <f t="shared" si="108"/>
        <v>8.3533953124311573E-4</v>
      </c>
      <c r="K110" s="65">
        <f t="shared" si="109"/>
        <v>8.3533953124311573E-4</v>
      </c>
      <c r="L110" s="65">
        <f t="shared" si="110"/>
        <v>5.097492818882457E-3</v>
      </c>
      <c r="M110" s="65">
        <f t="shared" si="111"/>
        <v>4.0000000000000001E-3</v>
      </c>
      <c r="N110" s="63">
        <f>(V.load+I110*(K110+L110+M110))/(V.supply_typ+I110*(K110-J110))</f>
        <v>0.98322257320963458</v>
      </c>
      <c r="O110" s="64">
        <f>(V.supply_typ-I.load*(J110+L110+M110)-V.load)*N110/(f.sw*L.out)</f>
        <v>0.25399705788479382</v>
      </c>
      <c r="P110" s="64">
        <f>I110+O110/2</f>
        <v>9.9269985289423968</v>
      </c>
      <c r="Q110" s="64">
        <f t="shared" si="115"/>
        <v>9.6730014710576047</v>
      </c>
      <c r="R110" s="64">
        <f>IF(MIN(V.supply_typ, -Q110/(C.oss_hs+C.oss_ls)*0.00000002)&lt;0, 0, MIN(V.supply_typ, -Q110/(C.oss_hs+C.oss_ls)*0.00000002))</f>
        <v>0</v>
      </c>
      <c r="S110" s="64">
        <f t="shared" si="117"/>
        <v>9.8002742925279662</v>
      </c>
      <c r="T110" s="63">
        <f t="shared" si="145"/>
        <v>0.48959061551114313</v>
      </c>
      <c r="U110" s="63">
        <f t="shared" si="118"/>
        <v>1.6</v>
      </c>
      <c r="V110" s="63">
        <f t="shared" si="146"/>
        <v>2.0895906155111432</v>
      </c>
      <c r="W110" s="64">
        <f t="shared" si="147"/>
        <v>7.3322634871579334E-2</v>
      </c>
      <c r="X110" s="63">
        <f>R.esrb*W110^2</f>
        <v>2.688104392255471E-5</v>
      </c>
      <c r="Y110" s="63">
        <f t="shared" si="148"/>
        <v>2.688104392255471E-5</v>
      </c>
      <c r="Z110" s="64">
        <f t="shared" si="120"/>
        <v>1.2587133186456509</v>
      </c>
      <c r="AA110" s="74">
        <f>R.esr_cin*Z110^2</f>
        <v>1.584359218535948E-3</v>
      </c>
      <c r="AB110" s="75">
        <f t="shared" si="149"/>
        <v>1.584359218535948E-3</v>
      </c>
      <c r="AC110" s="63">
        <f t="shared" si="122"/>
        <v>9.7177148517997036</v>
      </c>
      <c r="AD110" s="63">
        <f t="shared" si="150"/>
        <v>7.888443820792268E-2</v>
      </c>
      <c r="AE110" s="63">
        <f>AD110*(1+TC_rdson_hs*(T.amb-25))/(1-AD110*TC_rdson_hs*theta.ja_hs)</f>
        <v>0.10459601718785268</v>
      </c>
      <c r="AF110" s="63">
        <f t="shared" si="124"/>
        <v>0.83589887141637598</v>
      </c>
      <c r="AG110" s="63">
        <f t="shared" si="125"/>
        <v>4.0608000000000005E-2</v>
      </c>
      <c r="AH110" s="63">
        <f t="shared" si="126"/>
        <v>0</v>
      </c>
      <c r="AI110" s="63">
        <f t="shared" si="151"/>
        <v>0.22378064516129031</v>
      </c>
      <c r="AJ110" s="63">
        <f t="shared" si="152"/>
        <v>1.204883533765519</v>
      </c>
      <c r="AK110" s="63">
        <f t="shared" si="127"/>
        <v>1.2694070536656032</v>
      </c>
      <c r="AL110" s="63">
        <f>K110*AK110^2</f>
        <v>1.3460613323920782E-3</v>
      </c>
      <c r="AM110" s="63">
        <f>AL110*(1+TC_rdson_ls*(T.amb-25))/(1-AL110*TC_rdson_ls*theta.ja_ls)</f>
        <v>1.7504640776478501E-3</v>
      </c>
      <c r="AN110" s="63">
        <f t="shared" si="130"/>
        <v>0.22061048553117663</v>
      </c>
      <c r="AO110" s="63">
        <f t="shared" si="131"/>
        <v>1225.4912471256862</v>
      </c>
      <c r="AP110" s="63">
        <f t="shared" si="153"/>
        <v>0.22061048553117663</v>
      </c>
      <c r="AQ110" s="61">
        <f t="shared" si="132"/>
        <v>0.46248</v>
      </c>
      <c r="AR110" s="61">
        <f t="shared" si="133"/>
        <v>50128320000</v>
      </c>
      <c r="AS110" s="61">
        <f t="shared" si="154"/>
        <v>0.46248</v>
      </c>
      <c r="AT110" s="61">
        <f t="shared" si="155"/>
        <v>0.23869935483870966</v>
      </c>
      <c r="AU110" s="63">
        <f t="shared" si="156"/>
        <v>0.4610603044475341</v>
      </c>
      <c r="AV110" s="63">
        <f t="shared" si="134"/>
        <v>0.38418150483513813</v>
      </c>
      <c r="AW110" s="63">
        <f t="shared" si="135"/>
        <v>2.9760000000000003E-3</v>
      </c>
      <c r="AX110" s="63">
        <f t="shared" si="136"/>
        <v>0.24299000000000001</v>
      </c>
      <c r="AY110" s="63">
        <f>SUM(AW110:AX110)</f>
        <v>0.24596600000000002</v>
      </c>
      <c r="AZ110" s="63">
        <f>V110+Y110+AB110+AJ110+AU110+AV110+AY110</f>
        <v>4.3872931988217934</v>
      </c>
      <c r="BA110" s="64">
        <f t="shared" si="139"/>
        <v>230.3</v>
      </c>
      <c r="BB110" s="76">
        <f t="shared" si="157"/>
        <v>0.98130579146820285</v>
      </c>
      <c r="BC110" s="64">
        <f t="shared" si="158"/>
        <v>98.130579146820281</v>
      </c>
      <c r="BD110" s="63">
        <f t="shared" si="140"/>
        <v>2.0895906155111432</v>
      </c>
      <c r="BE110" s="63">
        <f t="shared" si="159"/>
        <v>1.6659438382130531</v>
      </c>
      <c r="BF110" s="63">
        <f t="shared" si="141"/>
        <v>1.204883533765519</v>
      </c>
      <c r="BG110" s="63">
        <f t="shared" si="142"/>
        <v>0.4610603044475341</v>
      </c>
      <c r="BH110" s="63">
        <f t="shared" si="143"/>
        <v>0.38418150483513813</v>
      </c>
      <c r="BI110" s="63">
        <f t="shared" si="160"/>
        <v>0.24596600000000002</v>
      </c>
      <c r="BJ110" s="63">
        <f t="shared" si="161"/>
        <v>1.584359218535948E-3</v>
      </c>
      <c r="BK110" s="63">
        <f t="shared" si="162"/>
        <v>2.688104392255471E-5</v>
      </c>
      <c r="BL110" s="63">
        <f t="shared" si="163"/>
        <v>4.3872931988217934</v>
      </c>
      <c r="BQ110" s="77"/>
      <c r="BR110" s="78"/>
    </row>
    <row r="111" spans="3:70" x14ac:dyDescent="0.25">
      <c r="C111" s="61">
        <v>99</v>
      </c>
      <c r="D111" s="61">
        <f t="shared" si="103"/>
        <v>100</v>
      </c>
      <c r="E111" s="61">
        <f t="shared" si="104"/>
        <v>100</v>
      </c>
      <c r="F111" s="61">
        <f t="shared" si="105"/>
        <v>100</v>
      </c>
      <c r="G111" s="73">
        <f t="shared" si="106"/>
        <v>24</v>
      </c>
      <c r="H111" s="64">
        <f t="shared" si="107"/>
        <v>1</v>
      </c>
      <c r="I111" s="63">
        <f t="shared" si="144"/>
        <v>9.9</v>
      </c>
      <c r="J111" s="65">
        <f t="shared" si="108"/>
        <v>8.3533953124311573E-4</v>
      </c>
      <c r="K111" s="65">
        <f t="shared" si="109"/>
        <v>8.3533953124311573E-4</v>
      </c>
      <c r="L111" s="65">
        <f t="shared" si="110"/>
        <v>5.097492818882457E-3</v>
      </c>
      <c r="M111" s="65">
        <f t="shared" si="111"/>
        <v>4.0000000000000001E-3</v>
      </c>
      <c r="N111" s="63">
        <f>(V.load+I111*(K111+L111+M111))/(V.supply_typ+I111*(K111-J111))</f>
        <v>0.9832639600110934</v>
      </c>
      <c r="O111" s="64">
        <f>(V.supply_typ-I.load*(J111+L111+M111)-V.load)*N111/(f.sw*L.out)</f>
        <v>0.25400774938648657</v>
      </c>
      <c r="P111" s="64">
        <f>I111+O111/2</f>
        <v>10.027003874693243</v>
      </c>
      <c r="Q111" s="64">
        <f t="shared" si="115"/>
        <v>9.7729961253067579</v>
      </c>
      <c r="R111" s="64">
        <f>IF(MIN(V.supply_typ, -Q111/(C.oss_hs+C.oss_ls)*0.00000002)&lt;0, 0, MIN(V.supply_typ, -Q111/(C.oss_hs+C.oss_ls)*0.00000002))</f>
        <v>0</v>
      </c>
      <c r="S111" s="64">
        <f t="shared" si="117"/>
        <v>9.9002715448312681</v>
      </c>
      <c r="T111" s="63">
        <f t="shared" si="145"/>
        <v>0.49963267867152378</v>
      </c>
      <c r="U111" s="63">
        <f t="shared" si="118"/>
        <v>1.6</v>
      </c>
      <c r="V111" s="63">
        <f t="shared" si="146"/>
        <v>2.099632678671524</v>
      </c>
      <c r="W111" s="64">
        <f t="shared" si="147"/>
        <v>7.332572124226952E-2</v>
      </c>
      <c r="X111" s="63">
        <f>R.esrb*W111^2</f>
        <v>2.688330697849508E-5</v>
      </c>
      <c r="Y111" s="63">
        <f t="shared" si="148"/>
        <v>2.688330697849508E-5</v>
      </c>
      <c r="Z111" s="64">
        <f t="shared" si="120"/>
        <v>1.2700140326092266</v>
      </c>
      <c r="AA111" s="74">
        <f>R.esr_cin*Z111^2</f>
        <v>1.6129356430243497E-3</v>
      </c>
      <c r="AB111" s="75">
        <f t="shared" si="149"/>
        <v>1.6129356430243497E-3</v>
      </c>
      <c r="AC111" s="63">
        <f t="shared" si="122"/>
        <v>9.8170763161983636</v>
      </c>
      <c r="AD111" s="63">
        <f t="shared" si="150"/>
        <v>8.0505836796658986E-2</v>
      </c>
      <c r="AE111" s="63">
        <f>AD111*(1+TC_rdson_hs*(T.amb-25))/(1-AD111*TC_rdson_hs*theta.ja_hs)</f>
        <v>0.10678969182404152</v>
      </c>
      <c r="AF111" s="63">
        <f t="shared" si="124"/>
        <v>0.84439120480741825</v>
      </c>
      <c r="AG111" s="63">
        <f t="shared" si="125"/>
        <v>4.0608000000000005E-2</v>
      </c>
      <c r="AH111" s="63">
        <f t="shared" si="126"/>
        <v>0</v>
      </c>
      <c r="AI111" s="63">
        <f t="shared" si="151"/>
        <v>0.22378064516129031</v>
      </c>
      <c r="AJ111" s="63">
        <f t="shared" si="152"/>
        <v>1.2155695417927501</v>
      </c>
      <c r="AK111" s="63">
        <f t="shared" si="127"/>
        <v>1.2807768202668495</v>
      </c>
      <c r="AL111" s="63">
        <f>K111*AK111^2</f>
        <v>1.3702819982887126E-3</v>
      </c>
      <c r="AM111" s="63">
        <f>AL111*(1+TC_rdson_ls*(T.amb-25))/(1-AL111*TC_rdson_ls*theta.ja_ls)</f>
        <v>1.7819721652614449E-3</v>
      </c>
      <c r="AN111" s="63">
        <f t="shared" si="130"/>
        <v>0.22286646543115346</v>
      </c>
      <c r="AO111" s="63">
        <f t="shared" si="131"/>
        <v>1238.0232154700575</v>
      </c>
      <c r="AP111" s="63">
        <f t="shared" si="153"/>
        <v>0.22286646543115346</v>
      </c>
      <c r="AQ111" s="61">
        <f t="shared" si="132"/>
        <v>0.46248</v>
      </c>
      <c r="AR111" s="61">
        <f t="shared" si="133"/>
        <v>50128320000</v>
      </c>
      <c r="AS111" s="61">
        <f t="shared" si="154"/>
        <v>0.46248</v>
      </c>
      <c r="AT111" s="61">
        <f t="shared" si="155"/>
        <v>0.23869935483870966</v>
      </c>
      <c r="AU111" s="63">
        <f t="shared" si="156"/>
        <v>0.46334779243512458</v>
      </c>
      <c r="AV111" s="63">
        <f t="shared" si="134"/>
        <v>0.39206150664558281</v>
      </c>
      <c r="AW111" s="63">
        <f t="shared" si="135"/>
        <v>2.9760000000000003E-3</v>
      </c>
      <c r="AX111" s="63">
        <f t="shared" si="136"/>
        <v>0.24299000000000001</v>
      </c>
      <c r="AY111" s="63">
        <f>SUM(AW111:AX111)</f>
        <v>0.24596600000000002</v>
      </c>
      <c r="AZ111" s="63">
        <f>V111+Y111+AB111+AJ111+AU111+AV111+AY111</f>
        <v>4.4182173384949843</v>
      </c>
      <c r="BA111" s="64">
        <f t="shared" si="139"/>
        <v>232.65</v>
      </c>
      <c r="BB111" s="76">
        <f t="shared" si="157"/>
        <v>0.98136309713677683</v>
      </c>
      <c r="BC111" s="64">
        <f t="shared" si="158"/>
        <v>98.13630971367769</v>
      </c>
      <c r="BD111" s="63">
        <f t="shared" si="140"/>
        <v>2.099632678671524</v>
      </c>
      <c r="BE111" s="63">
        <f t="shared" si="159"/>
        <v>1.6789173342278747</v>
      </c>
      <c r="BF111" s="63">
        <f t="shared" si="141"/>
        <v>1.2155695417927501</v>
      </c>
      <c r="BG111" s="63">
        <f t="shared" si="142"/>
        <v>0.46334779243512458</v>
      </c>
      <c r="BH111" s="63">
        <f t="shared" si="143"/>
        <v>0.39206150664558281</v>
      </c>
      <c r="BI111" s="63">
        <f t="shared" si="160"/>
        <v>0.24596600000000002</v>
      </c>
      <c r="BJ111" s="63">
        <f t="shared" si="161"/>
        <v>1.6129356430243497E-3</v>
      </c>
      <c r="BK111" s="63">
        <f t="shared" si="162"/>
        <v>2.688330697849508E-5</v>
      </c>
      <c r="BL111" s="63">
        <f t="shared" si="163"/>
        <v>4.4182173384949852</v>
      </c>
      <c r="BQ111" s="77"/>
      <c r="BR111" s="78"/>
    </row>
    <row r="112" spans="3:70" s="81" customFormat="1" ht="15.6" x14ac:dyDescent="0.3">
      <c r="C112" s="81">
        <v>100</v>
      </c>
      <c r="D112" s="61">
        <f t="shared" si="103"/>
        <v>100</v>
      </c>
      <c r="E112" s="61">
        <f t="shared" si="104"/>
        <v>100</v>
      </c>
      <c r="F112" s="61">
        <f t="shared" si="105"/>
        <v>100</v>
      </c>
      <c r="G112" s="89">
        <f t="shared" si="106"/>
        <v>24</v>
      </c>
      <c r="H112" s="85">
        <f t="shared" si="107"/>
        <v>1</v>
      </c>
      <c r="I112" s="86">
        <f t="shared" si="144"/>
        <v>10</v>
      </c>
      <c r="J112" s="90">
        <f t="shared" si="108"/>
        <v>8.3533953124311573E-4</v>
      </c>
      <c r="K112" s="90">
        <f t="shared" si="109"/>
        <v>8.3533953124311573E-4</v>
      </c>
      <c r="L112" s="90">
        <f t="shared" si="110"/>
        <v>5.097492818882457E-3</v>
      </c>
      <c r="M112" s="90">
        <f t="shared" si="111"/>
        <v>4.0000000000000001E-3</v>
      </c>
      <c r="N112" s="86">
        <f>(V.load+I112*(K112+L112+M112))/(V.supply_typ+I112*(K112-J112))</f>
        <v>0.98330534681255222</v>
      </c>
      <c r="O112" s="85">
        <f>(V.supply_typ-I.load*(J112+L112+M112)-V.load)*N112/(f.sw*L.out)</f>
        <v>0.25401844088817926</v>
      </c>
      <c r="P112" s="85">
        <f>I112+O112/2</f>
        <v>10.127009220444089</v>
      </c>
      <c r="Q112" s="85">
        <f t="shared" si="115"/>
        <v>9.8729907795559111</v>
      </c>
      <c r="R112" s="85">
        <f>IF(MIN(V.supply_typ, -Q112/(C.oss_hs+C.oss_ls)*0.00000002)&lt;0, 0, MIN(V.supply_typ, -Q112/(C.oss_hs+C.oss_ls)*0.00000002))</f>
        <v>0</v>
      </c>
      <c r="S112" s="85">
        <f t="shared" si="117"/>
        <v>10.000268852087224</v>
      </c>
      <c r="T112" s="86">
        <f t="shared" si="145"/>
        <v>0.50977669168837914</v>
      </c>
      <c r="U112" s="86">
        <f t="shared" si="118"/>
        <v>1.6</v>
      </c>
      <c r="V112" s="94">
        <f t="shared" si="146"/>
        <v>2.1097766916883791</v>
      </c>
      <c r="W112" s="85">
        <f t="shared" si="147"/>
        <v>7.3328807612959679E-2</v>
      </c>
      <c r="X112" s="86">
        <f>R.esrb*W112^2</f>
        <v>2.6885570129692267E-5</v>
      </c>
      <c r="Y112" s="94">
        <f t="shared" si="148"/>
        <v>2.6885570129692267E-5</v>
      </c>
      <c r="Z112" s="85">
        <f t="shared" si="120"/>
        <v>1.281281563369447</v>
      </c>
      <c r="AA112" s="88">
        <f>R.esr_cin*Z112^2</f>
        <v>1.6416824446304542E-3</v>
      </c>
      <c r="AB112" s="95">
        <f t="shared" si="149"/>
        <v>1.6416824446304542E-3</v>
      </c>
      <c r="AC112" s="86">
        <f t="shared" si="122"/>
        <v>9.9164420043797623</v>
      </c>
      <c r="AD112" s="86">
        <f t="shared" si="150"/>
        <v>8.2143799475795184E-2</v>
      </c>
      <c r="AE112" s="86">
        <f>AD112*(1+TC_rdson_hs*(T.amb-25))/(1-AD112*TC_rdson_hs*theta.ja_hs)</f>
        <v>0.10900760544144802</v>
      </c>
      <c r="AF112" s="86">
        <f t="shared" si="124"/>
        <v>0.85288353819846063</v>
      </c>
      <c r="AG112" s="86">
        <f t="shared" si="125"/>
        <v>4.0608000000000005E-2</v>
      </c>
      <c r="AH112" s="86">
        <f t="shared" si="126"/>
        <v>0</v>
      </c>
      <c r="AI112" s="63">
        <f t="shared" si="151"/>
        <v>0.22378064516129031</v>
      </c>
      <c r="AJ112" s="83">
        <f t="shared" si="152"/>
        <v>1.2262797888011989</v>
      </c>
      <c r="AK112" s="86">
        <f t="shared" si="127"/>
        <v>1.2921126451662759</v>
      </c>
      <c r="AL112" s="86">
        <f>K112*AK112^2</f>
        <v>1.3946453644262335E-3</v>
      </c>
      <c r="AM112" s="86">
        <f>AL112*(1+TC_rdson_ls*(T.amb-25))/(1-AL112*TC_rdson_ls*theta.ja_ls)</f>
        <v>1.8136662702256873E-3</v>
      </c>
      <c r="AN112" s="86">
        <f t="shared" si="130"/>
        <v>0.22512244533113024</v>
      </c>
      <c r="AO112" s="86">
        <f t="shared" si="131"/>
        <v>1250.5551838144283</v>
      </c>
      <c r="AP112" s="86">
        <f t="shared" si="153"/>
        <v>0.22512244533113024</v>
      </c>
      <c r="AQ112" s="81">
        <f t="shared" si="132"/>
        <v>0.46248</v>
      </c>
      <c r="AR112" s="81">
        <f t="shared" si="133"/>
        <v>50128320000</v>
      </c>
      <c r="AS112" s="81">
        <f t="shared" si="154"/>
        <v>0.46248</v>
      </c>
      <c r="AT112" s="61">
        <f t="shared" si="155"/>
        <v>0.23869935483870966</v>
      </c>
      <c r="AU112" s="83">
        <f t="shared" si="156"/>
        <v>0.46563546644006559</v>
      </c>
      <c r="AV112" s="94">
        <f t="shared" si="134"/>
        <v>0.40002150845610368</v>
      </c>
      <c r="AW112" s="86">
        <f t="shared" si="135"/>
        <v>2.9760000000000003E-3</v>
      </c>
      <c r="AX112" s="86">
        <f t="shared" si="136"/>
        <v>0.24299000000000001</v>
      </c>
      <c r="AY112" s="94">
        <f>SUM(AW112:AX112)</f>
        <v>0.24596600000000002</v>
      </c>
      <c r="AZ112" s="94">
        <f>V112+Y112+AB112+AJ112+AU112+AV112+AY112</f>
        <v>4.4493480234005078</v>
      </c>
      <c r="BA112" s="85">
        <f t="shared" si="139"/>
        <v>235</v>
      </c>
      <c r="BB112" s="96">
        <f t="shared" si="157"/>
        <v>0.98141841662911644</v>
      </c>
      <c r="BC112" s="79">
        <f t="shared" si="158"/>
        <v>98.141841662911645</v>
      </c>
      <c r="BD112" s="80">
        <f t="shared" si="140"/>
        <v>2.1097766916883791</v>
      </c>
      <c r="BE112" s="80">
        <f t="shared" si="159"/>
        <v>1.6919152552412644</v>
      </c>
      <c r="BF112" s="80">
        <f t="shared" si="141"/>
        <v>1.2262797888011989</v>
      </c>
      <c r="BG112" s="80">
        <f t="shared" si="142"/>
        <v>0.46563546644006559</v>
      </c>
      <c r="BH112" s="80">
        <f t="shared" si="143"/>
        <v>0.40002150845610368</v>
      </c>
      <c r="BI112" s="80">
        <f t="shared" si="160"/>
        <v>0.24596600000000002</v>
      </c>
      <c r="BJ112" s="80">
        <f t="shared" si="161"/>
        <v>1.6416824446304542E-3</v>
      </c>
      <c r="BK112" s="80">
        <f t="shared" si="162"/>
        <v>2.6885570129692267E-5</v>
      </c>
      <c r="BL112" s="80">
        <f t="shared" si="163"/>
        <v>4.4493480234005078</v>
      </c>
      <c r="BQ112" s="92"/>
      <c r="BR112" s="93"/>
    </row>
    <row r="113" spans="7:63" x14ac:dyDescent="0.25">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5">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5">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5">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5">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5">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5">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5">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5">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5">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5">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5">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5">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5">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5">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5">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5">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5">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5">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5">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5">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5">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5">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5">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5">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5">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5">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5">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5">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5">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5">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5">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5">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5">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5">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5">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5">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5">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5">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5">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5">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5">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5">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5">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5">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5">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5">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5">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5">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5">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5">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5">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5">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5">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5">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5">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5">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5">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5">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5">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5">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5">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5">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5">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5">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5">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5">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5">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5">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5">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5">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5">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5">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5">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5">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5">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5">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5">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5">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5">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5">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5">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5">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5">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5">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5">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5">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5">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5">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5">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5">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5">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5">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5">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5">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5">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5">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5">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5">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5">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Jeff Boyer</cp:lastModifiedBy>
  <cp:lastPrinted>2025-11-25T09:53:55Z</cp:lastPrinted>
  <dcterms:created xsi:type="dcterms:W3CDTF">2024-04-07T17:12:23Z</dcterms:created>
  <dcterms:modified xsi:type="dcterms:W3CDTF">2025-11-26T22:14:26Z</dcterms:modified>
</cp:coreProperties>
</file>