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vml" ContentType="application/vnd.openxmlformats-officedocument.vmlDrawing"/>
  <Default Extension="vsdx" ContentType="application/vnd.ms-visio.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drawings/drawing6.xml" ContentType="application/vnd.openxmlformats-officedocument.drawing+xml"/>
  <Override PartName="/xl/charts/chart1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defaultThemeVersion="166925"/>
  <mc:AlternateContent xmlns:mc="http://schemas.openxmlformats.org/markup-compatibility/2006">
    <mc:Choice Requires="x15">
      <x15ac:absPath xmlns:x15ac="http://schemas.microsoft.com/office/spreadsheetml/2010/11/ac" url="E:\EXT\VQ\"/>
    </mc:Choice>
  </mc:AlternateContent>
  <xr:revisionPtr revIDLastSave="0" documentId="8_{3F413D63-5DBF-4E66-B307-BDF46D603C21}" xr6:coauthVersionLast="47" xr6:coauthVersionMax="47" xr10:uidLastSave="{00000000-0000-0000-0000-000000000000}"/>
  <workbookProtection workbookAlgorithmName="SHA-512" workbookHashValue="Ujoiu7vIPzG6onFsqMWpyUw8CS/C6NRoH/HHQWvnJXT7CKp1r9bbdD2M3d1Jw60OzrbNGOfI+OiVtaQj9IOGkQ==" workbookSaltValue="uvuC/4wpIVmy0iCrakFd7A==" workbookSpinCount="100000" lockStructure="1"/>
  <bookViews>
    <workbookView xWindow="-12" yWindow="-720" windowWidth="23064" windowHeight="13332" tabRatio="722" activeTab="1" xr2:uid="{B7AD4D09-F5A9-476A-9641-17A55BE2F89C}"/>
  </bookViews>
  <sheets>
    <sheet name="How to use" sheetId="8" r:id="rId1"/>
    <sheet name="Design" sheetId="1" r:id="rId2"/>
    <sheet name="Important Notice and Disclaimer" sheetId="3" r:id="rId3"/>
    <sheet name="Calc" sheetId="2" state="hidden" r:id="rId4"/>
    <sheet name="STD_VAL" sheetId="4" state="hidden" r:id="rId5"/>
    <sheet name="SCH" sheetId="5" state="hidden" r:id="rId6"/>
    <sheet name="Bode" sheetId="7" state="hidden" r:id="rId7"/>
    <sheet name="Efficiency" sheetId="6" state="hidden" r:id="rId8"/>
  </sheets>
  <definedNames>
    <definedName name="A.s_max">Calc!$F$45</definedName>
    <definedName name="A.s_min">Calc!$F$44</definedName>
    <definedName name="A.s_typ">Calc!$F$43</definedName>
    <definedName name="A_COMP2CS">Bode!$D$24</definedName>
    <definedName name="A_COMP2VOUT">Bode!$D$20</definedName>
    <definedName name="C.comp">Calc!$F$131</definedName>
    <definedName name="C.comp_desired">Calc!$F$125</definedName>
    <definedName name="C.eaout">Calc!$F$122</definedName>
    <definedName name="C.fbb">Calc!$F$118</definedName>
    <definedName name="C.ff">Calc!$F$136</definedName>
    <definedName name="C.hf">Calc!$F$132</definedName>
    <definedName name="C.hf_desired">Calc!$F$126</definedName>
    <definedName name="C.imon">Calc!$F$159</definedName>
    <definedName name="C.imon_desired">Calc!$F$153</definedName>
    <definedName name="C.inb_derated">Calc!$F$223</definedName>
    <definedName name="C.iset">Calc!$F$145</definedName>
    <definedName name="C.oss_hs">Calc!$F$179</definedName>
    <definedName name="C.oss_ls">Calc!$F$195</definedName>
    <definedName name="C.outb_derated">Calc!$F$93</definedName>
    <definedName name="C.outb_derated_min">Calc!$F$90</definedName>
    <definedName name="C.outb_derated_min1">Calc!$F$87</definedName>
    <definedName name="C.outb_derated_min2">Calc!$F$88</definedName>
    <definedName name="C.outb_derated_min3">Calc!$F$89</definedName>
    <definedName name="C.outb_derating_factor">Calc!$F$92</definedName>
    <definedName name="C.outb_rated">Calc!$F$91</definedName>
    <definedName name="C.outhf_derated">Calc!$F$98</definedName>
    <definedName name="C.outhf_derating_factor">Calc!$F$97</definedName>
    <definedName name="C.outhf_rated">Calc!$F$96</definedName>
    <definedName name="C.outtotal_derated">Calc!$F$101</definedName>
    <definedName name="CC_LOOP">Bode!$CE$1</definedName>
    <definedName name="CV_LOOP">Bode!$A$1</definedName>
    <definedName name="D.off_min_150">Calc!$F$68</definedName>
    <definedName name="D.off_min_ideal">Calc!$F$66</definedName>
    <definedName name="D.on_min_150">Calc!$F$64</definedName>
    <definedName name="D.on_min_ideal">Calc!$F$62</definedName>
    <definedName name="DESIGN_GUIDE1">SCH!$A$3</definedName>
    <definedName name="DEVICE">Calc!$F$20</definedName>
    <definedName name="dI.out_max">Calc!$F$102</definedName>
    <definedName name="dI.out_max_rms">Calc!$F$103</definedName>
    <definedName name="dV.out_max_rms">Calc!$F$105</definedName>
    <definedName name="EfficiencyChart">Efficiency!$A$1</definedName>
    <definedName name="ExtVCC">Calc!$F$207</definedName>
    <definedName name="f.cross_desired">Calc!$F$86</definedName>
    <definedName name="f.p_err">Calc!$F$134</definedName>
    <definedName name="f.p_err_desired">Calc!$F$128</definedName>
    <definedName name="f.p_imon">Calc!$F$161</definedName>
    <definedName name="f.p_imon_desired">Calc!$F$155</definedName>
    <definedName name="f.sw">Calc!$F$18</definedName>
    <definedName name="f.z_cff">Calc!$F$138</definedName>
    <definedName name="f.z_err">Calc!$F$133</definedName>
    <definedName name="f.z_err_desired">Calc!$F$127</definedName>
    <definedName name="f.z_imon">Calc!$F$162</definedName>
    <definedName name="f.z_imon_desired">Calc!$F$156</definedName>
    <definedName name="FCROSSOVER_FOUND_CV">Bode!$AI$8</definedName>
    <definedName name="FPWM">Calc!$F$19</definedName>
    <definedName name="fsw_sh">Bode!$D$19</definedName>
    <definedName name="g.fs_hs">Calc!$F$181</definedName>
    <definedName name="g.fs_ls">Calc!$F$197</definedName>
    <definedName name="GM">Calc!$F$123</definedName>
    <definedName name="GM.imon">Calc!$F$151</definedName>
    <definedName name="I.imon">Calc!$F$150</definedName>
    <definedName name="I.iset">Calc!$F$142</definedName>
    <definedName name="I.load">Calc!$F$17</definedName>
    <definedName name="I.peak_tblank">Calc!$F$57</definedName>
    <definedName name="I.peakcl">Calc!$F$31</definedName>
    <definedName name="I.q_IC">Calc!$F$10</definedName>
    <definedName name="Ipeak_atvinmax">Calc!$F$55</definedName>
    <definedName name="IVCC">Calc!$F$209</definedName>
    <definedName name="kfactor">Bode!$D$16</definedName>
    <definedName name="L.margin">Calc!$F$46</definedName>
    <definedName name="L.out">Calc!$F$53</definedName>
    <definedName name="L.out_desired">Calc!$F$39</definedName>
    <definedName name="L.outmin1">Calc!$F$47</definedName>
    <definedName name="L.outmin2">Calc!$F$48</definedName>
    <definedName name="L.outmin3">Calc!$F$50</definedName>
    <definedName name="L.outmin4">Calc!$F$51</definedName>
    <definedName name="L.smalest">Calc!$F$52</definedName>
    <definedName name="MaxOperatinvVIN">Calc!$F$25</definedName>
    <definedName name="mc">Bode!$D$15</definedName>
    <definedName name="MinCboot">Calc!$F$219</definedName>
    <definedName name="MinCvcc">Calc!$F$220</definedName>
    <definedName name="MinCvcc2">Calc!$F$221</definedName>
    <definedName name="P.core">Calc!$F$61</definedName>
    <definedName name="P.out">Calc!$F$21</definedName>
    <definedName name="P.rs">Calc!$F$34</definedName>
    <definedName name="PCB_TYPICAL1">SCH!$A$2</definedName>
    <definedName name="PI">Calc!$F$8</definedName>
    <definedName name="_xlnm.Print_Area" localSheetId="1">Design!$A$1:$V$153</definedName>
    <definedName name="Q.g_hs">Calc!$F$175</definedName>
    <definedName name="Q.g_ls">Calc!$F$191</definedName>
    <definedName name="Q.gd_hs">Calc!$F$176</definedName>
    <definedName name="Q.gd_ls">Calc!$F$192</definedName>
    <definedName name="Q.gs_hs">Calc!$F$177</definedName>
    <definedName name="Q.gs_ls">Calc!$F$193</definedName>
    <definedName name="Q.oss_hs">Calc!$F$178</definedName>
    <definedName name="Q.oss_ls">Calc!$F$194</definedName>
    <definedName name="Q.rr_hs">Calc!$F$185</definedName>
    <definedName name="Q.rr_ls">Calc!$F$201</definedName>
    <definedName name="Q.rr_sch">Calc!$F$206</definedName>
    <definedName name="Qfactor">Bode!$D$17</definedName>
    <definedName name="R.comp">Calc!$F$130</definedName>
    <definedName name="R.comp_desired">Calc!$F$124</definedName>
    <definedName name="R.dcr150">Calc!$F$60</definedName>
    <definedName name="R.dcr25">Calc!$F$59</definedName>
    <definedName name="R.drv_hs_sink">Calc!$F$168</definedName>
    <definedName name="R.drv_hs_source">Calc!$F$167</definedName>
    <definedName name="R.drv_ls_sink">Calc!$F$170</definedName>
    <definedName name="R.drv_ls_source">Calc!$F$169</definedName>
    <definedName name="R.eaout">Calc!$F$121</definedName>
    <definedName name="R.enb">Calc!$F$79</definedName>
    <definedName name="R.ent">Calc!$F$78</definedName>
    <definedName name="R.esr_cin">Calc!$F$224</definedName>
    <definedName name="R.esrb">Calc!$F$94</definedName>
    <definedName name="R.esrhf">Calc!$F$99</definedName>
    <definedName name="R.fbb">Calc!$F$117</definedName>
    <definedName name="R.fbt">Calc!$F$115</definedName>
    <definedName name="R.fbt_min">Calc!$F$119</definedName>
    <definedName name="R.ff">Calc!$F$137</definedName>
    <definedName name="R.g_hs">Calc!$F$180</definedName>
    <definedName name="R.g_ls">Calc!$F$196</definedName>
    <definedName name="R.hs150">Calc!$F$174</definedName>
    <definedName name="R.hs25">Calc!$F$173</definedName>
    <definedName name="R.imon">Calc!$F$158</definedName>
    <definedName name="R.imon_desired">Calc!$F$152</definedName>
    <definedName name="R.imonhf">Calc!$F$160</definedName>
    <definedName name="R.imonhf_desired">Calc!$F$154</definedName>
    <definedName name="R.iset">Calc!$F$144</definedName>
    <definedName name="R.load">Calc!$F$22</definedName>
    <definedName name="R.lp">Calc!$F$114</definedName>
    <definedName name="R.ls150">Calc!$F$190</definedName>
    <definedName name="R.ls25">Calc!$F$189</definedName>
    <definedName name="R.s">Calc!$F$33</definedName>
    <definedName name="R.s_desired">Calc!$F$32</definedName>
    <definedName name="R.t_calc">Calc!$F$23</definedName>
    <definedName name="R.t_std">Calc!$F$24</definedName>
    <definedName name="RR.typ">Calc!$F$38</definedName>
    <definedName name="S.fall">Bode!$D$14</definedName>
    <definedName name="S.rise">Bode!$D$13</definedName>
    <definedName name="S.slope">Bode!$D$12</definedName>
    <definedName name="SCH_TYPICAL1">SCH!$A$1</definedName>
    <definedName name="SCHEMATIC_LINK">INDIRECT(SCH!$B$1)</definedName>
    <definedName name="T.amb">Calc!$F$208</definedName>
    <definedName name="t.blank_max">Calc!$F$56</definedName>
    <definedName name="t.d_hoff_lon">Calc!$F$171</definedName>
    <definedName name="t.d_loff_hon">Calc!$F$172</definedName>
    <definedName name="T.fall">Calc!$F$212</definedName>
    <definedName name="T.off_min_150">Calc!$F$69</definedName>
    <definedName name="T.off_min_ideal">Calc!$F$67</definedName>
    <definedName name="T.offmin_IC">Calc!$F$71</definedName>
    <definedName name="T.on_min_150">Calc!$F$65</definedName>
    <definedName name="T.on_min_ideal">Calc!$F$63</definedName>
    <definedName name="T.onmin_IC">Calc!$F$70</definedName>
    <definedName name="T.rise">Calc!$F$211</definedName>
    <definedName name="T.sscc">Calc!$F$146</definedName>
    <definedName name="TC_rdson_hs">Calc!$F$187</definedName>
    <definedName name="TC_rdson_ls">Calc!$F$203</definedName>
    <definedName name="theta.ja_hs">Calc!$F$186</definedName>
    <definedName name="theta.ja_ls">Calc!$F$202</definedName>
    <definedName name="Trf_CorrectionFactor">Calc!$F$210</definedName>
    <definedName name="V.bd_hs">Calc!$F$184</definedName>
    <definedName name="V.bd_ls">Calc!$F$200</definedName>
    <definedName name="V.enfalling_max">Calc!$F$76</definedName>
    <definedName name="V.enrising_max">Calc!$F$75</definedName>
    <definedName name="V.fwd_sch">Calc!$F$205</definedName>
    <definedName name="V.imon_offset">Calc!$F$164</definedName>
    <definedName name="V.in_ripple_required">Calc!$F$226</definedName>
    <definedName name="V.iset_desired">Calc!$F$143</definedName>
    <definedName name="V.load">Calc!$F$16</definedName>
    <definedName name="V.ncl_max">Calc!$F$49</definedName>
    <definedName name="V.overshoot">Calc!$F$84</definedName>
    <definedName name="V.overshoot_calc">Calc!$F$109</definedName>
    <definedName name="V.overshoot_calc1">Calc!$F$107</definedName>
    <definedName name="V.overshoot_calc2">Calc!$F$108</definedName>
    <definedName name="V.pcl_max">Calc!$F$30</definedName>
    <definedName name="V.pcl_min">Calc!$F$29</definedName>
    <definedName name="V.pcl_typ">Calc!$F$28</definedName>
    <definedName name="V.slope_max">Calc!$F$42</definedName>
    <definedName name="V.slope_min">Calc!$F$41</definedName>
    <definedName name="V.slope_typ">Calc!$F$40</definedName>
    <definedName name="V.sp_hs">Calc!$F$183</definedName>
    <definedName name="V.sp_hs_100A">Calc!$F$215</definedName>
    <definedName name="V.sp_ls">Calc!$F$199</definedName>
    <definedName name="V.sp_ls_100A">Calc!$F$216</definedName>
    <definedName name="V.sp_max">Calc!$F$214</definedName>
    <definedName name="V.sp_max_100A">Calc!$F$217</definedName>
    <definedName name="V.startup">Calc!$F$77</definedName>
    <definedName name="V.supply_max">Calc!$F$15</definedName>
    <definedName name="V.supply_min">Calc!$F$13</definedName>
    <definedName name="V.supply_typ">Calc!$F$14</definedName>
    <definedName name="V.th_hs">Calc!$F$182</definedName>
    <definedName name="V.th_ls">Calc!$F$198</definedName>
    <definedName name="V.undershoot">Calc!$F$85</definedName>
    <definedName name="V.undershoot_calc">Calc!$F$110</definedName>
    <definedName name="V.vref">Calc!$F$116</definedName>
    <definedName name="VCC">Calc!$F$9</definedName>
    <definedName name="Vshutdown">Calc!$F$80</definedName>
    <definedName name="Wesr_zero">Bode!$D$21</definedName>
    <definedName name="Wload_pole">Bode!$D$22</definedName>
    <definedName name="WloadZ">Bode!$D$23</definedName>
    <definedName name="Wsh">Bode!$D$18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3" i="7" l="1"/>
  <c r="U14" i="7"/>
  <c r="U15" i="7"/>
  <c r="U16" i="7"/>
  <c r="U17" i="7"/>
  <c r="U18" i="7"/>
  <c r="U19" i="7"/>
  <c r="U20" i="7"/>
  <c r="U21" i="7"/>
  <c r="U22" i="7"/>
  <c r="U23" i="7"/>
  <c r="U24" i="7"/>
  <c r="U25" i="7"/>
  <c r="U26" i="7"/>
  <c r="U27" i="7"/>
  <c r="U28" i="7"/>
  <c r="U29" i="7"/>
  <c r="U30" i="7"/>
  <c r="U31" i="7"/>
  <c r="U32" i="7"/>
  <c r="U33" i="7"/>
  <c r="U34" i="7"/>
  <c r="U35" i="7"/>
  <c r="U36" i="7"/>
  <c r="U37" i="7"/>
  <c r="U38" i="7"/>
  <c r="U39" i="7"/>
  <c r="U40" i="7"/>
  <c r="U41" i="7"/>
  <c r="U42" i="7"/>
  <c r="U43" i="7"/>
  <c r="U44" i="7"/>
  <c r="U45" i="7"/>
  <c r="U46" i="7"/>
  <c r="U47" i="7"/>
  <c r="U48" i="7"/>
  <c r="U49" i="7"/>
  <c r="U50" i="7"/>
  <c r="U51" i="7"/>
  <c r="U52" i="7"/>
  <c r="U53" i="7"/>
  <c r="U54" i="7"/>
  <c r="U55" i="7"/>
  <c r="U56" i="7"/>
  <c r="U57" i="7"/>
  <c r="U58" i="7"/>
  <c r="U59" i="7"/>
  <c r="U60" i="7"/>
  <c r="U61" i="7"/>
  <c r="U62" i="7"/>
  <c r="U63" i="7"/>
  <c r="U64" i="7"/>
  <c r="U65" i="7"/>
  <c r="U66" i="7"/>
  <c r="U67" i="7"/>
  <c r="U68" i="7"/>
  <c r="U69" i="7"/>
  <c r="U70" i="7"/>
  <c r="U71" i="7"/>
  <c r="U72" i="7"/>
  <c r="U73" i="7"/>
  <c r="U74" i="7"/>
  <c r="U75" i="7"/>
  <c r="U76" i="7"/>
  <c r="U77" i="7"/>
  <c r="U78" i="7"/>
  <c r="U79" i="7"/>
  <c r="U80" i="7"/>
  <c r="U81" i="7"/>
  <c r="U82" i="7"/>
  <c r="U83" i="7"/>
  <c r="U84" i="7"/>
  <c r="U85" i="7"/>
  <c r="U86" i="7"/>
  <c r="U87" i="7"/>
  <c r="U88" i="7"/>
  <c r="U89" i="7"/>
  <c r="U90" i="7"/>
  <c r="U91" i="7"/>
  <c r="U92" i="7"/>
  <c r="U93" i="7"/>
  <c r="U94" i="7"/>
  <c r="U95" i="7"/>
  <c r="U96" i="7"/>
  <c r="U97" i="7"/>
  <c r="U98" i="7"/>
  <c r="U99" i="7"/>
  <c r="U100" i="7"/>
  <c r="U101" i="7"/>
  <c r="U102" i="7"/>
  <c r="U103" i="7"/>
  <c r="U104" i="7"/>
  <c r="U105" i="7"/>
  <c r="U106" i="7"/>
  <c r="U107" i="7"/>
  <c r="U108" i="7"/>
  <c r="U109" i="7"/>
  <c r="U110" i="7"/>
  <c r="U111" i="7"/>
  <c r="U112" i="7"/>
  <c r="U113" i="7"/>
  <c r="U114" i="7"/>
  <c r="U115" i="7"/>
  <c r="U116" i="7"/>
  <c r="U117" i="7"/>
  <c r="U118" i="7"/>
  <c r="U119" i="7"/>
  <c r="U120" i="7"/>
  <c r="U121" i="7"/>
  <c r="U122" i="7"/>
  <c r="U123" i="7"/>
  <c r="U124" i="7"/>
  <c r="U125" i="7"/>
  <c r="U126" i="7"/>
  <c r="U127" i="7"/>
  <c r="U128" i="7"/>
  <c r="U129" i="7"/>
  <c r="U130" i="7"/>
  <c r="U131" i="7"/>
  <c r="U132" i="7"/>
  <c r="U133" i="7"/>
  <c r="U134" i="7"/>
  <c r="U135" i="7"/>
  <c r="U136" i="7"/>
  <c r="U137" i="7"/>
  <c r="U138" i="7"/>
  <c r="U12" i="7"/>
  <c r="C172" i="2" l="1"/>
  <c r="C171" i="2"/>
  <c r="E220" i="2" l="1"/>
  <c r="E219" i="2"/>
  <c r="C160" i="2" l="1"/>
  <c r="X19" i="7" l="1"/>
  <c r="Y20" i="7"/>
  <c r="X27" i="7"/>
  <c r="Y28" i="7"/>
  <c r="X35" i="7"/>
  <c r="X36" i="7"/>
  <c r="X43" i="7"/>
  <c r="Y44" i="7"/>
  <c r="X51" i="7"/>
  <c r="Y52" i="7"/>
  <c r="X59" i="7"/>
  <c r="Y60" i="7"/>
  <c r="X67" i="7"/>
  <c r="Y68" i="7"/>
  <c r="X75" i="7"/>
  <c r="Y76" i="7"/>
  <c r="X83" i="7"/>
  <c r="Y84" i="7"/>
  <c r="X91" i="7"/>
  <c r="Y92" i="7"/>
  <c r="X99" i="7"/>
  <c r="Y100" i="7"/>
  <c r="X107" i="7"/>
  <c r="Y108" i="7"/>
  <c r="X115" i="7"/>
  <c r="Y116" i="7"/>
  <c r="X123" i="7"/>
  <c r="X124" i="7"/>
  <c r="X131" i="7"/>
  <c r="Y132" i="7"/>
  <c r="Y12" i="7"/>
  <c r="Y13" i="7"/>
  <c r="Y14" i="7"/>
  <c r="Y15" i="7"/>
  <c r="Y16" i="7"/>
  <c r="Y17" i="7"/>
  <c r="Y18" i="7"/>
  <c r="Y21" i="7"/>
  <c r="Y22" i="7"/>
  <c r="Y23" i="7"/>
  <c r="Y24" i="7"/>
  <c r="Y25" i="7"/>
  <c r="Y26" i="7"/>
  <c r="Y29" i="7"/>
  <c r="Y30" i="7"/>
  <c r="Y31" i="7"/>
  <c r="Y32" i="7"/>
  <c r="Y33" i="7"/>
  <c r="Y34" i="7"/>
  <c r="Y37" i="7"/>
  <c r="Y38" i="7"/>
  <c r="Y39" i="7"/>
  <c r="Y40" i="7"/>
  <c r="Y41" i="7"/>
  <c r="Y42" i="7"/>
  <c r="Y45" i="7"/>
  <c r="Y46" i="7"/>
  <c r="Y47" i="7"/>
  <c r="Y48" i="7"/>
  <c r="Y49" i="7"/>
  <c r="Y50" i="7"/>
  <c r="Y53" i="7"/>
  <c r="Y54" i="7"/>
  <c r="Y55" i="7"/>
  <c r="Y56" i="7"/>
  <c r="Y57" i="7"/>
  <c r="Y58" i="7"/>
  <c r="Y61" i="7"/>
  <c r="Y62" i="7"/>
  <c r="Y63" i="7"/>
  <c r="Y64" i="7"/>
  <c r="Y65" i="7"/>
  <c r="Y66" i="7"/>
  <c r="Y69" i="7"/>
  <c r="Y70" i="7"/>
  <c r="Y71" i="7"/>
  <c r="Y72" i="7"/>
  <c r="Y73" i="7"/>
  <c r="Y74" i="7"/>
  <c r="Y77" i="7"/>
  <c r="Y78" i="7"/>
  <c r="Y79" i="7"/>
  <c r="Y80" i="7"/>
  <c r="Y81" i="7"/>
  <c r="Y82" i="7"/>
  <c r="Y85" i="7"/>
  <c r="Y86" i="7"/>
  <c r="Y87" i="7"/>
  <c r="Y88" i="7"/>
  <c r="Y89" i="7"/>
  <c r="Y90" i="7"/>
  <c r="Y93" i="7"/>
  <c r="Y94" i="7"/>
  <c r="Y95" i="7"/>
  <c r="Y96" i="7"/>
  <c r="Y97" i="7"/>
  <c r="Y98" i="7"/>
  <c r="Y101" i="7"/>
  <c r="Y102" i="7"/>
  <c r="Y103" i="7"/>
  <c r="Y104" i="7"/>
  <c r="Y105" i="7"/>
  <c r="Y106" i="7"/>
  <c r="Y109" i="7"/>
  <c r="Y110" i="7"/>
  <c r="Y111" i="7"/>
  <c r="Y112" i="7"/>
  <c r="Y113" i="7"/>
  <c r="Y114" i="7"/>
  <c r="Y117" i="7"/>
  <c r="Y118" i="7"/>
  <c r="Y119" i="7"/>
  <c r="Y120" i="7"/>
  <c r="Y121" i="7"/>
  <c r="Y122" i="7"/>
  <c r="Y125" i="7"/>
  <c r="Y126" i="7"/>
  <c r="Y127" i="7"/>
  <c r="Y128" i="7"/>
  <c r="Y129" i="7"/>
  <c r="Y130" i="7"/>
  <c r="Y133" i="7"/>
  <c r="Y134" i="7"/>
  <c r="Y135" i="7"/>
  <c r="Y136" i="7"/>
  <c r="Y137" i="7"/>
  <c r="Y138" i="7"/>
  <c r="X13" i="7"/>
  <c r="X14" i="7"/>
  <c r="X15" i="7"/>
  <c r="X16" i="7"/>
  <c r="X17" i="7"/>
  <c r="X18" i="7"/>
  <c r="X21" i="7"/>
  <c r="X22" i="7"/>
  <c r="X23" i="7"/>
  <c r="X24" i="7"/>
  <c r="X25" i="7"/>
  <c r="X26" i="7"/>
  <c r="X29" i="7"/>
  <c r="X30" i="7"/>
  <c r="X31" i="7"/>
  <c r="X32" i="7"/>
  <c r="X33" i="7"/>
  <c r="X34" i="7"/>
  <c r="X37" i="7"/>
  <c r="X38" i="7"/>
  <c r="X39" i="7"/>
  <c r="X40" i="7"/>
  <c r="X41" i="7"/>
  <c r="X42" i="7"/>
  <c r="X45" i="7"/>
  <c r="X46" i="7"/>
  <c r="X47" i="7"/>
  <c r="X48" i="7"/>
  <c r="X49" i="7"/>
  <c r="X50" i="7"/>
  <c r="X53" i="7"/>
  <c r="X54" i="7"/>
  <c r="X55" i="7"/>
  <c r="X56" i="7"/>
  <c r="X57" i="7"/>
  <c r="X58" i="7"/>
  <c r="X61" i="7"/>
  <c r="X62" i="7"/>
  <c r="X63" i="7"/>
  <c r="X64" i="7"/>
  <c r="X65" i="7"/>
  <c r="X66" i="7"/>
  <c r="X69" i="7"/>
  <c r="X70" i="7"/>
  <c r="X71" i="7"/>
  <c r="X72" i="7"/>
  <c r="X73" i="7"/>
  <c r="X74" i="7"/>
  <c r="X77" i="7"/>
  <c r="X78" i="7"/>
  <c r="X79" i="7"/>
  <c r="X80" i="7"/>
  <c r="X81" i="7"/>
  <c r="X82" i="7"/>
  <c r="X85" i="7"/>
  <c r="X86" i="7"/>
  <c r="X87" i="7"/>
  <c r="X88" i="7"/>
  <c r="X89" i="7"/>
  <c r="X90" i="7"/>
  <c r="X93" i="7"/>
  <c r="X94" i="7"/>
  <c r="X95" i="7"/>
  <c r="X96" i="7"/>
  <c r="X97" i="7"/>
  <c r="X98" i="7"/>
  <c r="X101" i="7"/>
  <c r="X102" i="7"/>
  <c r="X103" i="7"/>
  <c r="X104" i="7"/>
  <c r="X105" i="7"/>
  <c r="X106" i="7"/>
  <c r="X109" i="7"/>
  <c r="X110" i="7"/>
  <c r="X111" i="7"/>
  <c r="X112" i="7"/>
  <c r="X113" i="7"/>
  <c r="X114" i="7"/>
  <c r="X117" i="7"/>
  <c r="X118" i="7"/>
  <c r="X119" i="7"/>
  <c r="X120" i="7"/>
  <c r="X121" i="7"/>
  <c r="X122" i="7"/>
  <c r="X125" i="7"/>
  <c r="X126" i="7"/>
  <c r="X127" i="7"/>
  <c r="X128" i="7"/>
  <c r="X129" i="7"/>
  <c r="X130" i="7"/>
  <c r="X133" i="7"/>
  <c r="X134" i="7"/>
  <c r="X135" i="7"/>
  <c r="X136" i="7"/>
  <c r="X137" i="7"/>
  <c r="X138" i="7"/>
  <c r="Y124" i="7" l="1"/>
  <c r="Y36" i="7"/>
  <c r="Y131" i="7"/>
  <c r="Y123" i="7"/>
  <c r="Y115" i="7"/>
  <c r="Y107" i="7"/>
  <c r="Y99" i="7"/>
  <c r="Y91" i="7"/>
  <c r="Y83" i="7"/>
  <c r="Y75" i="7"/>
  <c r="Y67" i="7"/>
  <c r="Y59" i="7"/>
  <c r="Y51" i="7"/>
  <c r="Y43" i="7"/>
  <c r="Y35" i="7"/>
  <c r="Y27" i="7"/>
  <c r="Y19" i="7"/>
  <c r="X108" i="7"/>
  <c r="X100" i="7"/>
  <c r="X92" i="7"/>
  <c r="X84" i="7"/>
  <c r="X76" i="7"/>
  <c r="X68" i="7"/>
  <c r="X60" i="7"/>
  <c r="X52" i="7"/>
  <c r="X44" i="7"/>
  <c r="X28" i="7"/>
  <c r="X20" i="7"/>
  <c r="X132" i="7"/>
  <c r="X116" i="7"/>
  <c r="X12" i="7"/>
  <c r="C226" i="2"/>
  <c r="F226" i="2" s="1"/>
  <c r="C122" i="2" l="1"/>
  <c r="F122" i="2" s="1"/>
  <c r="C121" i="2"/>
  <c r="F121" i="2" s="1"/>
  <c r="S13" i="7" l="1"/>
  <c r="S21" i="7"/>
  <c r="S29" i="7"/>
  <c r="S37" i="7"/>
  <c r="S45" i="7"/>
  <c r="S53" i="7"/>
  <c r="S61" i="7"/>
  <c r="S69" i="7"/>
  <c r="S77" i="7"/>
  <c r="S85" i="7"/>
  <c r="S93" i="7"/>
  <c r="S101" i="7"/>
  <c r="S109" i="7"/>
  <c r="S117" i="7"/>
  <c r="S125" i="7"/>
  <c r="S133" i="7"/>
  <c r="S90" i="7"/>
  <c r="S138" i="7"/>
  <c r="S14" i="7"/>
  <c r="S22" i="7"/>
  <c r="S30" i="7"/>
  <c r="S38" i="7"/>
  <c r="S46" i="7"/>
  <c r="S54" i="7"/>
  <c r="S62" i="7"/>
  <c r="S70" i="7"/>
  <c r="S78" i="7"/>
  <c r="S86" i="7"/>
  <c r="S94" i="7"/>
  <c r="S102" i="7"/>
  <c r="S110" i="7"/>
  <c r="S118" i="7"/>
  <c r="S126" i="7"/>
  <c r="S134" i="7"/>
  <c r="S50" i="7"/>
  <c r="S58" i="7"/>
  <c r="S98" i="7"/>
  <c r="S15" i="7"/>
  <c r="S23" i="7"/>
  <c r="S31" i="7"/>
  <c r="S39" i="7"/>
  <c r="S47" i="7"/>
  <c r="S55" i="7"/>
  <c r="S63" i="7"/>
  <c r="S71" i="7"/>
  <c r="S79" i="7"/>
  <c r="S87" i="7"/>
  <c r="S95" i="7"/>
  <c r="S103" i="7"/>
  <c r="S111" i="7"/>
  <c r="S119" i="7"/>
  <c r="S127" i="7"/>
  <c r="S135" i="7"/>
  <c r="S82" i="7"/>
  <c r="S122" i="7"/>
  <c r="S16" i="7"/>
  <c r="S24" i="7"/>
  <c r="S32" i="7"/>
  <c r="S40" i="7"/>
  <c r="S48" i="7"/>
  <c r="S56" i="7"/>
  <c r="S64" i="7"/>
  <c r="S72" i="7"/>
  <c r="S80" i="7"/>
  <c r="S88" i="7"/>
  <c r="S96" i="7"/>
  <c r="S104" i="7"/>
  <c r="S112" i="7"/>
  <c r="S120" i="7"/>
  <c r="S128" i="7"/>
  <c r="S136" i="7"/>
  <c r="S18" i="7"/>
  <c r="S17" i="7"/>
  <c r="S25" i="7"/>
  <c r="S33" i="7"/>
  <c r="S41" i="7"/>
  <c r="S49" i="7"/>
  <c r="S57" i="7"/>
  <c r="S65" i="7"/>
  <c r="S73" i="7"/>
  <c r="S81" i="7"/>
  <c r="S89" i="7"/>
  <c r="S97" i="7"/>
  <c r="S105" i="7"/>
  <c r="S113" i="7"/>
  <c r="S121" i="7"/>
  <c r="S129" i="7"/>
  <c r="S137" i="7"/>
  <c r="S26" i="7"/>
  <c r="S19" i="7"/>
  <c r="S27" i="7"/>
  <c r="S35" i="7"/>
  <c r="S43" i="7"/>
  <c r="S51" i="7"/>
  <c r="S59" i="7"/>
  <c r="S67" i="7"/>
  <c r="S75" i="7"/>
  <c r="S83" i="7"/>
  <c r="S91" i="7"/>
  <c r="S99" i="7"/>
  <c r="S107" i="7"/>
  <c r="S115" i="7"/>
  <c r="S123" i="7"/>
  <c r="S131" i="7"/>
  <c r="S12" i="7"/>
  <c r="S42" i="7"/>
  <c r="S66" i="7"/>
  <c r="S114" i="7"/>
  <c r="S20" i="7"/>
  <c r="S28" i="7"/>
  <c r="S36" i="7"/>
  <c r="S44" i="7"/>
  <c r="S52" i="7"/>
  <c r="S60" i="7"/>
  <c r="S68" i="7"/>
  <c r="S76" i="7"/>
  <c r="S84" i="7"/>
  <c r="S92" i="7"/>
  <c r="S100" i="7"/>
  <c r="S108" i="7"/>
  <c r="S116" i="7"/>
  <c r="S124" i="7"/>
  <c r="S132" i="7"/>
  <c r="S34" i="7"/>
  <c r="S74" i="7"/>
  <c r="S106" i="7"/>
  <c r="S130" i="7"/>
  <c r="F118" i="2"/>
  <c r="C182" i="2" l="1"/>
  <c r="C198" i="2"/>
  <c r="C207" i="2" l="1"/>
  <c r="F207" i="2" s="1"/>
  <c r="F10" i="2"/>
  <c r="F203" i="2"/>
  <c r="F187" i="2"/>
  <c r="F172" i="2"/>
  <c r="F171" i="2"/>
  <c r="F170" i="2" l="1"/>
  <c r="F169" i="2"/>
  <c r="F168" i="2"/>
  <c r="F167" i="2"/>
  <c r="F224" i="2" l="1"/>
  <c r="C223" i="2"/>
  <c r="F223" i="2" s="1"/>
  <c r="C208" i="2"/>
  <c r="F208" i="2" s="1"/>
  <c r="E206" i="2" l="1"/>
  <c r="C206" i="2"/>
  <c r="C205" i="2"/>
  <c r="F205" i="2" s="1"/>
  <c r="AJ4" i="6" s="1"/>
  <c r="E201" i="2"/>
  <c r="E195" i="2"/>
  <c r="E194" i="2"/>
  <c r="E193" i="2"/>
  <c r="E192" i="2"/>
  <c r="E191" i="2"/>
  <c r="E185" i="2"/>
  <c r="E179" i="2"/>
  <c r="E178" i="2"/>
  <c r="E177" i="2"/>
  <c r="E176" i="2"/>
  <c r="E175" i="2"/>
  <c r="C192" i="2"/>
  <c r="C193" i="2"/>
  <c r="C195" i="2"/>
  <c r="C196" i="2"/>
  <c r="F196" i="2" s="1"/>
  <c r="C197" i="2"/>
  <c r="F197" i="2" s="1"/>
  <c r="F198" i="2"/>
  <c r="C200" i="2"/>
  <c r="F200" i="2" s="1"/>
  <c r="AJ3" i="6" s="1"/>
  <c r="AJ5" i="6" s="1"/>
  <c r="C201" i="2"/>
  <c r="C202" i="2"/>
  <c r="F202" i="2" s="1"/>
  <c r="C191" i="2"/>
  <c r="C176" i="2"/>
  <c r="C177" i="2"/>
  <c r="C178" i="2"/>
  <c r="F178" i="2" s="1"/>
  <c r="C179" i="2"/>
  <c r="C180" i="2"/>
  <c r="F180" i="2" s="1"/>
  <c r="C181" i="2"/>
  <c r="F181" i="2" s="1"/>
  <c r="F182" i="2"/>
  <c r="C184" i="2"/>
  <c r="F184" i="2" s="1"/>
  <c r="C185" i="2"/>
  <c r="C186" i="2"/>
  <c r="F186" i="2" s="1"/>
  <c r="C175" i="2"/>
  <c r="C219" i="2" s="1"/>
  <c r="F185" i="2" l="1"/>
  <c r="F201" i="2"/>
  <c r="F192" i="2"/>
  <c r="C216" i="2"/>
  <c r="F216" i="2" s="1"/>
  <c r="F219" i="2"/>
  <c r="G37" i="1" s="1"/>
  <c r="C220" i="2"/>
  <c r="F220" i="2" s="1"/>
  <c r="C215" i="2"/>
  <c r="F215" i="2" s="1"/>
  <c r="F177" i="2"/>
  <c r="F193" i="2"/>
  <c r="F179" i="2"/>
  <c r="F175" i="2"/>
  <c r="F195" i="2"/>
  <c r="F206" i="2"/>
  <c r="F176" i="2"/>
  <c r="F191" i="2"/>
  <c r="E159" i="2"/>
  <c r="F160" i="2"/>
  <c r="C159" i="2"/>
  <c r="C158" i="2"/>
  <c r="F158" i="2" s="1"/>
  <c r="F151" i="2"/>
  <c r="C150" i="2"/>
  <c r="F150" i="2" s="1"/>
  <c r="E145" i="2"/>
  <c r="C145" i="2"/>
  <c r="C143" i="2"/>
  <c r="F143" i="2" s="1"/>
  <c r="G99" i="1" s="1"/>
  <c r="C142" i="2"/>
  <c r="F142" i="2" s="1"/>
  <c r="E136" i="2"/>
  <c r="C137" i="2"/>
  <c r="F137" i="2" s="1"/>
  <c r="C136" i="2"/>
  <c r="F136" i="2" s="1"/>
  <c r="E132" i="2"/>
  <c r="E131" i="2"/>
  <c r="C132" i="2"/>
  <c r="C131" i="2"/>
  <c r="C130" i="2"/>
  <c r="F130" i="2" s="1"/>
  <c r="C94" i="2"/>
  <c r="F94" i="2" s="1"/>
  <c r="F123" i="2"/>
  <c r="F116" i="2"/>
  <c r="C115" i="2"/>
  <c r="F115" i="2" s="1"/>
  <c r="F114" i="2"/>
  <c r="E96" i="2"/>
  <c r="C99" i="2"/>
  <c r="F99" i="2" s="1"/>
  <c r="C97" i="2"/>
  <c r="F97" i="2" s="1"/>
  <c r="C96" i="2"/>
  <c r="E91" i="2"/>
  <c r="C92" i="2"/>
  <c r="F92" i="2" s="1"/>
  <c r="C86" i="2"/>
  <c r="F86" i="2" s="1"/>
  <c r="C78" i="2"/>
  <c r="F78" i="2" s="1"/>
  <c r="C77" i="2"/>
  <c r="F77" i="2" s="1"/>
  <c r="F75" i="2"/>
  <c r="C76" i="2"/>
  <c r="F76" i="2" s="1"/>
  <c r="C71" i="2"/>
  <c r="F71" i="2" s="1"/>
  <c r="C70" i="2"/>
  <c r="F70" i="2" s="1"/>
  <c r="C194" i="2"/>
  <c r="F194" i="2" s="1"/>
  <c r="C173" i="2"/>
  <c r="F173" i="2" s="1"/>
  <c r="D12" i="6" s="1"/>
  <c r="C189" i="2"/>
  <c r="F189" i="2" s="1"/>
  <c r="E12" i="6" s="1"/>
  <c r="C61" i="2"/>
  <c r="F61" i="2" s="1"/>
  <c r="C59" i="2"/>
  <c r="F59" i="2" s="1"/>
  <c r="F12" i="6" s="1"/>
  <c r="C217" i="2" l="1"/>
  <c r="F217" i="2" s="1"/>
  <c r="AW13" i="7"/>
  <c r="AW21" i="7"/>
  <c r="AW29" i="7"/>
  <c r="AW37" i="7"/>
  <c r="AW45" i="7"/>
  <c r="AW53" i="7"/>
  <c r="AW61" i="7"/>
  <c r="AW69" i="7"/>
  <c r="AW77" i="7"/>
  <c r="AW85" i="7"/>
  <c r="AW93" i="7"/>
  <c r="AW101" i="7"/>
  <c r="AW109" i="7"/>
  <c r="AW117" i="7"/>
  <c r="AW125" i="7"/>
  <c r="AW133" i="7"/>
  <c r="AW14" i="7"/>
  <c r="AW22" i="7"/>
  <c r="AW30" i="7"/>
  <c r="AW38" i="7"/>
  <c r="AW46" i="7"/>
  <c r="AW54" i="7"/>
  <c r="AW62" i="7"/>
  <c r="AW70" i="7"/>
  <c r="AW78" i="7"/>
  <c r="AW86" i="7"/>
  <c r="AW94" i="7"/>
  <c r="AW102" i="7"/>
  <c r="AW110" i="7"/>
  <c r="AW118" i="7"/>
  <c r="AW126" i="7"/>
  <c r="AW134" i="7"/>
  <c r="AW15" i="7"/>
  <c r="AW23" i="7"/>
  <c r="AW31" i="7"/>
  <c r="AW39" i="7"/>
  <c r="AW47" i="7"/>
  <c r="AW55" i="7"/>
  <c r="AW63" i="7"/>
  <c r="AW71" i="7"/>
  <c r="AW79" i="7"/>
  <c r="AW87" i="7"/>
  <c r="AW95" i="7"/>
  <c r="AW103" i="7"/>
  <c r="AW111" i="7"/>
  <c r="AW119" i="7"/>
  <c r="AW127" i="7"/>
  <c r="AW135" i="7"/>
  <c r="AW16" i="7"/>
  <c r="AW24" i="7"/>
  <c r="AW32" i="7"/>
  <c r="AW40" i="7"/>
  <c r="AW48" i="7"/>
  <c r="AW56" i="7"/>
  <c r="AW64" i="7"/>
  <c r="AW72" i="7"/>
  <c r="AW80" i="7"/>
  <c r="AW88" i="7"/>
  <c r="AW96" i="7"/>
  <c r="AW104" i="7"/>
  <c r="AW112" i="7"/>
  <c r="AW120" i="7"/>
  <c r="AW128" i="7"/>
  <c r="AW136" i="7"/>
  <c r="AW17" i="7"/>
  <c r="AW25" i="7"/>
  <c r="AW33" i="7"/>
  <c r="AW41" i="7"/>
  <c r="AW49" i="7"/>
  <c r="AW57" i="7"/>
  <c r="AW65" i="7"/>
  <c r="AW73" i="7"/>
  <c r="AW81" i="7"/>
  <c r="AW89" i="7"/>
  <c r="AW97" i="7"/>
  <c r="AW105" i="7"/>
  <c r="AW113" i="7"/>
  <c r="AW121" i="7"/>
  <c r="AW129" i="7"/>
  <c r="AW137" i="7"/>
  <c r="AW18" i="7"/>
  <c r="AW26" i="7"/>
  <c r="AW34" i="7"/>
  <c r="AW42" i="7"/>
  <c r="AW50" i="7"/>
  <c r="AW58" i="7"/>
  <c r="AW66" i="7"/>
  <c r="AW74" i="7"/>
  <c r="AW82" i="7"/>
  <c r="AW90" i="7"/>
  <c r="AW98" i="7"/>
  <c r="AW106" i="7"/>
  <c r="AW114" i="7"/>
  <c r="AW122" i="7"/>
  <c r="AW130" i="7"/>
  <c r="AW138" i="7"/>
  <c r="AW19" i="7"/>
  <c r="AW27" i="7"/>
  <c r="AW35" i="7"/>
  <c r="AW43" i="7"/>
  <c r="AW51" i="7"/>
  <c r="AW59" i="7"/>
  <c r="AW67" i="7"/>
  <c r="AW75" i="7"/>
  <c r="AW83" i="7"/>
  <c r="AW91" i="7"/>
  <c r="AW99" i="7"/>
  <c r="AW107" i="7"/>
  <c r="AW115" i="7"/>
  <c r="AW123" i="7"/>
  <c r="AW131" i="7"/>
  <c r="AW12" i="7"/>
  <c r="AW20" i="7"/>
  <c r="AW28" i="7"/>
  <c r="AW36" i="7"/>
  <c r="AW44" i="7"/>
  <c r="AW52" i="7"/>
  <c r="AW60" i="7"/>
  <c r="AW68" i="7"/>
  <c r="AW76" i="7"/>
  <c r="AW84" i="7"/>
  <c r="AW92" i="7"/>
  <c r="AW100" i="7"/>
  <c r="AW108" i="7"/>
  <c r="AW116" i="7"/>
  <c r="AW124" i="7"/>
  <c r="AW132" i="7"/>
  <c r="L16" i="7"/>
  <c r="M16" i="7" s="1"/>
  <c r="L19" i="7"/>
  <c r="M19" i="7" s="1"/>
  <c r="L33" i="7"/>
  <c r="M33" i="7" s="1"/>
  <c r="L36" i="7"/>
  <c r="M36" i="7" s="1"/>
  <c r="L38" i="7"/>
  <c r="M38" i="7" s="1"/>
  <c r="L63" i="7"/>
  <c r="M63" i="7" s="1"/>
  <c r="L81" i="7"/>
  <c r="M81" i="7" s="1"/>
  <c r="L84" i="7"/>
  <c r="M84" i="7" s="1"/>
  <c r="L88" i="7"/>
  <c r="M88" i="7" s="1"/>
  <c r="L91" i="7"/>
  <c r="M91" i="7" s="1"/>
  <c r="L97" i="7"/>
  <c r="M97" i="7" s="1"/>
  <c r="L100" i="7"/>
  <c r="M100" i="7" s="1"/>
  <c r="L103" i="7"/>
  <c r="M103" i="7" s="1"/>
  <c r="L109" i="7"/>
  <c r="M109" i="7" s="1"/>
  <c r="L114" i="7"/>
  <c r="M114" i="7" s="1"/>
  <c r="L120" i="7"/>
  <c r="M120" i="7" s="1"/>
  <c r="L123" i="7"/>
  <c r="M123" i="7" s="1"/>
  <c r="L129" i="7"/>
  <c r="M129" i="7" s="1"/>
  <c r="L132" i="7"/>
  <c r="M132" i="7" s="1"/>
  <c r="L135" i="7"/>
  <c r="M135" i="7" s="1"/>
  <c r="L35" i="7"/>
  <c r="M35" i="7" s="1"/>
  <c r="L83" i="7"/>
  <c r="M83" i="7" s="1"/>
  <c r="L99" i="7"/>
  <c r="M99" i="7" s="1"/>
  <c r="L117" i="7"/>
  <c r="M117" i="7" s="1"/>
  <c r="L21" i="7"/>
  <c r="M21" i="7" s="1"/>
  <c r="L46" i="7"/>
  <c r="M46" i="7" s="1"/>
  <c r="L78" i="7"/>
  <c r="M78" i="7" s="1"/>
  <c r="L12" i="7"/>
  <c r="M12" i="7" s="1"/>
  <c r="L13" i="7"/>
  <c r="M13" i="7" s="1"/>
  <c r="L25" i="7"/>
  <c r="M25" i="7" s="1"/>
  <c r="L28" i="7"/>
  <c r="M28" i="7" s="1"/>
  <c r="L30" i="7"/>
  <c r="M30" i="7" s="1"/>
  <c r="L55" i="7"/>
  <c r="M55" i="7" s="1"/>
  <c r="L58" i="7"/>
  <c r="M58" i="7" s="1"/>
  <c r="L71" i="7"/>
  <c r="M71" i="7" s="1"/>
  <c r="L86" i="7"/>
  <c r="M86" i="7" s="1"/>
  <c r="L118" i="7"/>
  <c r="M118" i="7" s="1"/>
  <c r="L54" i="7"/>
  <c r="M54" i="7" s="1"/>
  <c r="L111" i="7"/>
  <c r="M111" i="7" s="1"/>
  <c r="L128" i="7"/>
  <c r="M128" i="7" s="1"/>
  <c r="L27" i="7"/>
  <c r="M27" i="7" s="1"/>
  <c r="L41" i="7"/>
  <c r="M41" i="7" s="1"/>
  <c r="L17" i="7"/>
  <c r="M17" i="7" s="1"/>
  <c r="L20" i="7"/>
  <c r="M20" i="7" s="1"/>
  <c r="L22" i="7"/>
  <c r="M22" i="7" s="1"/>
  <c r="L47" i="7"/>
  <c r="M47" i="7" s="1"/>
  <c r="L50" i="7"/>
  <c r="M50" i="7" s="1"/>
  <c r="L61" i="7"/>
  <c r="M61" i="7" s="1"/>
  <c r="L66" i="7"/>
  <c r="M66" i="7" s="1"/>
  <c r="L79" i="7"/>
  <c r="M79" i="7" s="1"/>
  <c r="L89" i="7"/>
  <c r="M89" i="7" s="1"/>
  <c r="L92" i="7"/>
  <c r="M92" i="7" s="1"/>
  <c r="L95" i="7"/>
  <c r="M95" i="7" s="1"/>
  <c r="L101" i="7"/>
  <c r="M101" i="7" s="1"/>
  <c r="L106" i="7"/>
  <c r="M106" i="7" s="1"/>
  <c r="L112" i="7"/>
  <c r="M112" i="7" s="1"/>
  <c r="L115" i="7"/>
  <c r="M115" i="7" s="1"/>
  <c r="L121" i="7"/>
  <c r="M121" i="7" s="1"/>
  <c r="L124" i="7"/>
  <c r="M124" i="7" s="1"/>
  <c r="L127" i="7"/>
  <c r="M127" i="7" s="1"/>
  <c r="L133" i="7"/>
  <c r="M133" i="7" s="1"/>
  <c r="L138" i="7"/>
  <c r="M138" i="7" s="1"/>
  <c r="L29" i="7"/>
  <c r="M29" i="7" s="1"/>
  <c r="L49" i="7"/>
  <c r="M49" i="7" s="1"/>
  <c r="L65" i="7"/>
  <c r="M65" i="7" s="1"/>
  <c r="L80" i="7"/>
  <c r="M80" i="7" s="1"/>
  <c r="L96" i="7"/>
  <c r="M96" i="7" s="1"/>
  <c r="L131" i="7"/>
  <c r="M131" i="7" s="1"/>
  <c r="L24" i="7"/>
  <c r="M24" i="7" s="1"/>
  <c r="L44" i="7"/>
  <c r="M44" i="7" s="1"/>
  <c r="L73" i="7"/>
  <c r="M73" i="7" s="1"/>
  <c r="L14" i="7"/>
  <c r="M14" i="7" s="1"/>
  <c r="L39" i="7"/>
  <c r="M39" i="7" s="1"/>
  <c r="L42" i="7"/>
  <c r="M42" i="7" s="1"/>
  <c r="L53" i="7"/>
  <c r="M53" i="7" s="1"/>
  <c r="L56" i="7"/>
  <c r="M56" i="7" s="1"/>
  <c r="L59" i="7"/>
  <c r="M59" i="7" s="1"/>
  <c r="L69" i="7"/>
  <c r="M69" i="7" s="1"/>
  <c r="L74" i="7"/>
  <c r="M74" i="7" s="1"/>
  <c r="L110" i="7"/>
  <c r="M110" i="7" s="1"/>
  <c r="L134" i="7"/>
  <c r="M134" i="7" s="1"/>
  <c r="L18" i="7"/>
  <c r="M18" i="7" s="1"/>
  <c r="L90" i="7"/>
  <c r="M90" i="7" s="1"/>
  <c r="L108" i="7"/>
  <c r="M108" i="7" s="1"/>
  <c r="L122" i="7"/>
  <c r="M122" i="7" s="1"/>
  <c r="L31" i="7"/>
  <c r="M31" i="7" s="1"/>
  <c r="L34" i="7"/>
  <c r="M34" i="7" s="1"/>
  <c r="L45" i="7"/>
  <c r="M45" i="7" s="1"/>
  <c r="L48" i="7"/>
  <c r="M48" i="7" s="1"/>
  <c r="L51" i="7"/>
  <c r="M51" i="7" s="1"/>
  <c r="L64" i="7"/>
  <c r="M64" i="7" s="1"/>
  <c r="L67" i="7"/>
  <c r="M67" i="7" s="1"/>
  <c r="L77" i="7"/>
  <c r="M77" i="7" s="1"/>
  <c r="L82" i="7"/>
  <c r="M82" i="7" s="1"/>
  <c r="L87" i="7"/>
  <c r="M87" i="7" s="1"/>
  <c r="L93" i="7"/>
  <c r="M93" i="7" s="1"/>
  <c r="L98" i="7"/>
  <c r="M98" i="7" s="1"/>
  <c r="L104" i="7"/>
  <c r="M104" i="7" s="1"/>
  <c r="L107" i="7"/>
  <c r="M107" i="7" s="1"/>
  <c r="L113" i="7"/>
  <c r="M113" i="7" s="1"/>
  <c r="L116" i="7"/>
  <c r="M116" i="7" s="1"/>
  <c r="L119" i="7"/>
  <c r="M119" i="7" s="1"/>
  <c r="L125" i="7"/>
  <c r="M125" i="7" s="1"/>
  <c r="L130" i="7"/>
  <c r="M130" i="7" s="1"/>
  <c r="L136" i="7"/>
  <c r="M136" i="7" s="1"/>
  <c r="L15" i="7"/>
  <c r="M15" i="7" s="1"/>
  <c r="L70" i="7"/>
  <c r="M70" i="7" s="1"/>
  <c r="L105" i="7"/>
  <c r="M105" i="7" s="1"/>
  <c r="L126" i="7"/>
  <c r="M126" i="7" s="1"/>
  <c r="L23" i="7"/>
  <c r="M23" i="7" s="1"/>
  <c r="L26" i="7"/>
  <c r="M26" i="7" s="1"/>
  <c r="L37" i="7"/>
  <c r="M37" i="7" s="1"/>
  <c r="L40" i="7"/>
  <c r="M40" i="7" s="1"/>
  <c r="L43" i="7"/>
  <c r="M43" i="7" s="1"/>
  <c r="L57" i="7"/>
  <c r="M57" i="7" s="1"/>
  <c r="L60" i="7"/>
  <c r="M60" i="7" s="1"/>
  <c r="L62" i="7"/>
  <c r="M62" i="7" s="1"/>
  <c r="L72" i="7"/>
  <c r="M72" i="7" s="1"/>
  <c r="L75" i="7"/>
  <c r="M75" i="7" s="1"/>
  <c r="L85" i="7"/>
  <c r="M85" i="7" s="1"/>
  <c r="L102" i="7"/>
  <c r="M102" i="7" s="1"/>
  <c r="L32" i="7"/>
  <c r="M32" i="7" s="1"/>
  <c r="L52" i="7"/>
  <c r="M52" i="7" s="1"/>
  <c r="L68" i="7"/>
  <c r="M68" i="7" s="1"/>
  <c r="L137" i="7"/>
  <c r="M137" i="7" s="1"/>
  <c r="L76" i="7"/>
  <c r="M76" i="7" s="1"/>
  <c r="L94" i="7"/>
  <c r="M94" i="7" s="1"/>
  <c r="C190" i="2"/>
  <c r="F190" i="2" s="1"/>
  <c r="C164" i="2"/>
  <c r="F164" i="2" s="1"/>
  <c r="C174" i="2"/>
  <c r="F174" i="2" s="1"/>
  <c r="C60" i="2"/>
  <c r="F60" i="2" s="1"/>
  <c r="F145" i="2"/>
  <c r="C146" i="2" s="1"/>
  <c r="F146" i="2" s="1"/>
  <c r="G101" i="1" s="1"/>
  <c r="C144" i="2"/>
  <c r="F144" i="2" s="1"/>
  <c r="F159" i="2"/>
  <c r="C161" i="2" s="1"/>
  <c r="F161" i="2" s="1"/>
  <c r="G114" i="1" s="1"/>
  <c r="F132" i="2"/>
  <c r="F96" i="2"/>
  <c r="C98" i="2" s="1"/>
  <c r="F98" i="2" s="1"/>
  <c r="G62" i="1" s="1"/>
  <c r="C79" i="2"/>
  <c r="F79" i="2" s="1"/>
  <c r="C80" i="2" s="1"/>
  <c r="F80" i="2" s="1"/>
  <c r="G47" i="1" s="1"/>
  <c r="C138" i="2"/>
  <c r="F138" i="2" s="1"/>
  <c r="G94" i="1" s="1"/>
  <c r="F131" i="2"/>
  <c r="BX7" i="7" l="1"/>
  <c r="AX86" i="7"/>
  <c r="AY86" i="7" s="1"/>
  <c r="AX93" i="7"/>
  <c r="AY93" i="7" s="1"/>
  <c r="AX95" i="7"/>
  <c r="AY95" i="7" s="1"/>
  <c r="AX18" i="7"/>
  <c r="AY18" i="7" s="1"/>
  <c r="AX101" i="7"/>
  <c r="AY101" i="7" s="1"/>
  <c r="AX120" i="7"/>
  <c r="AY120" i="7" s="1"/>
  <c r="AX110" i="7"/>
  <c r="AY110" i="7" s="1"/>
  <c r="AX128" i="7"/>
  <c r="AY128" i="7" s="1"/>
  <c r="AX39" i="7"/>
  <c r="AY39" i="7" s="1"/>
  <c r="AX60" i="7"/>
  <c r="AY60" i="7" s="1"/>
  <c r="AX82" i="7"/>
  <c r="AY82" i="7" s="1"/>
  <c r="AX15" i="7"/>
  <c r="AY15" i="7" s="1"/>
  <c r="AX91" i="7"/>
  <c r="AY91" i="7" s="1"/>
  <c r="AX104" i="7"/>
  <c r="AY104" i="7" s="1"/>
  <c r="AX84" i="7"/>
  <c r="AY84" i="7" s="1"/>
  <c r="AX129" i="7"/>
  <c r="AY129" i="7" s="1"/>
  <c r="AX23" i="7"/>
  <c r="AY23" i="7" s="1"/>
  <c r="AX54" i="7"/>
  <c r="AY54" i="7" s="1"/>
  <c r="AX79" i="7"/>
  <c r="AY79" i="7" s="1"/>
  <c r="AX96" i="7"/>
  <c r="AY96" i="7" s="1"/>
  <c r="AX69" i="7"/>
  <c r="AY69" i="7" s="1"/>
  <c r="AX72" i="7"/>
  <c r="AY72" i="7" s="1"/>
  <c r="AX78" i="7"/>
  <c r="AY78" i="7" s="1"/>
  <c r="AX119" i="7"/>
  <c r="AY119" i="7" s="1"/>
  <c r="AX17" i="7"/>
  <c r="AY17" i="7" s="1"/>
  <c r="AX80" i="7"/>
  <c r="AY80" i="7" s="1"/>
  <c r="AX44" i="7"/>
  <c r="AY44" i="7" s="1"/>
  <c r="AX63" i="7"/>
  <c r="AY63" i="7" s="1"/>
  <c r="AX137" i="7"/>
  <c r="AY137" i="7" s="1"/>
  <c r="AX59" i="7"/>
  <c r="AY59" i="7" s="1"/>
  <c r="AX56" i="7"/>
  <c r="AY56" i="7" s="1"/>
  <c r="AX68" i="7"/>
  <c r="AY68" i="7" s="1"/>
  <c r="AX87" i="7"/>
  <c r="AY87" i="7" s="1"/>
  <c r="AX122" i="7"/>
  <c r="AY122" i="7" s="1"/>
  <c r="AX124" i="7"/>
  <c r="AY124" i="7" s="1"/>
  <c r="AX28" i="7"/>
  <c r="AY28" i="7" s="1"/>
  <c r="AX57" i="7"/>
  <c r="AY57" i="7" s="1"/>
  <c r="AX127" i="7"/>
  <c r="AY127" i="7" s="1"/>
  <c r="AX53" i="7"/>
  <c r="AY53" i="7" s="1"/>
  <c r="AX112" i="7"/>
  <c r="AY112" i="7" s="1"/>
  <c r="AX52" i="7"/>
  <c r="AY52" i="7" s="1"/>
  <c r="AX81" i="7"/>
  <c r="AY81" i="7" s="1"/>
  <c r="AX113" i="7"/>
  <c r="AY113" i="7" s="1"/>
  <c r="AX118" i="7"/>
  <c r="AY118" i="7" s="1"/>
  <c r="AX22" i="7"/>
  <c r="AY22" i="7" s="1"/>
  <c r="AX50" i="7"/>
  <c r="AY50" i="7" s="1"/>
  <c r="AX133" i="7"/>
  <c r="AY133" i="7" s="1"/>
  <c r="AX37" i="7"/>
  <c r="AY37" i="7" s="1"/>
  <c r="AX16" i="7"/>
  <c r="AY16" i="7" s="1"/>
  <c r="AX46" i="7"/>
  <c r="AY46" i="7" s="1"/>
  <c r="AX65" i="7"/>
  <c r="AY65" i="7" s="1"/>
  <c r="AX131" i="7"/>
  <c r="AY131" i="7" s="1"/>
  <c r="AX108" i="7"/>
  <c r="AY108" i="7" s="1"/>
  <c r="AX111" i="7"/>
  <c r="AY111" i="7" s="1"/>
  <c r="AX41" i="7"/>
  <c r="AY41" i="7" s="1"/>
  <c r="AX123" i="7"/>
  <c r="AY123" i="7" s="1"/>
  <c r="AX27" i="7"/>
  <c r="AY27" i="7" s="1"/>
  <c r="AX132" i="7"/>
  <c r="AY132" i="7" s="1"/>
  <c r="AX20" i="7"/>
  <c r="AY20" i="7" s="1"/>
  <c r="AX58" i="7"/>
  <c r="AY58" i="7" s="1"/>
  <c r="AX125" i="7"/>
  <c r="AY125" i="7" s="1"/>
  <c r="AX92" i="7"/>
  <c r="AY92" i="7" s="1"/>
  <c r="AX105" i="7"/>
  <c r="AY105" i="7" s="1"/>
  <c r="AX34" i="7"/>
  <c r="AY34" i="7" s="1"/>
  <c r="AX117" i="7"/>
  <c r="AY117" i="7" s="1"/>
  <c r="AX136" i="7"/>
  <c r="AY136" i="7" s="1"/>
  <c r="AX116" i="7"/>
  <c r="AY116" i="7" s="1"/>
  <c r="AX14" i="7"/>
  <c r="AY14" i="7" s="1"/>
  <c r="AX42" i="7"/>
  <c r="AY42" i="7" s="1"/>
  <c r="AX99" i="7"/>
  <c r="AY99" i="7" s="1"/>
  <c r="AX74" i="7"/>
  <c r="AY74" i="7" s="1"/>
  <c r="AX33" i="7"/>
  <c r="AY33" i="7" s="1"/>
  <c r="AX103" i="7"/>
  <c r="AY103" i="7" s="1"/>
  <c r="AX83" i="7"/>
  <c r="AY83" i="7" s="1"/>
  <c r="AX102" i="7"/>
  <c r="AY102" i="7" s="1"/>
  <c r="AX38" i="7"/>
  <c r="AY38" i="7" s="1"/>
  <c r="AX89" i="7"/>
  <c r="AY89" i="7" s="1"/>
  <c r="AX47" i="7"/>
  <c r="AY47" i="7" s="1"/>
  <c r="AX48" i="7"/>
  <c r="AY48" i="7" s="1"/>
  <c r="AX107" i="7"/>
  <c r="AY107" i="7" s="1"/>
  <c r="AX43" i="7"/>
  <c r="AY43" i="7" s="1"/>
  <c r="AX88" i="7"/>
  <c r="AY88" i="7" s="1"/>
  <c r="AX126" i="7"/>
  <c r="AY126" i="7" s="1"/>
  <c r="AX62" i="7"/>
  <c r="AY62" i="7" s="1"/>
  <c r="AX138" i="7"/>
  <c r="AY138" i="7" s="1"/>
  <c r="AX71" i="7"/>
  <c r="AY71" i="7" s="1"/>
  <c r="AX26" i="7"/>
  <c r="AY26" i="7" s="1"/>
  <c r="AX90" i="7"/>
  <c r="AY90" i="7" s="1"/>
  <c r="AX77" i="7"/>
  <c r="AY77" i="7" s="1"/>
  <c r="AX13" i="7"/>
  <c r="AY13" i="7" s="1"/>
  <c r="AX67" i="7"/>
  <c r="AY67" i="7" s="1"/>
  <c r="AX61" i="7"/>
  <c r="AY61" i="7" s="1"/>
  <c r="AX12" i="7"/>
  <c r="AY12" i="7" s="1"/>
  <c r="AX76" i="7"/>
  <c r="AY76" i="7" s="1"/>
  <c r="AX130" i="7"/>
  <c r="AY130" i="7" s="1"/>
  <c r="AX73" i="7"/>
  <c r="AY73" i="7" s="1"/>
  <c r="AX31" i="7"/>
  <c r="AY31" i="7" s="1"/>
  <c r="AX114" i="7"/>
  <c r="AY114" i="7" s="1"/>
  <c r="AX85" i="7"/>
  <c r="AY85" i="7" s="1"/>
  <c r="AX21" i="7"/>
  <c r="AY21" i="7" s="1"/>
  <c r="AX40" i="7"/>
  <c r="AY40" i="7" s="1"/>
  <c r="AX100" i="7"/>
  <c r="AY100" i="7" s="1"/>
  <c r="AX36" i="7"/>
  <c r="AY36" i="7" s="1"/>
  <c r="AX106" i="7"/>
  <c r="AY106" i="7" s="1"/>
  <c r="AX55" i="7"/>
  <c r="AY55" i="7" s="1"/>
  <c r="AX64" i="7"/>
  <c r="AY64" i="7" s="1"/>
  <c r="AX115" i="7"/>
  <c r="AY115" i="7" s="1"/>
  <c r="AX51" i="7"/>
  <c r="AY51" i="7" s="1"/>
  <c r="AX134" i="7"/>
  <c r="AY134" i="7" s="1"/>
  <c r="AX70" i="7"/>
  <c r="AY70" i="7" s="1"/>
  <c r="AX121" i="7"/>
  <c r="AY121" i="7" s="1"/>
  <c r="AX66" i="7"/>
  <c r="AY66" i="7" s="1"/>
  <c r="AX25" i="7"/>
  <c r="AY25" i="7" s="1"/>
  <c r="AX98" i="7"/>
  <c r="AY98" i="7" s="1"/>
  <c r="AX75" i="7"/>
  <c r="AY75" i="7" s="1"/>
  <c r="AX32" i="7"/>
  <c r="AY32" i="7" s="1"/>
  <c r="AX24" i="7"/>
  <c r="AY24" i="7" s="1"/>
  <c r="AX94" i="7"/>
  <c r="AY94" i="7" s="1"/>
  <c r="AX30" i="7"/>
  <c r="AY30" i="7" s="1"/>
  <c r="AX97" i="7"/>
  <c r="AY97" i="7" s="1"/>
  <c r="AX49" i="7"/>
  <c r="AY49" i="7" s="1"/>
  <c r="AX135" i="7"/>
  <c r="AY135" i="7" s="1"/>
  <c r="AX109" i="7"/>
  <c r="AY109" i="7" s="1"/>
  <c r="AX45" i="7"/>
  <c r="AY45" i="7" s="1"/>
  <c r="AX35" i="7"/>
  <c r="AY35" i="7" s="1"/>
  <c r="AX29" i="7"/>
  <c r="AY29" i="7" s="1"/>
  <c r="AX19" i="7"/>
  <c r="AY19" i="7" s="1"/>
  <c r="Q16" i="7"/>
  <c r="Q24" i="7"/>
  <c r="Q32" i="7"/>
  <c r="Q40" i="7"/>
  <c r="Q48" i="7"/>
  <c r="Q56" i="7"/>
  <c r="Q64" i="7"/>
  <c r="Q72" i="7"/>
  <c r="Q80" i="7"/>
  <c r="Q88" i="7"/>
  <c r="Q96" i="7"/>
  <c r="Q104" i="7"/>
  <c r="Q112" i="7"/>
  <c r="Q120" i="7"/>
  <c r="Q128" i="7"/>
  <c r="Q136" i="7"/>
  <c r="Q17" i="7"/>
  <c r="Q33" i="7"/>
  <c r="Q25" i="7"/>
  <c r="Q19" i="7"/>
  <c r="Q27" i="7"/>
  <c r="Q35" i="7"/>
  <c r="Q43" i="7"/>
  <c r="Q51" i="7"/>
  <c r="Q59" i="7"/>
  <c r="Q67" i="7"/>
  <c r="Q75" i="7"/>
  <c r="Q83" i="7"/>
  <c r="Q91" i="7"/>
  <c r="Q99" i="7"/>
  <c r="Q107" i="7"/>
  <c r="Q115" i="7"/>
  <c r="Q123" i="7"/>
  <c r="Q131" i="7"/>
  <c r="Q12" i="7"/>
  <c r="Q15" i="7"/>
  <c r="Q29" i="7"/>
  <c r="Q41" i="7"/>
  <c r="Q52" i="7"/>
  <c r="Q62" i="7"/>
  <c r="Q73" i="7"/>
  <c r="Q84" i="7"/>
  <c r="Q94" i="7"/>
  <c r="Q105" i="7"/>
  <c r="Q116" i="7"/>
  <c r="Q126" i="7"/>
  <c r="Q137" i="7"/>
  <c r="Q118" i="7"/>
  <c r="Q111" i="7"/>
  <c r="Q49" i="7"/>
  <c r="Q124" i="7"/>
  <c r="Q61" i="7"/>
  <c r="Q125" i="7"/>
  <c r="Q18" i="7"/>
  <c r="Q30" i="7"/>
  <c r="Q42" i="7"/>
  <c r="Q53" i="7"/>
  <c r="Q63" i="7"/>
  <c r="Q74" i="7"/>
  <c r="Q85" i="7"/>
  <c r="Q95" i="7"/>
  <c r="Q106" i="7"/>
  <c r="Q117" i="7"/>
  <c r="Q127" i="7"/>
  <c r="Q138" i="7"/>
  <c r="Q122" i="7"/>
  <c r="Q26" i="7"/>
  <c r="Q70" i="7"/>
  <c r="Q113" i="7"/>
  <c r="Q14" i="7"/>
  <c r="Q50" i="7"/>
  <c r="Q93" i="7"/>
  <c r="Q135" i="7"/>
  <c r="Q20" i="7"/>
  <c r="Q31" i="7"/>
  <c r="Q44" i="7"/>
  <c r="Q54" i="7"/>
  <c r="Q65" i="7"/>
  <c r="Q76" i="7"/>
  <c r="Q86" i="7"/>
  <c r="Q97" i="7"/>
  <c r="Q108" i="7"/>
  <c r="Q129" i="7"/>
  <c r="Q101" i="7"/>
  <c r="Q81" i="7"/>
  <c r="Q28" i="7"/>
  <c r="Q82" i="7"/>
  <c r="Q21" i="7"/>
  <c r="Q34" i="7"/>
  <c r="Q45" i="7"/>
  <c r="Q55" i="7"/>
  <c r="Q66" i="7"/>
  <c r="Q77" i="7"/>
  <c r="Q87" i="7"/>
  <c r="Q98" i="7"/>
  <c r="Q109" i="7"/>
  <c r="Q119" i="7"/>
  <c r="Q130" i="7"/>
  <c r="Q90" i="7"/>
  <c r="Q92" i="7"/>
  <c r="Q39" i="7"/>
  <c r="Q103" i="7"/>
  <c r="Q22" i="7"/>
  <c r="Q36" i="7"/>
  <c r="Q46" i="7"/>
  <c r="Q57" i="7"/>
  <c r="Q68" i="7"/>
  <c r="Q78" i="7"/>
  <c r="Q89" i="7"/>
  <c r="Q100" i="7"/>
  <c r="Q110" i="7"/>
  <c r="Q121" i="7"/>
  <c r="Q132" i="7"/>
  <c r="Q60" i="7"/>
  <c r="Q134" i="7"/>
  <c r="Q71" i="7"/>
  <c r="Q114" i="7"/>
  <c r="Q23" i="7"/>
  <c r="Q37" i="7"/>
  <c r="Q47" i="7"/>
  <c r="Q58" i="7"/>
  <c r="Q69" i="7"/>
  <c r="Q79" i="7"/>
  <c r="Q133" i="7"/>
  <c r="Q13" i="7"/>
  <c r="Q38" i="7"/>
  <c r="Q102" i="7"/>
  <c r="P13" i="7"/>
  <c r="P21" i="7"/>
  <c r="P29" i="7"/>
  <c r="P37" i="7"/>
  <c r="P45" i="7"/>
  <c r="P53" i="7"/>
  <c r="P61" i="7"/>
  <c r="P69" i="7"/>
  <c r="P77" i="7"/>
  <c r="P85" i="7"/>
  <c r="P93" i="7"/>
  <c r="P101" i="7"/>
  <c r="P109" i="7"/>
  <c r="P117" i="7"/>
  <c r="P125" i="7"/>
  <c r="P133" i="7"/>
  <c r="P36" i="7"/>
  <c r="P76" i="7"/>
  <c r="P132" i="7"/>
  <c r="P14" i="7"/>
  <c r="P22" i="7"/>
  <c r="P30" i="7"/>
  <c r="P38" i="7"/>
  <c r="P46" i="7"/>
  <c r="P54" i="7"/>
  <c r="P62" i="7"/>
  <c r="P70" i="7"/>
  <c r="P78" i="7"/>
  <c r="P86" i="7"/>
  <c r="P94" i="7"/>
  <c r="P102" i="7"/>
  <c r="P110" i="7"/>
  <c r="P118" i="7"/>
  <c r="P126" i="7"/>
  <c r="P134" i="7"/>
  <c r="P28" i="7"/>
  <c r="P84" i="7"/>
  <c r="P15" i="7"/>
  <c r="P23" i="7"/>
  <c r="P31" i="7"/>
  <c r="P39" i="7"/>
  <c r="P47" i="7"/>
  <c r="P55" i="7"/>
  <c r="P63" i="7"/>
  <c r="P71" i="7"/>
  <c r="P79" i="7"/>
  <c r="P87" i="7"/>
  <c r="P95" i="7"/>
  <c r="P103" i="7"/>
  <c r="P111" i="7"/>
  <c r="R111" i="7" s="1"/>
  <c r="T111" i="7" s="1"/>
  <c r="P119" i="7"/>
  <c r="P127" i="7"/>
  <c r="P135" i="7"/>
  <c r="P20" i="7"/>
  <c r="P100" i="7"/>
  <c r="P16" i="7"/>
  <c r="P24" i="7"/>
  <c r="P32" i="7"/>
  <c r="P40" i="7"/>
  <c r="P48" i="7"/>
  <c r="P56" i="7"/>
  <c r="P64" i="7"/>
  <c r="P72" i="7"/>
  <c r="P80" i="7"/>
  <c r="P88" i="7"/>
  <c r="P96" i="7"/>
  <c r="P104" i="7"/>
  <c r="P112" i="7"/>
  <c r="P120" i="7"/>
  <c r="P128" i="7"/>
  <c r="P136" i="7"/>
  <c r="P137" i="7"/>
  <c r="P68" i="7"/>
  <c r="P124" i="7"/>
  <c r="P17" i="7"/>
  <c r="P25" i="7"/>
  <c r="P33" i="7"/>
  <c r="P41" i="7"/>
  <c r="P49" i="7"/>
  <c r="P57" i="7"/>
  <c r="P65" i="7"/>
  <c r="P73" i="7"/>
  <c r="R73" i="7" s="1"/>
  <c r="T73" i="7" s="1"/>
  <c r="P81" i="7"/>
  <c r="P89" i="7"/>
  <c r="P97" i="7"/>
  <c r="P105" i="7"/>
  <c r="P113" i="7"/>
  <c r="P121" i="7"/>
  <c r="P129" i="7"/>
  <c r="P60" i="7"/>
  <c r="P116" i="7"/>
  <c r="P18" i="7"/>
  <c r="P26" i="7"/>
  <c r="P34" i="7"/>
  <c r="P42" i="7"/>
  <c r="P50" i="7"/>
  <c r="P58" i="7"/>
  <c r="P66" i="7"/>
  <c r="P74" i="7"/>
  <c r="P82" i="7"/>
  <c r="P90" i="7"/>
  <c r="P98" i="7"/>
  <c r="P106" i="7"/>
  <c r="P114" i="7"/>
  <c r="P122" i="7"/>
  <c r="P130" i="7"/>
  <c r="P138" i="7"/>
  <c r="P44" i="7"/>
  <c r="P92" i="7"/>
  <c r="P19" i="7"/>
  <c r="P27" i="7"/>
  <c r="P35" i="7"/>
  <c r="P43" i="7"/>
  <c r="P51" i="7"/>
  <c r="P59" i="7"/>
  <c r="P67" i="7"/>
  <c r="P75" i="7"/>
  <c r="P83" i="7"/>
  <c r="P91" i="7"/>
  <c r="P99" i="7"/>
  <c r="P107" i="7"/>
  <c r="P115" i="7"/>
  <c r="P123" i="7"/>
  <c r="P131" i="7"/>
  <c r="P12" i="7"/>
  <c r="P52" i="7"/>
  <c r="P108" i="7"/>
  <c r="C133" i="2"/>
  <c r="F133" i="2" s="1"/>
  <c r="L12" i="6"/>
  <c r="C162" i="2"/>
  <c r="F162" i="2" s="1"/>
  <c r="G115" i="1" s="1"/>
  <c r="G46" i="1"/>
  <c r="C134" i="2"/>
  <c r="F134" i="2" s="1"/>
  <c r="G90" i="1" s="1"/>
  <c r="R106" i="7" l="1"/>
  <c r="T106" i="7" s="1"/>
  <c r="R25" i="7"/>
  <c r="T25" i="7" s="1"/>
  <c r="R87" i="7"/>
  <c r="T87" i="7" s="1"/>
  <c r="R100" i="7"/>
  <c r="T100" i="7" s="1"/>
  <c r="R23" i="7"/>
  <c r="T23" i="7" s="1"/>
  <c r="W23" i="7" s="1"/>
  <c r="R96" i="7"/>
  <c r="T96" i="7" s="1"/>
  <c r="R13" i="7"/>
  <c r="T13" i="7" s="1"/>
  <c r="R91" i="7"/>
  <c r="T91" i="7" s="1"/>
  <c r="V91" i="7" s="1"/>
  <c r="R27" i="7"/>
  <c r="T27" i="7" s="1"/>
  <c r="V27" i="7" s="1"/>
  <c r="R113" i="7"/>
  <c r="T113" i="7" s="1"/>
  <c r="W113" i="7" s="1"/>
  <c r="R92" i="7"/>
  <c r="T92" i="7" s="1"/>
  <c r="W92" i="7" s="1"/>
  <c r="R89" i="7"/>
  <c r="T89" i="7" s="1"/>
  <c r="W89" i="7" s="1"/>
  <c r="R112" i="7"/>
  <c r="T112" i="7" s="1"/>
  <c r="V112" i="7" s="1"/>
  <c r="R48" i="7"/>
  <c r="T48" i="7" s="1"/>
  <c r="W48" i="7" s="1"/>
  <c r="R75" i="7"/>
  <c r="T75" i="7" s="1"/>
  <c r="W75" i="7" s="1"/>
  <c r="R32" i="7"/>
  <c r="T32" i="7" s="1"/>
  <c r="W32" i="7" s="1"/>
  <c r="R66" i="7"/>
  <c r="T66" i="7" s="1"/>
  <c r="W66" i="7" s="1"/>
  <c r="G89" i="1"/>
  <c r="AP8" i="7"/>
  <c r="BS8" i="7"/>
  <c r="R44" i="7"/>
  <c r="T44" i="7" s="1"/>
  <c r="W44" i="7" s="1"/>
  <c r="R38" i="7"/>
  <c r="T38" i="7" s="1"/>
  <c r="V38" i="7" s="1"/>
  <c r="R110" i="7"/>
  <c r="T110" i="7" s="1"/>
  <c r="W110" i="7" s="1"/>
  <c r="R64" i="7"/>
  <c r="T64" i="7" s="1"/>
  <c r="W64" i="7" s="1"/>
  <c r="R107" i="7"/>
  <c r="T107" i="7" s="1"/>
  <c r="V107" i="7" s="1"/>
  <c r="R43" i="7"/>
  <c r="T43" i="7" s="1"/>
  <c r="V43" i="7" s="1"/>
  <c r="R82" i="7"/>
  <c r="T82" i="7" s="1"/>
  <c r="W82" i="7" s="1"/>
  <c r="R59" i="7"/>
  <c r="T59" i="7" s="1"/>
  <c r="V59" i="7" s="1"/>
  <c r="R138" i="7"/>
  <c r="T138" i="7" s="1"/>
  <c r="W138" i="7" s="1"/>
  <c r="BX13" i="7"/>
  <c r="BX21" i="7"/>
  <c r="BX29" i="7"/>
  <c r="BX37" i="7"/>
  <c r="BX45" i="7"/>
  <c r="BX78" i="7"/>
  <c r="BX94" i="7"/>
  <c r="BX102" i="7"/>
  <c r="BX110" i="7"/>
  <c r="BX118" i="7"/>
  <c r="BX126" i="7"/>
  <c r="BX134" i="7"/>
  <c r="BX47" i="7"/>
  <c r="BX63" i="7"/>
  <c r="BX80" i="7"/>
  <c r="BX96" i="7"/>
  <c r="BX104" i="7"/>
  <c r="BX120" i="7"/>
  <c r="BX136" i="7"/>
  <c r="BX14" i="7"/>
  <c r="BX22" i="7"/>
  <c r="BX38" i="7"/>
  <c r="BX54" i="7"/>
  <c r="BX62" i="7"/>
  <c r="BX79" i="7"/>
  <c r="BX87" i="7"/>
  <c r="BX95" i="7"/>
  <c r="BX103" i="7"/>
  <c r="BX111" i="7"/>
  <c r="BX119" i="7"/>
  <c r="BX127" i="7"/>
  <c r="BX135" i="7"/>
  <c r="BX23" i="7"/>
  <c r="BX39" i="7"/>
  <c r="BX55" i="7"/>
  <c r="BX88" i="7"/>
  <c r="BX112" i="7"/>
  <c r="BX128" i="7"/>
  <c r="BX15" i="7"/>
  <c r="BX16" i="7"/>
  <c r="BX24" i="7"/>
  <c r="BX40" i="7"/>
  <c r="BX64" i="7"/>
  <c r="BX73" i="7"/>
  <c r="BX81" i="7"/>
  <c r="BX89" i="7"/>
  <c r="BX97" i="7"/>
  <c r="BX105" i="7"/>
  <c r="BX113" i="7"/>
  <c r="BX121" i="7"/>
  <c r="BX129" i="7"/>
  <c r="BX137" i="7"/>
  <c r="BX34" i="7"/>
  <c r="BX42" i="7"/>
  <c r="BX50" i="7"/>
  <c r="BX58" i="7"/>
  <c r="BX75" i="7"/>
  <c r="BX91" i="7"/>
  <c r="BX107" i="7"/>
  <c r="BX131" i="7"/>
  <c r="BX25" i="7"/>
  <c r="BX33" i="7"/>
  <c r="BX41" i="7"/>
  <c r="BX57" i="7"/>
  <c r="BX65" i="7"/>
  <c r="BX74" i="7"/>
  <c r="BX82" i="7"/>
  <c r="BX90" i="7"/>
  <c r="BX98" i="7"/>
  <c r="BX106" i="7"/>
  <c r="BX114" i="7"/>
  <c r="BX122" i="7"/>
  <c r="BX130" i="7"/>
  <c r="BX138" i="7"/>
  <c r="BX26" i="7"/>
  <c r="BX83" i="7"/>
  <c r="BX99" i="7"/>
  <c r="BX115" i="7"/>
  <c r="BX123" i="7"/>
  <c r="BX18" i="7"/>
  <c r="BX19" i="7"/>
  <c r="BX27" i="7"/>
  <c r="BX35" i="7"/>
  <c r="BX43" i="7"/>
  <c r="BX51" i="7"/>
  <c r="BX59" i="7"/>
  <c r="BX76" i="7"/>
  <c r="BX92" i="7"/>
  <c r="BX100" i="7"/>
  <c r="BX108" i="7"/>
  <c r="BX116" i="7"/>
  <c r="BX124" i="7"/>
  <c r="BX132" i="7"/>
  <c r="BX20" i="7"/>
  <c r="BX60" i="7"/>
  <c r="BX77" i="7"/>
  <c r="BX93" i="7"/>
  <c r="BX101" i="7"/>
  <c r="BX109" i="7"/>
  <c r="BX117" i="7"/>
  <c r="BX125" i="7"/>
  <c r="BX133" i="7"/>
  <c r="R97" i="7"/>
  <c r="T97" i="7" s="1"/>
  <c r="V97" i="7" s="1"/>
  <c r="R120" i="7"/>
  <c r="T120" i="7" s="1"/>
  <c r="W120" i="7" s="1"/>
  <c r="R17" i="7"/>
  <c r="T17" i="7" s="1"/>
  <c r="W17" i="7" s="1"/>
  <c r="R128" i="7"/>
  <c r="T128" i="7" s="1"/>
  <c r="W128" i="7" s="1"/>
  <c r="R76" i="7"/>
  <c r="T76" i="7" s="1"/>
  <c r="W76" i="7" s="1"/>
  <c r="R65" i="7"/>
  <c r="T65" i="7" s="1"/>
  <c r="W65" i="7" s="1"/>
  <c r="R88" i="7"/>
  <c r="T88" i="7" s="1"/>
  <c r="W88" i="7" s="1"/>
  <c r="R24" i="7"/>
  <c r="T24" i="7" s="1"/>
  <c r="V24" i="7" s="1"/>
  <c r="R103" i="7"/>
  <c r="T103" i="7" s="1"/>
  <c r="V103" i="7" s="1"/>
  <c r="R80" i="7"/>
  <c r="T80" i="7" s="1"/>
  <c r="W80" i="7" s="1"/>
  <c r="R16" i="7"/>
  <c r="T16" i="7" s="1"/>
  <c r="W16" i="7" s="1"/>
  <c r="R56" i="7"/>
  <c r="T56" i="7" s="1"/>
  <c r="W56" i="7" s="1"/>
  <c r="R125" i="7"/>
  <c r="T125" i="7" s="1"/>
  <c r="V125" i="7" s="1"/>
  <c r="R26" i="7"/>
  <c r="T26" i="7" s="1"/>
  <c r="W26" i="7" s="1"/>
  <c r="R124" i="7"/>
  <c r="T124" i="7" s="1"/>
  <c r="V124" i="7" s="1"/>
  <c r="R116" i="7"/>
  <c r="T116" i="7" s="1"/>
  <c r="W116" i="7" s="1"/>
  <c r="R81" i="7"/>
  <c r="T81" i="7" s="1"/>
  <c r="W81" i="7" s="1"/>
  <c r="R104" i="7"/>
  <c r="T104" i="7" s="1"/>
  <c r="V104" i="7" s="1"/>
  <c r="R40" i="7"/>
  <c r="T40" i="7" s="1"/>
  <c r="W40" i="7" s="1"/>
  <c r="R29" i="7"/>
  <c r="T29" i="7" s="1"/>
  <c r="W29" i="7" s="1"/>
  <c r="R60" i="7"/>
  <c r="T60" i="7" s="1"/>
  <c r="V60" i="7" s="1"/>
  <c r="R130" i="7"/>
  <c r="T130" i="7" s="1"/>
  <c r="W130" i="7" s="1"/>
  <c r="R45" i="7"/>
  <c r="T45" i="7" s="1"/>
  <c r="V45" i="7" s="1"/>
  <c r="R63" i="7"/>
  <c r="T63" i="7" s="1"/>
  <c r="W63" i="7" s="1"/>
  <c r="R84" i="7"/>
  <c r="T84" i="7" s="1"/>
  <c r="V84" i="7" s="1"/>
  <c r="R131" i="7"/>
  <c r="T131" i="7" s="1"/>
  <c r="W131" i="7" s="1"/>
  <c r="R67" i="7"/>
  <c r="T67" i="7" s="1"/>
  <c r="V67" i="7" s="1"/>
  <c r="R39" i="7"/>
  <c r="T39" i="7" s="1"/>
  <c r="V39" i="7" s="1"/>
  <c r="R54" i="7"/>
  <c r="T54" i="7" s="1"/>
  <c r="W54" i="7" s="1"/>
  <c r="R77" i="7"/>
  <c r="T77" i="7" s="1"/>
  <c r="W77" i="7" s="1"/>
  <c r="R47" i="7"/>
  <c r="T47" i="7" s="1"/>
  <c r="V47" i="7" s="1"/>
  <c r="R109" i="7"/>
  <c r="T109" i="7" s="1"/>
  <c r="V109" i="7" s="1"/>
  <c r="R21" i="7"/>
  <c r="T21" i="7" s="1"/>
  <c r="W21" i="7" s="1"/>
  <c r="R86" i="7"/>
  <c r="T86" i="7" s="1"/>
  <c r="W86" i="7" s="1"/>
  <c r="R93" i="7"/>
  <c r="T93" i="7" s="1"/>
  <c r="W93" i="7" s="1"/>
  <c r="R127" i="7"/>
  <c r="T127" i="7" s="1"/>
  <c r="W127" i="7" s="1"/>
  <c r="R42" i="7"/>
  <c r="T42" i="7" s="1"/>
  <c r="W42" i="7" s="1"/>
  <c r="R62" i="7"/>
  <c r="T62" i="7" s="1"/>
  <c r="V62" i="7" s="1"/>
  <c r="R115" i="7"/>
  <c r="T115" i="7" s="1"/>
  <c r="V115" i="7" s="1"/>
  <c r="R51" i="7"/>
  <c r="T51" i="7" s="1"/>
  <c r="W51" i="7" s="1"/>
  <c r="R136" i="7"/>
  <c r="T136" i="7" s="1"/>
  <c r="V136" i="7" s="1"/>
  <c r="R72" i="7"/>
  <c r="T72" i="7" s="1"/>
  <c r="V72" i="7" s="1"/>
  <c r="R134" i="7"/>
  <c r="T134" i="7" s="1"/>
  <c r="V134" i="7" s="1"/>
  <c r="R129" i="7"/>
  <c r="T129" i="7" s="1"/>
  <c r="V129" i="7" s="1"/>
  <c r="R74" i="7"/>
  <c r="T74" i="7" s="1"/>
  <c r="W74" i="7" s="1"/>
  <c r="R68" i="7"/>
  <c r="T68" i="7" s="1"/>
  <c r="V68" i="7" s="1"/>
  <c r="R90" i="7"/>
  <c r="T90" i="7" s="1"/>
  <c r="W90" i="7" s="1"/>
  <c r="W13" i="7"/>
  <c r="V13" i="7"/>
  <c r="W96" i="7"/>
  <c r="V96" i="7"/>
  <c r="W106" i="7"/>
  <c r="V106" i="7"/>
  <c r="W87" i="7"/>
  <c r="V87" i="7"/>
  <c r="W111" i="7"/>
  <c r="V111" i="7"/>
  <c r="W100" i="7"/>
  <c r="V100" i="7"/>
  <c r="V73" i="7"/>
  <c r="W73" i="7"/>
  <c r="R122" i="7"/>
  <c r="T122" i="7" s="1"/>
  <c r="V25" i="7"/>
  <c r="W25" i="7"/>
  <c r="R33" i="7"/>
  <c r="T33" i="7" s="1"/>
  <c r="R49" i="7"/>
  <c r="T49" i="7" s="1"/>
  <c r="R61" i="7"/>
  <c r="T61" i="7" s="1"/>
  <c r="R108" i="7"/>
  <c r="T108" i="7" s="1"/>
  <c r="R28" i="7"/>
  <c r="T28" i="7" s="1"/>
  <c r="R14" i="7"/>
  <c r="T14" i="7" s="1"/>
  <c r="R18" i="7"/>
  <c r="T18" i="7" s="1"/>
  <c r="R126" i="7"/>
  <c r="T126" i="7" s="1"/>
  <c r="R102" i="7"/>
  <c r="T102" i="7" s="1"/>
  <c r="R37" i="7"/>
  <c r="T37" i="7" s="1"/>
  <c r="R22" i="7"/>
  <c r="T22" i="7" s="1"/>
  <c r="R118" i="7"/>
  <c r="T118" i="7" s="1"/>
  <c r="R71" i="7"/>
  <c r="T71" i="7" s="1"/>
  <c r="R78" i="7"/>
  <c r="T78" i="7" s="1"/>
  <c r="R101" i="7"/>
  <c r="T101" i="7" s="1"/>
  <c r="R70" i="7"/>
  <c r="T70" i="7" s="1"/>
  <c r="R85" i="7"/>
  <c r="T85" i="7" s="1"/>
  <c r="R36" i="7"/>
  <c r="T36" i="7" s="1"/>
  <c r="R55" i="7"/>
  <c r="T55" i="7" s="1"/>
  <c r="R58" i="7"/>
  <c r="T58" i="7" s="1"/>
  <c r="R132" i="7"/>
  <c r="T132" i="7" s="1"/>
  <c r="R46" i="7"/>
  <c r="T46" i="7" s="1"/>
  <c r="R119" i="7"/>
  <c r="T119" i="7" s="1"/>
  <c r="R135" i="7"/>
  <c r="T135" i="7" s="1"/>
  <c r="R123" i="7"/>
  <c r="T123" i="7" s="1"/>
  <c r="R52" i="7"/>
  <c r="T52" i="7" s="1"/>
  <c r="R98" i="7"/>
  <c r="T98" i="7" s="1"/>
  <c r="R105" i="7"/>
  <c r="T105" i="7" s="1"/>
  <c r="R41" i="7"/>
  <c r="T41" i="7" s="1"/>
  <c r="R20" i="7"/>
  <c r="T20" i="7" s="1"/>
  <c r="R114" i="7"/>
  <c r="T114" i="7" s="1"/>
  <c r="R121" i="7"/>
  <c r="T121" i="7" s="1"/>
  <c r="R57" i="7"/>
  <c r="T57" i="7" s="1"/>
  <c r="R117" i="7"/>
  <c r="T117" i="7" s="1"/>
  <c r="R53" i="7"/>
  <c r="T53" i="7" s="1"/>
  <c r="R99" i="7"/>
  <c r="T99" i="7" s="1"/>
  <c r="R35" i="7"/>
  <c r="T35" i="7" s="1"/>
  <c r="R50" i="7"/>
  <c r="T50" i="7" s="1"/>
  <c r="R95" i="7"/>
  <c r="T95" i="7" s="1"/>
  <c r="R31" i="7"/>
  <c r="T31" i="7" s="1"/>
  <c r="R94" i="7"/>
  <c r="T94" i="7" s="1"/>
  <c r="R30" i="7"/>
  <c r="T30" i="7" s="1"/>
  <c r="R83" i="7"/>
  <c r="T83" i="7" s="1"/>
  <c r="R19" i="7"/>
  <c r="T19" i="7" s="1"/>
  <c r="R34" i="7"/>
  <c r="T34" i="7" s="1"/>
  <c r="R79" i="7"/>
  <c r="T79" i="7" s="1"/>
  <c r="R15" i="7"/>
  <c r="T15" i="7" s="1"/>
  <c r="R137" i="7"/>
  <c r="T137" i="7" s="1"/>
  <c r="R133" i="7"/>
  <c r="T133" i="7" s="1"/>
  <c r="R69" i="7"/>
  <c r="T69" i="7" s="1"/>
  <c r="R12" i="7"/>
  <c r="T12" i="7" s="1"/>
  <c r="C56" i="2"/>
  <c r="F56" i="2" s="1"/>
  <c r="E53" i="2"/>
  <c r="C53" i="2"/>
  <c r="V75" i="7" l="1"/>
  <c r="V23" i="7"/>
  <c r="BT20" i="7"/>
  <c r="BT28" i="7"/>
  <c r="BT36" i="7"/>
  <c r="BT44" i="7"/>
  <c r="BT52" i="7"/>
  <c r="BT61" i="7"/>
  <c r="BT77" i="7"/>
  <c r="BT85" i="7"/>
  <c r="BT93" i="7"/>
  <c r="BT101" i="7"/>
  <c r="BT109" i="7"/>
  <c r="BT117" i="7"/>
  <c r="BT125" i="7"/>
  <c r="BT133" i="7"/>
  <c r="BT53" i="7"/>
  <c r="BT70" i="7"/>
  <c r="BT78" i="7"/>
  <c r="BT86" i="7"/>
  <c r="BT94" i="7"/>
  <c r="BT102" i="7"/>
  <c r="BT110" i="7"/>
  <c r="BT118" i="7"/>
  <c r="BT126" i="7"/>
  <c r="BT134" i="7"/>
  <c r="BT54" i="7"/>
  <c r="BT63" i="7"/>
  <c r="BT79" i="7"/>
  <c r="BT87" i="7"/>
  <c r="BT95" i="7"/>
  <c r="BT103" i="7"/>
  <c r="BT111" i="7"/>
  <c r="BT119" i="7"/>
  <c r="BT127" i="7"/>
  <c r="BT135" i="7"/>
  <c r="BT124" i="7"/>
  <c r="BT13" i="7"/>
  <c r="BT21" i="7"/>
  <c r="BT29" i="7"/>
  <c r="BT37" i="7"/>
  <c r="BT45" i="7"/>
  <c r="BT14" i="7"/>
  <c r="BT38" i="7"/>
  <c r="BT46" i="7"/>
  <c r="BT23" i="7"/>
  <c r="BT39" i="7"/>
  <c r="BT47" i="7"/>
  <c r="BT56" i="7"/>
  <c r="BT64" i="7"/>
  <c r="BT72" i="7"/>
  <c r="BT80" i="7"/>
  <c r="BT88" i="7"/>
  <c r="BT96" i="7"/>
  <c r="BT104" i="7"/>
  <c r="BT112" i="7"/>
  <c r="BT120" i="7"/>
  <c r="BT128" i="7"/>
  <c r="BT136" i="7"/>
  <c r="BT42" i="7"/>
  <c r="BT67" i="7"/>
  <c r="BT99" i="7"/>
  <c r="BT123" i="7"/>
  <c r="BT60" i="7"/>
  <c r="BT108" i="7"/>
  <c r="BT16" i="7"/>
  <c r="BT24" i="7"/>
  <c r="BT65" i="7"/>
  <c r="BT73" i="7"/>
  <c r="BT81" i="7"/>
  <c r="BT89" i="7"/>
  <c r="BT97" i="7"/>
  <c r="BT105" i="7"/>
  <c r="BT113" i="7"/>
  <c r="BT121" i="7"/>
  <c r="BT129" i="7"/>
  <c r="BT137" i="7"/>
  <c r="BT90" i="7"/>
  <c r="BT106" i="7"/>
  <c r="BT122" i="7"/>
  <c r="BT138" i="7"/>
  <c r="BT59" i="7"/>
  <c r="BT107" i="7"/>
  <c r="BT131" i="7"/>
  <c r="BT43" i="7"/>
  <c r="BT92" i="7"/>
  <c r="BT17" i="7"/>
  <c r="BT25" i="7"/>
  <c r="BT33" i="7"/>
  <c r="BT41" i="7"/>
  <c r="BT49" i="7"/>
  <c r="BT66" i="7"/>
  <c r="BT74" i="7"/>
  <c r="BT82" i="7"/>
  <c r="BT98" i="7"/>
  <c r="BT114" i="7"/>
  <c r="BT130" i="7"/>
  <c r="BT18" i="7"/>
  <c r="BT75" i="7"/>
  <c r="BT115" i="7"/>
  <c r="BT35" i="7"/>
  <c r="BT100" i="7"/>
  <c r="BT91" i="7"/>
  <c r="BT116" i="7"/>
  <c r="BT19" i="7"/>
  <c r="BT27" i="7"/>
  <c r="BT51" i="7"/>
  <c r="BT76" i="7"/>
  <c r="BT84" i="7"/>
  <c r="BT132" i="7"/>
  <c r="V64" i="7"/>
  <c r="V32" i="7"/>
  <c r="W91" i="7"/>
  <c r="W27" i="7"/>
  <c r="V66" i="7"/>
  <c r="W107" i="7"/>
  <c r="V89" i="7"/>
  <c r="V130" i="7"/>
  <c r="V26" i="7"/>
  <c r="W43" i="7"/>
  <c r="W67" i="7"/>
  <c r="W104" i="7"/>
  <c r="V113" i="7"/>
  <c r="V93" i="7"/>
  <c r="V16" i="7"/>
  <c r="V17" i="7"/>
  <c r="V92" i="7"/>
  <c r="V77" i="7"/>
  <c r="V65" i="7"/>
  <c r="W59" i="7"/>
  <c r="W45" i="7"/>
  <c r="W38" i="7"/>
  <c r="V48" i="7"/>
  <c r="W112" i="7"/>
  <c r="W134" i="7"/>
  <c r="W24" i="7"/>
  <c r="V90" i="7"/>
  <c r="W124" i="7"/>
  <c r="W47" i="7"/>
  <c r="W115" i="7"/>
  <c r="V44" i="7"/>
  <c r="V88" i="7"/>
  <c r="V110" i="7"/>
  <c r="W103" i="7"/>
  <c r="AQ19" i="7"/>
  <c r="AQ27" i="7"/>
  <c r="AQ35" i="7"/>
  <c r="AQ43" i="7"/>
  <c r="AQ59" i="7"/>
  <c r="AQ75" i="7"/>
  <c r="AQ91" i="7"/>
  <c r="AQ99" i="7"/>
  <c r="AQ107" i="7"/>
  <c r="AQ115" i="7"/>
  <c r="AQ123" i="7"/>
  <c r="AQ131" i="7"/>
  <c r="AQ20" i="7"/>
  <c r="AQ36" i="7"/>
  <c r="AQ44" i="7"/>
  <c r="AQ60" i="7"/>
  <c r="AQ76" i="7"/>
  <c r="AQ92" i="7"/>
  <c r="AQ100" i="7"/>
  <c r="AQ108" i="7"/>
  <c r="AQ116" i="7"/>
  <c r="AQ124" i="7"/>
  <c r="AQ132" i="7"/>
  <c r="AQ89" i="7"/>
  <c r="AQ42" i="7"/>
  <c r="AQ98" i="7"/>
  <c r="AQ114" i="7"/>
  <c r="AQ13" i="7"/>
  <c r="AQ21" i="7"/>
  <c r="AQ29" i="7"/>
  <c r="AQ37" i="7"/>
  <c r="AQ45" i="7"/>
  <c r="AQ53" i="7"/>
  <c r="AQ61" i="7"/>
  <c r="AQ93" i="7"/>
  <c r="AQ101" i="7"/>
  <c r="AQ109" i="7"/>
  <c r="AQ117" i="7"/>
  <c r="AQ125" i="7"/>
  <c r="AQ133" i="7"/>
  <c r="AQ119" i="7"/>
  <c r="AQ135" i="7"/>
  <c r="AQ24" i="7"/>
  <c r="AQ56" i="7"/>
  <c r="AQ88" i="7"/>
  <c r="AQ96" i="7"/>
  <c r="AQ112" i="7"/>
  <c r="AQ128" i="7"/>
  <c r="AQ25" i="7"/>
  <c r="AQ105" i="7"/>
  <c r="AQ121" i="7"/>
  <c r="AQ137" i="7"/>
  <c r="AQ90" i="7"/>
  <c r="AQ130" i="7"/>
  <c r="AQ14" i="7"/>
  <c r="AQ38" i="7"/>
  <c r="AQ46" i="7"/>
  <c r="AQ54" i="7"/>
  <c r="AQ78" i="7"/>
  <c r="AQ86" i="7"/>
  <c r="AQ94" i="7"/>
  <c r="AQ102" i="7"/>
  <c r="AQ110" i="7"/>
  <c r="AQ118" i="7"/>
  <c r="AQ126" i="7"/>
  <c r="AQ134" i="7"/>
  <c r="AQ23" i="7"/>
  <c r="AQ39" i="7"/>
  <c r="AQ47" i="7"/>
  <c r="AQ79" i="7"/>
  <c r="AQ95" i="7"/>
  <c r="AQ111" i="7"/>
  <c r="AQ127" i="7"/>
  <c r="AQ16" i="7"/>
  <c r="AQ64" i="7"/>
  <c r="AQ104" i="7"/>
  <c r="AQ136" i="7"/>
  <c r="AQ17" i="7"/>
  <c r="AQ33" i="7"/>
  <c r="AQ41" i="7"/>
  <c r="AQ49" i="7"/>
  <c r="AQ73" i="7"/>
  <c r="AQ97" i="7"/>
  <c r="AQ113" i="7"/>
  <c r="AQ129" i="7"/>
  <c r="AQ82" i="7"/>
  <c r="AQ106" i="7"/>
  <c r="AQ122" i="7"/>
  <c r="V40" i="7"/>
  <c r="W62" i="7"/>
  <c r="V86" i="7"/>
  <c r="V128" i="7"/>
  <c r="W39" i="7"/>
  <c r="W129" i="7"/>
  <c r="V120" i="7"/>
  <c r="V138" i="7"/>
  <c r="V29" i="7"/>
  <c r="V82" i="7"/>
  <c r="V56" i="7"/>
  <c r="V127" i="7"/>
  <c r="V54" i="7"/>
  <c r="W68" i="7"/>
  <c r="W60" i="7"/>
  <c r="V42" i="7"/>
  <c r="V76" i="7"/>
  <c r="W125" i="7"/>
  <c r="W72" i="7"/>
  <c r="W97" i="7"/>
  <c r="W136" i="7"/>
  <c r="V131" i="7"/>
  <c r="V81" i="7"/>
  <c r="W84" i="7"/>
  <c r="V21" i="7"/>
  <c r="V74" i="7"/>
  <c r="V116" i="7"/>
  <c r="V63" i="7"/>
  <c r="W109" i="7"/>
  <c r="V80" i="7"/>
  <c r="V51" i="7"/>
  <c r="W133" i="7"/>
  <c r="V133" i="7"/>
  <c r="W102" i="7"/>
  <c r="V102" i="7"/>
  <c r="W137" i="7"/>
  <c r="V137" i="7"/>
  <c r="V121" i="7"/>
  <c r="W121" i="7"/>
  <c r="W135" i="7"/>
  <c r="V135" i="7"/>
  <c r="W70" i="7"/>
  <c r="V70" i="7"/>
  <c r="W126" i="7"/>
  <c r="V126" i="7"/>
  <c r="W12" i="7"/>
  <c r="V12" i="7"/>
  <c r="W85" i="7"/>
  <c r="V85" i="7"/>
  <c r="V31" i="7"/>
  <c r="W31" i="7"/>
  <c r="W15" i="7"/>
  <c r="V15" i="7"/>
  <c r="V95" i="7"/>
  <c r="W95" i="7"/>
  <c r="W114" i="7"/>
  <c r="V114" i="7"/>
  <c r="V119" i="7"/>
  <c r="W119" i="7"/>
  <c r="V101" i="7"/>
  <c r="W101" i="7"/>
  <c r="W18" i="7"/>
  <c r="V18" i="7"/>
  <c r="V123" i="7"/>
  <c r="W123" i="7"/>
  <c r="W79" i="7"/>
  <c r="V79" i="7"/>
  <c r="W50" i="7"/>
  <c r="V50" i="7"/>
  <c r="V20" i="7"/>
  <c r="W20" i="7"/>
  <c r="W46" i="7"/>
  <c r="V46" i="7"/>
  <c r="V78" i="7"/>
  <c r="W78" i="7"/>
  <c r="V14" i="7"/>
  <c r="W14" i="7"/>
  <c r="V122" i="7"/>
  <c r="W122" i="7"/>
  <c r="V57" i="7"/>
  <c r="W57" i="7"/>
  <c r="V34" i="7"/>
  <c r="W34" i="7"/>
  <c r="V35" i="7"/>
  <c r="W35" i="7"/>
  <c r="W41" i="7"/>
  <c r="V41" i="7"/>
  <c r="V132" i="7"/>
  <c r="W132" i="7"/>
  <c r="W71" i="7"/>
  <c r="V71" i="7"/>
  <c r="W28" i="7"/>
  <c r="V28" i="7"/>
  <c r="V33" i="7"/>
  <c r="W33" i="7"/>
  <c r="W94" i="7"/>
  <c r="V94" i="7"/>
  <c r="V19" i="7"/>
  <c r="W19" i="7"/>
  <c r="V99" i="7"/>
  <c r="W99" i="7"/>
  <c r="W105" i="7"/>
  <c r="V105" i="7"/>
  <c r="V58" i="7"/>
  <c r="W58" i="7"/>
  <c r="W118" i="7"/>
  <c r="V118" i="7"/>
  <c r="W108" i="7"/>
  <c r="V108" i="7"/>
  <c r="W49" i="7"/>
  <c r="V49" i="7"/>
  <c r="V83" i="7"/>
  <c r="W83" i="7"/>
  <c r="V98" i="7"/>
  <c r="W98" i="7"/>
  <c r="V22" i="7"/>
  <c r="W22" i="7"/>
  <c r="W53" i="7"/>
  <c r="V53" i="7"/>
  <c r="W55" i="7"/>
  <c r="V55" i="7"/>
  <c r="W61" i="7"/>
  <c r="V61" i="7"/>
  <c r="W69" i="7"/>
  <c r="V69" i="7"/>
  <c r="W30" i="7"/>
  <c r="V30" i="7"/>
  <c r="W117" i="7"/>
  <c r="V117" i="7"/>
  <c r="W52" i="7"/>
  <c r="V52" i="7"/>
  <c r="W36" i="7"/>
  <c r="V36" i="7"/>
  <c r="V37" i="7"/>
  <c r="W37" i="7"/>
  <c r="F53" i="2"/>
  <c r="C49" i="2"/>
  <c r="F49" i="2" s="1"/>
  <c r="F46" i="2"/>
  <c r="F43" i="2"/>
  <c r="F40" i="2"/>
  <c r="C33" i="2"/>
  <c r="F33" i="2" s="1"/>
  <c r="C31" i="2"/>
  <c r="F31" i="2" s="1"/>
  <c r="F28" i="2"/>
  <c r="C30" i="2"/>
  <c r="F30" i="2" s="1"/>
  <c r="C29" i="2"/>
  <c r="F29" i="2" s="1"/>
  <c r="C20" i="2"/>
  <c r="F20" i="2" s="1"/>
  <c r="F25" i="2" s="1"/>
  <c r="C45" i="2" l="1"/>
  <c r="F45" i="2" s="1"/>
  <c r="AZ67" i="7"/>
  <c r="BF67" i="7" s="1"/>
  <c r="AZ79" i="7"/>
  <c r="BF79" i="7" s="1"/>
  <c r="BA110" i="7"/>
  <c r="BG110" i="7" s="1"/>
  <c r="AZ61" i="7"/>
  <c r="BF61" i="7" s="1"/>
  <c r="BA114" i="7"/>
  <c r="BG114" i="7" s="1"/>
  <c r="BA24" i="7"/>
  <c r="BG24" i="7" s="1"/>
  <c r="AZ60" i="7"/>
  <c r="BF60" i="7" s="1"/>
  <c r="BA99" i="7"/>
  <c r="BG99" i="7" s="1"/>
  <c r="AZ118" i="7"/>
  <c r="BF118" i="7" s="1"/>
  <c r="BA59" i="7"/>
  <c r="BG59" i="7" s="1"/>
  <c r="AZ81" i="7"/>
  <c r="BF81" i="7" s="1"/>
  <c r="BA29" i="7"/>
  <c r="BG29" i="7" s="1"/>
  <c r="AZ21" i="7"/>
  <c r="BF21" i="7" s="1"/>
  <c r="AZ95" i="7"/>
  <c r="BF95" i="7" s="1"/>
  <c r="AZ104" i="7"/>
  <c r="BF104" i="7" s="1"/>
  <c r="BA100" i="7"/>
  <c r="BG100" i="7" s="1"/>
  <c r="BA47" i="7"/>
  <c r="BG47" i="7" s="1"/>
  <c r="AZ138" i="7"/>
  <c r="BF138" i="7" s="1"/>
  <c r="BA80" i="7"/>
  <c r="BG80" i="7" s="1"/>
  <c r="BA127" i="7"/>
  <c r="BG127" i="7" s="1"/>
  <c r="AZ46" i="7"/>
  <c r="BF46" i="7" s="1"/>
  <c r="AZ12" i="7"/>
  <c r="BF12" i="7" s="1"/>
  <c r="AZ36" i="7"/>
  <c r="BF36" i="7" s="1"/>
  <c r="AZ24" i="7"/>
  <c r="BF24" i="7" s="1"/>
  <c r="BA85" i="7"/>
  <c r="BG85" i="7" s="1"/>
  <c r="BA111" i="7"/>
  <c r="BG111" i="7" s="1"/>
  <c r="BA20" i="7"/>
  <c r="BG20" i="7" s="1"/>
  <c r="AZ99" i="7"/>
  <c r="BF99" i="7" s="1"/>
  <c r="BA118" i="7"/>
  <c r="BG118" i="7" s="1"/>
  <c r="AZ59" i="7"/>
  <c r="BF59" i="7" s="1"/>
  <c r="BA81" i="7"/>
  <c r="BG81" i="7" s="1"/>
  <c r="AZ29" i="7"/>
  <c r="BF29" i="7" s="1"/>
  <c r="BA64" i="7"/>
  <c r="BG64" i="7" s="1"/>
  <c r="AZ50" i="7"/>
  <c r="BF50" i="7" s="1"/>
  <c r="BA132" i="7"/>
  <c r="BG132" i="7" s="1"/>
  <c r="AZ100" i="7"/>
  <c r="BF100" i="7" s="1"/>
  <c r="AZ47" i="7"/>
  <c r="BF47" i="7" s="1"/>
  <c r="BA138" i="7"/>
  <c r="BG138" i="7" s="1"/>
  <c r="AZ69" i="7"/>
  <c r="BF69" i="7" s="1"/>
  <c r="BA95" i="7"/>
  <c r="BG95" i="7" s="1"/>
  <c r="AZ80" i="7"/>
  <c r="BF80" i="7" s="1"/>
  <c r="AZ127" i="7"/>
  <c r="BF127" i="7" s="1"/>
  <c r="BA46" i="7"/>
  <c r="BG46" i="7" s="1"/>
  <c r="BA12" i="7"/>
  <c r="BG12" i="7" s="1"/>
  <c r="BA51" i="7"/>
  <c r="BG51" i="7" s="1"/>
  <c r="AZ94" i="7"/>
  <c r="BF94" i="7" s="1"/>
  <c r="AZ85" i="7"/>
  <c r="BF85" i="7" s="1"/>
  <c r="AZ111" i="7"/>
  <c r="BF111" i="7" s="1"/>
  <c r="AZ20" i="7"/>
  <c r="BF20" i="7" s="1"/>
  <c r="BA35" i="7"/>
  <c r="BG35" i="7" s="1"/>
  <c r="AZ54" i="7"/>
  <c r="BF54" i="7" s="1"/>
  <c r="BA120" i="7"/>
  <c r="BG120" i="7" s="1"/>
  <c r="BA39" i="7"/>
  <c r="BG39" i="7" s="1"/>
  <c r="BA28" i="7"/>
  <c r="BG28" i="7" s="1"/>
  <c r="AZ64" i="7"/>
  <c r="BF64" i="7" s="1"/>
  <c r="BA50" i="7"/>
  <c r="BG50" i="7" s="1"/>
  <c r="AZ132" i="7"/>
  <c r="BF132" i="7" s="1"/>
  <c r="AZ102" i="7"/>
  <c r="BF102" i="7" s="1"/>
  <c r="BA88" i="7"/>
  <c r="BG88" i="7" s="1"/>
  <c r="BA71" i="7"/>
  <c r="BG71" i="7" s="1"/>
  <c r="BA79" i="7"/>
  <c r="BG79" i="7" s="1"/>
  <c r="AZ32" i="7"/>
  <c r="BF32" i="7" s="1"/>
  <c r="AZ15" i="7"/>
  <c r="BF15" i="7" s="1"/>
  <c r="BA52" i="7"/>
  <c r="BG52" i="7" s="1"/>
  <c r="AZ86" i="7"/>
  <c r="BF86" i="7" s="1"/>
  <c r="BA91" i="7"/>
  <c r="BG91" i="7" s="1"/>
  <c r="AZ58" i="7"/>
  <c r="BF58" i="7" s="1"/>
  <c r="BA101" i="7"/>
  <c r="BG101" i="7" s="1"/>
  <c r="AZ51" i="7"/>
  <c r="BF51" i="7" s="1"/>
  <c r="BA109" i="7"/>
  <c r="BG109" i="7" s="1"/>
  <c r="BA115" i="7"/>
  <c r="BG115" i="7" s="1"/>
  <c r="BA63" i="7"/>
  <c r="BG63" i="7" s="1"/>
  <c r="BA87" i="7"/>
  <c r="BG87" i="7" s="1"/>
  <c r="AZ35" i="7"/>
  <c r="BF35" i="7" s="1"/>
  <c r="BA54" i="7"/>
  <c r="BG54" i="7" s="1"/>
  <c r="AZ120" i="7"/>
  <c r="BF120" i="7" s="1"/>
  <c r="AZ39" i="7"/>
  <c r="BF39" i="7" s="1"/>
  <c r="AZ28" i="7"/>
  <c r="BF28" i="7" s="1"/>
  <c r="BA108" i="7"/>
  <c r="BG108" i="7" s="1"/>
  <c r="BA96" i="7"/>
  <c r="BG96" i="7" s="1"/>
  <c r="BA102" i="7"/>
  <c r="BG102" i="7" s="1"/>
  <c r="AZ88" i="7"/>
  <c r="BF88" i="7" s="1"/>
  <c r="AZ71" i="7"/>
  <c r="BF71" i="7" s="1"/>
  <c r="BA61" i="7"/>
  <c r="BG61" i="7" s="1"/>
  <c r="AZ92" i="7"/>
  <c r="BF92" i="7" s="1"/>
  <c r="BA14" i="7"/>
  <c r="BG14" i="7" s="1"/>
  <c r="BA89" i="7"/>
  <c r="BG89" i="7" s="1"/>
  <c r="BA86" i="7"/>
  <c r="BG86" i="7" s="1"/>
  <c r="AZ91" i="7"/>
  <c r="BF91" i="7" s="1"/>
  <c r="BA58" i="7"/>
  <c r="BG58" i="7" s="1"/>
  <c r="AZ101" i="7"/>
  <c r="BF101" i="7" s="1"/>
  <c r="AZ98" i="7"/>
  <c r="BF98" i="7" s="1"/>
  <c r="BA45" i="7"/>
  <c r="BG45" i="7" s="1"/>
  <c r="AZ115" i="7"/>
  <c r="BF115" i="7" s="1"/>
  <c r="AZ63" i="7"/>
  <c r="BF63" i="7" s="1"/>
  <c r="AZ42" i="7"/>
  <c r="BF42" i="7" s="1"/>
  <c r="AZ82" i="7"/>
  <c r="BF82" i="7" s="1"/>
  <c r="AZ57" i="7"/>
  <c r="BF57" i="7" s="1"/>
  <c r="AZ78" i="7"/>
  <c r="BF78" i="7" s="1"/>
  <c r="AZ113" i="7"/>
  <c r="BF113" i="7" s="1"/>
  <c r="BA116" i="7"/>
  <c r="BG116" i="7" s="1"/>
  <c r="AZ108" i="7"/>
  <c r="BF108" i="7" s="1"/>
  <c r="AZ96" i="7"/>
  <c r="BF96" i="7" s="1"/>
  <c r="BA103" i="7"/>
  <c r="BG103" i="7" s="1"/>
  <c r="AZ38" i="7"/>
  <c r="BF38" i="7" s="1"/>
  <c r="AZ126" i="7"/>
  <c r="BF126" i="7" s="1"/>
  <c r="AZ26" i="7"/>
  <c r="BF26" i="7" s="1"/>
  <c r="AZ131" i="7"/>
  <c r="BF131" i="7" s="1"/>
  <c r="AZ114" i="7"/>
  <c r="BF114" i="7" s="1"/>
  <c r="AZ40" i="7"/>
  <c r="BF40" i="7" s="1"/>
  <c r="BA104" i="7"/>
  <c r="BG104" i="7" s="1"/>
  <c r="AZ22" i="7"/>
  <c r="BF22" i="7" s="1"/>
  <c r="BA27" i="7"/>
  <c r="BG27" i="7" s="1"/>
  <c r="BA125" i="7"/>
  <c r="BG125" i="7" s="1"/>
  <c r="AZ65" i="7"/>
  <c r="BF65" i="7" s="1"/>
  <c r="BA98" i="7"/>
  <c r="BG98" i="7" s="1"/>
  <c r="AZ45" i="7"/>
  <c r="BF45" i="7" s="1"/>
  <c r="BA124" i="7"/>
  <c r="BG124" i="7" s="1"/>
  <c r="AZ18" i="7"/>
  <c r="BF18" i="7" s="1"/>
  <c r="BA42" i="7"/>
  <c r="BG42" i="7" s="1"/>
  <c r="BA82" i="7"/>
  <c r="BG82" i="7" s="1"/>
  <c r="BA57" i="7"/>
  <c r="BG57" i="7" s="1"/>
  <c r="BA78" i="7"/>
  <c r="BG78" i="7" s="1"/>
  <c r="BA113" i="7"/>
  <c r="BG113" i="7" s="1"/>
  <c r="AZ116" i="7"/>
  <c r="BF116" i="7" s="1"/>
  <c r="BA44" i="7"/>
  <c r="BG44" i="7" s="1"/>
  <c r="BA117" i="7"/>
  <c r="BG117" i="7" s="1"/>
  <c r="BA83" i="7"/>
  <c r="BG83" i="7" s="1"/>
  <c r="BA38" i="7"/>
  <c r="BG38" i="7" s="1"/>
  <c r="BA126" i="7"/>
  <c r="BG126" i="7" s="1"/>
  <c r="BA13" i="7"/>
  <c r="BG13" i="7" s="1"/>
  <c r="BA122" i="7"/>
  <c r="BG122" i="7" s="1"/>
  <c r="BA21" i="7"/>
  <c r="BG21" i="7" s="1"/>
  <c r="BA131" i="7"/>
  <c r="BG131" i="7" s="1"/>
  <c r="BA22" i="7"/>
  <c r="BG22" i="7" s="1"/>
  <c r="AZ56" i="7"/>
  <c r="BF56" i="7" s="1"/>
  <c r="AZ125" i="7"/>
  <c r="BF125" i="7" s="1"/>
  <c r="BA65" i="7"/>
  <c r="BG65" i="7" s="1"/>
  <c r="BA32" i="7"/>
  <c r="BG32" i="7" s="1"/>
  <c r="BA92" i="7"/>
  <c r="BG92" i="7" s="1"/>
  <c r="AZ124" i="7"/>
  <c r="BF124" i="7" s="1"/>
  <c r="BA18" i="7"/>
  <c r="BG18" i="7" s="1"/>
  <c r="AZ122" i="7"/>
  <c r="BF122" i="7" s="1"/>
  <c r="BA40" i="7"/>
  <c r="BG40" i="7" s="1"/>
  <c r="BA15" i="7"/>
  <c r="BG15" i="7" s="1"/>
  <c r="AZ14" i="7"/>
  <c r="BF14" i="7" s="1"/>
  <c r="BA93" i="7"/>
  <c r="BG93" i="7" s="1"/>
  <c r="BA130" i="7"/>
  <c r="BG130" i="7" s="1"/>
  <c r="AZ44" i="7"/>
  <c r="BF44" i="7" s="1"/>
  <c r="BA53" i="7"/>
  <c r="BG53" i="7" s="1"/>
  <c r="AZ83" i="7"/>
  <c r="BF83" i="7" s="1"/>
  <c r="AZ89" i="7"/>
  <c r="BF89" i="7" s="1"/>
  <c r="AZ62" i="7"/>
  <c r="BF62" i="7" s="1"/>
  <c r="AZ13" i="7"/>
  <c r="BF13" i="7" s="1"/>
  <c r="AZ110" i="7"/>
  <c r="BF110" i="7" s="1"/>
  <c r="BA60" i="7"/>
  <c r="BG60" i="7" s="1"/>
  <c r="AZ93" i="7"/>
  <c r="BF93" i="7" s="1"/>
  <c r="BA62" i="7"/>
  <c r="BG62" i="7" s="1"/>
  <c r="AZ106" i="7"/>
  <c r="BF106" i="7" s="1"/>
  <c r="BA26" i="7"/>
  <c r="BG26" i="7" s="1"/>
  <c r="BA37" i="7"/>
  <c r="BG37" i="7" s="1"/>
  <c r="AZ66" i="7"/>
  <c r="BF66" i="7" s="1"/>
  <c r="AZ134" i="7"/>
  <c r="BF134" i="7" s="1"/>
  <c r="AZ49" i="7"/>
  <c r="BF49" i="7" s="1"/>
  <c r="AZ27" i="7"/>
  <c r="BF27" i="7" s="1"/>
  <c r="BA66" i="7"/>
  <c r="BG66" i="7" s="1"/>
  <c r="AZ123" i="7"/>
  <c r="BF123" i="7" s="1"/>
  <c r="AZ70" i="7"/>
  <c r="BF70" i="7" s="1"/>
  <c r="AZ84" i="7"/>
  <c r="BF84" i="7" s="1"/>
  <c r="AZ72" i="7"/>
  <c r="BF72" i="7" s="1"/>
  <c r="BA75" i="7"/>
  <c r="BG75" i="7" s="1"/>
  <c r="BA123" i="7"/>
  <c r="BG123" i="7" s="1"/>
  <c r="BA48" i="7"/>
  <c r="BG48" i="7" s="1"/>
  <c r="AZ129" i="7"/>
  <c r="BF129" i="7" s="1"/>
  <c r="AZ34" i="7"/>
  <c r="BF34" i="7" s="1"/>
  <c r="AZ109" i="7"/>
  <c r="BF109" i="7" s="1"/>
  <c r="AZ25" i="7"/>
  <c r="BF25" i="7" s="1"/>
  <c r="BA16" i="7"/>
  <c r="BG16" i="7" s="1"/>
  <c r="BA137" i="7"/>
  <c r="BG137" i="7" s="1"/>
  <c r="BA70" i="7"/>
  <c r="BG70" i="7" s="1"/>
  <c r="AZ19" i="7"/>
  <c r="BF19" i="7" s="1"/>
  <c r="BA17" i="7"/>
  <c r="BG17" i="7" s="1"/>
  <c r="AZ68" i="7"/>
  <c r="BF68" i="7" s="1"/>
  <c r="BA105" i="7"/>
  <c r="BG105" i="7" s="1"/>
  <c r="AZ136" i="7"/>
  <c r="BF136" i="7" s="1"/>
  <c r="BA119" i="7"/>
  <c r="BG119" i="7" s="1"/>
  <c r="BA67" i="7"/>
  <c r="BG67" i="7" s="1"/>
  <c r="BA55" i="7"/>
  <c r="BG55" i="7" s="1"/>
  <c r="AZ52" i="7"/>
  <c r="BF52" i="7" s="1"/>
  <c r="BA73" i="7"/>
  <c r="BG73" i="7" s="1"/>
  <c r="BA134" i="7"/>
  <c r="BG134" i="7" s="1"/>
  <c r="AZ128" i="7"/>
  <c r="BF128" i="7" s="1"/>
  <c r="BA30" i="7"/>
  <c r="BG30" i="7" s="1"/>
  <c r="AZ105" i="7"/>
  <c r="BF105" i="7" s="1"/>
  <c r="AZ31" i="7"/>
  <c r="BF31" i="7" s="1"/>
  <c r="BA19" i="7"/>
  <c r="BG19" i="7" s="1"/>
  <c r="BA41" i="7"/>
  <c r="BG41" i="7" s="1"/>
  <c r="BA94" i="7"/>
  <c r="BG94" i="7" s="1"/>
  <c r="BA68" i="7"/>
  <c r="BG68" i="7" s="1"/>
  <c r="BA97" i="7"/>
  <c r="BG97" i="7" s="1"/>
  <c r="BA31" i="7"/>
  <c r="BG31" i="7" s="1"/>
  <c r="AZ87" i="7"/>
  <c r="BF87" i="7" s="1"/>
  <c r="AZ73" i="7"/>
  <c r="BF73" i="7" s="1"/>
  <c r="AZ119" i="7"/>
  <c r="BF119" i="7" s="1"/>
  <c r="BA136" i="7"/>
  <c r="BG136" i="7" s="1"/>
  <c r="BA25" i="7"/>
  <c r="BG25" i="7" s="1"/>
  <c r="AZ55" i="7"/>
  <c r="BF55" i="7" s="1"/>
  <c r="AZ30" i="7"/>
  <c r="BF30" i="7" s="1"/>
  <c r="AZ53" i="7"/>
  <c r="BF53" i="7" s="1"/>
  <c r="BA107" i="7"/>
  <c r="BG107" i="7" s="1"/>
  <c r="BA133" i="7"/>
  <c r="BG133" i="7" s="1"/>
  <c r="BA77" i="7"/>
  <c r="BG77" i="7" s="1"/>
  <c r="AZ17" i="7"/>
  <c r="BF17" i="7" s="1"/>
  <c r="AZ107" i="7"/>
  <c r="BF107" i="7" s="1"/>
  <c r="BA121" i="7"/>
  <c r="BG121" i="7" s="1"/>
  <c r="AZ23" i="7"/>
  <c r="BF23" i="7" s="1"/>
  <c r="BA49" i="7"/>
  <c r="BG49" i="7" s="1"/>
  <c r="AZ121" i="7"/>
  <c r="BF121" i="7" s="1"/>
  <c r="BA56" i="7"/>
  <c r="BG56" i="7" s="1"/>
  <c r="AZ112" i="7"/>
  <c r="BF112" i="7" s="1"/>
  <c r="AZ90" i="7"/>
  <c r="BF90" i="7" s="1"/>
  <c r="BA112" i="7"/>
  <c r="BG112" i="7" s="1"/>
  <c r="BA43" i="7"/>
  <c r="BG43" i="7" s="1"/>
  <c r="BA23" i="7"/>
  <c r="BG23" i="7" s="1"/>
  <c r="BA34" i="7"/>
  <c r="BG34" i="7" s="1"/>
  <c r="BA106" i="7"/>
  <c r="BG106" i="7" s="1"/>
  <c r="BA129" i="7"/>
  <c r="BG129" i="7" s="1"/>
  <c r="AZ41" i="7"/>
  <c r="BF41" i="7" s="1"/>
  <c r="AZ77" i="7"/>
  <c r="BF77" i="7" s="1"/>
  <c r="AZ76" i="7"/>
  <c r="BF76" i="7" s="1"/>
  <c r="BA36" i="7"/>
  <c r="BG36" i="7" s="1"/>
  <c r="BA84" i="7"/>
  <c r="BG84" i="7" s="1"/>
  <c r="AZ33" i="7"/>
  <c r="BF33" i="7" s="1"/>
  <c r="AZ37" i="7"/>
  <c r="BF37" i="7" s="1"/>
  <c r="AZ103" i="7"/>
  <c r="BF103" i="7" s="1"/>
  <c r="BA33" i="7"/>
  <c r="BG33" i="7" s="1"/>
  <c r="AZ135" i="7"/>
  <c r="BF135" i="7" s="1"/>
  <c r="AZ74" i="7"/>
  <c r="BF74" i="7" s="1"/>
  <c r="AZ133" i="7"/>
  <c r="BF133" i="7" s="1"/>
  <c r="AZ43" i="7"/>
  <c r="BF43" i="7" s="1"/>
  <c r="BA76" i="7"/>
  <c r="BG76" i="7" s="1"/>
  <c r="AZ130" i="7"/>
  <c r="BF130" i="7" s="1"/>
  <c r="AZ137" i="7"/>
  <c r="BF137" i="7" s="1"/>
  <c r="BA69" i="7"/>
  <c r="BG69" i="7" s="1"/>
  <c r="BA128" i="7"/>
  <c r="BG128" i="7" s="1"/>
  <c r="BA72" i="7"/>
  <c r="BG72" i="7" s="1"/>
  <c r="AZ117" i="7"/>
  <c r="BF117" i="7" s="1"/>
  <c r="AZ97" i="7"/>
  <c r="BF97" i="7" s="1"/>
  <c r="BA90" i="7"/>
  <c r="BG90" i="7" s="1"/>
  <c r="BA135" i="7"/>
  <c r="BG135" i="7" s="1"/>
  <c r="BA74" i="7"/>
  <c r="BG74" i="7" s="1"/>
  <c r="AZ48" i="7"/>
  <c r="BF48" i="7" s="1"/>
  <c r="AZ16" i="7"/>
  <c r="BF16" i="7" s="1"/>
  <c r="AZ75" i="7"/>
  <c r="BF75" i="7" s="1"/>
  <c r="C41" i="2"/>
  <c r="F41" i="2" s="1"/>
  <c r="M18" i="6"/>
  <c r="M26" i="6"/>
  <c r="M34" i="6"/>
  <c r="M42" i="6"/>
  <c r="M50" i="6"/>
  <c r="M58" i="6"/>
  <c r="M66" i="6"/>
  <c r="M74" i="6"/>
  <c r="M82" i="6"/>
  <c r="M90" i="6"/>
  <c r="M98" i="6"/>
  <c r="M106" i="6"/>
  <c r="M19" i="6"/>
  <c r="M27" i="6"/>
  <c r="M35" i="6"/>
  <c r="M43" i="6"/>
  <c r="M51" i="6"/>
  <c r="M59" i="6"/>
  <c r="M67" i="6"/>
  <c r="M75" i="6"/>
  <c r="M83" i="6"/>
  <c r="M91" i="6"/>
  <c r="M99" i="6"/>
  <c r="M107" i="6"/>
  <c r="M17" i="6"/>
  <c r="M65" i="6"/>
  <c r="M12" i="6"/>
  <c r="M20" i="6"/>
  <c r="M28" i="6"/>
  <c r="M36" i="6"/>
  <c r="M44" i="6"/>
  <c r="M52" i="6"/>
  <c r="M60" i="6"/>
  <c r="M68" i="6"/>
  <c r="M76" i="6"/>
  <c r="M84" i="6"/>
  <c r="M92" i="6"/>
  <c r="M100" i="6"/>
  <c r="M108" i="6"/>
  <c r="M33" i="6"/>
  <c r="M73" i="6"/>
  <c r="M13" i="6"/>
  <c r="M21" i="6"/>
  <c r="M29" i="6"/>
  <c r="M37" i="6"/>
  <c r="M45" i="6"/>
  <c r="M53" i="6"/>
  <c r="M61" i="6"/>
  <c r="M69" i="6"/>
  <c r="M77" i="6"/>
  <c r="M85" i="6"/>
  <c r="M93" i="6"/>
  <c r="M101" i="6"/>
  <c r="M109" i="6"/>
  <c r="M25" i="6"/>
  <c r="M81" i="6"/>
  <c r="M14" i="6"/>
  <c r="M22" i="6"/>
  <c r="M30" i="6"/>
  <c r="M38" i="6"/>
  <c r="M46" i="6"/>
  <c r="M54" i="6"/>
  <c r="M62" i="6"/>
  <c r="M70" i="6"/>
  <c r="M78" i="6"/>
  <c r="M86" i="6"/>
  <c r="M94" i="6"/>
  <c r="M102" i="6"/>
  <c r="M110" i="6"/>
  <c r="M49" i="6"/>
  <c r="M89" i="6"/>
  <c r="M15" i="6"/>
  <c r="M23" i="6"/>
  <c r="M31" i="6"/>
  <c r="M39" i="6"/>
  <c r="M47" i="6"/>
  <c r="M55" i="6"/>
  <c r="M63" i="6"/>
  <c r="M71" i="6"/>
  <c r="M79" i="6"/>
  <c r="M87" i="6"/>
  <c r="M95" i="6"/>
  <c r="M103" i="6"/>
  <c r="M111" i="6"/>
  <c r="M41" i="6"/>
  <c r="M97" i="6"/>
  <c r="M16" i="6"/>
  <c r="M24" i="6"/>
  <c r="M32" i="6"/>
  <c r="M40" i="6"/>
  <c r="M48" i="6"/>
  <c r="M56" i="6"/>
  <c r="M64" i="6"/>
  <c r="M72" i="6"/>
  <c r="M80" i="6"/>
  <c r="M88" i="6"/>
  <c r="M96" i="6"/>
  <c r="M104" i="6"/>
  <c r="M112" i="6"/>
  <c r="M57" i="6"/>
  <c r="M105" i="6"/>
  <c r="C42" i="2"/>
  <c r="F42" i="2" s="1"/>
  <c r="C44" i="2"/>
  <c r="F44" i="2" s="1"/>
  <c r="C34" i="2"/>
  <c r="F34" i="2" s="1"/>
  <c r="G22" i="1" s="1"/>
  <c r="C32" i="2"/>
  <c r="F32" i="2" s="1"/>
  <c r="G20" i="1" s="1"/>
  <c r="C19" i="2" l="1"/>
  <c r="F19" i="2" s="1"/>
  <c r="C18" i="2"/>
  <c r="F18" i="2" s="1"/>
  <c r="D19" i="7" s="1"/>
  <c r="C17" i="2"/>
  <c r="F17" i="2" s="1"/>
  <c r="C16" i="2"/>
  <c r="C15" i="2"/>
  <c r="F15" i="2" s="1"/>
  <c r="C14" i="2"/>
  <c r="F14" i="2" s="1"/>
  <c r="C13" i="2"/>
  <c r="F13" i="2" s="1"/>
  <c r="C209" i="2" l="1"/>
  <c r="F209" i="2" s="1"/>
  <c r="G146" i="1" s="1"/>
  <c r="C221" i="2"/>
  <c r="F221" i="2" s="1"/>
  <c r="G36" i="1" s="1"/>
  <c r="C152" i="2"/>
  <c r="C234" i="2"/>
  <c r="G152" i="1" s="1"/>
  <c r="C231" i="2"/>
  <c r="C228" i="2"/>
  <c r="D12" i="7"/>
  <c r="C23" i="2"/>
  <c r="F23" i="2" s="1"/>
  <c r="C24" i="2" s="1"/>
  <c r="G15" i="1" s="1"/>
  <c r="AJ2" i="6"/>
  <c r="AJ6" i="6" s="1"/>
  <c r="AW14" i="6"/>
  <c r="AW22" i="6"/>
  <c r="AW30" i="6"/>
  <c r="AW38" i="6"/>
  <c r="AW46" i="6"/>
  <c r="AW54" i="6"/>
  <c r="AW62" i="6"/>
  <c r="AW70" i="6"/>
  <c r="AW78" i="6"/>
  <c r="AW86" i="6"/>
  <c r="AW94" i="6"/>
  <c r="AW102" i="6"/>
  <c r="AW110" i="6"/>
  <c r="AW42" i="6"/>
  <c r="AW51" i="6"/>
  <c r="AW36" i="6"/>
  <c r="AW108" i="6"/>
  <c r="AW37" i="6"/>
  <c r="AW15" i="6"/>
  <c r="AW23" i="6"/>
  <c r="AW31" i="6"/>
  <c r="AW39" i="6"/>
  <c r="AW47" i="6"/>
  <c r="AW55" i="6"/>
  <c r="AW63" i="6"/>
  <c r="AW71" i="6"/>
  <c r="AW79" i="6"/>
  <c r="AW87" i="6"/>
  <c r="AW95" i="6"/>
  <c r="AW103" i="6"/>
  <c r="AW111" i="6"/>
  <c r="AW34" i="6"/>
  <c r="AW66" i="6"/>
  <c r="AW82" i="6"/>
  <c r="AW106" i="6"/>
  <c r="AW44" i="6"/>
  <c r="AW76" i="6"/>
  <c r="AW100" i="6"/>
  <c r="AW21" i="6"/>
  <c r="AW61" i="6"/>
  <c r="AW85" i="6"/>
  <c r="AW109" i="6"/>
  <c r="AW16" i="6"/>
  <c r="AW24" i="6"/>
  <c r="AW32" i="6"/>
  <c r="AW40" i="6"/>
  <c r="AW48" i="6"/>
  <c r="AW56" i="6"/>
  <c r="AW64" i="6"/>
  <c r="AW72" i="6"/>
  <c r="AW80" i="6"/>
  <c r="AW88" i="6"/>
  <c r="AW96" i="6"/>
  <c r="AW104" i="6"/>
  <c r="AW112" i="6"/>
  <c r="AW26" i="6"/>
  <c r="AW50" i="6"/>
  <c r="AW74" i="6"/>
  <c r="AW98" i="6"/>
  <c r="AW19" i="6"/>
  <c r="AW35" i="6"/>
  <c r="AW59" i="6"/>
  <c r="AW75" i="6"/>
  <c r="AW91" i="6"/>
  <c r="AW107" i="6"/>
  <c r="AW20" i="6"/>
  <c r="AW52" i="6"/>
  <c r="AW68" i="6"/>
  <c r="AW92" i="6"/>
  <c r="AW29" i="6"/>
  <c r="AW45" i="6"/>
  <c r="AW69" i="6"/>
  <c r="AW93" i="6"/>
  <c r="AW17" i="6"/>
  <c r="AW25" i="6"/>
  <c r="AW33" i="6"/>
  <c r="AW41" i="6"/>
  <c r="AW49" i="6"/>
  <c r="AW57" i="6"/>
  <c r="AW65" i="6"/>
  <c r="AW73" i="6"/>
  <c r="AW81" i="6"/>
  <c r="AW89" i="6"/>
  <c r="AW97" i="6"/>
  <c r="AW105" i="6"/>
  <c r="AW12" i="6"/>
  <c r="AW18" i="6"/>
  <c r="AW58" i="6"/>
  <c r="AW90" i="6"/>
  <c r="AW27" i="6"/>
  <c r="AW43" i="6"/>
  <c r="AW67" i="6"/>
  <c r="AW83" i="6"/>
  <c r="AW99" i="6"/>
  <c r="AW28" i="6"/>
  <c r="AW60" i="6"/>
  <c r="AW84" i="6"/>
  <c r="AW13" i="6"/>
  <c r="AW53" i="6"/>
  <c r="AW77" i="6"/>
  <c r="AW101" i="6"/>
  <c r="AQ16" i="6"/>
  <c r="AQ48" i="6"/>
  <c r="AQ80" i="6"/>
  <c r="AQ112" i="6"/>
  <c r="AQ78" i="6"/>
  <c r="AQ33" i="6"/>
  <c r="AQ65" i="6"/>
  <c r="AQ97" i="6"/>
  <c r="AQ62" i="6"/>
  <c r="AQ14" i="6"/>
  <c r="AQ31" i="6"/>
  <c r="AQ63" i="6"/>
  <c r="AQ95" i="6"/>
  <c r="AR106" i="6"/>
  <c r="AR24" i="6"/>
  <c r="AR56" i="6"/>
  <c r="AR88" i="6"/>
  <c r="AR34" i="6"/>
  <c r="AR95" i="6"/>
  <c r="AR63" i="6"/>
  <c r="AR29" i="6"/>
  <c r="AR61" i="6"/>
  <c r="AR93" i="6"/>
  <c r="AR66" i="6"/>
  <c r="AR111" i="6"/>
  <c r="AR51" i="6"/>
  <c r="AQ108" i="6"/>
  <c r="AQ27" i="6"/>
  <c r="AR84" i="6"/>
  <c r="AR25" i="6"/>
  <c r="AQ20" i="6"/>
  <c r="AQ52" i="6"/>
  <c r="AQ84" i="6"/>
  <c r="AQ18" i="6"/>
  <c r="AQ94" i="6"/>
  <c r="AQ37" i="6"/>
  <c r="AQ69" i="6"/>
  <c r="AQ101" i="6"/>
  <c r="AQ82" i="6"/>
  <c r="AQ38" i="6"/>
  <c r="AQ35" i="6"/>
  <c r="AQ67" i="6"/>
  <c r="AQ99" i="6"/>
  <c r="AR27" i="6"/>
  <c r="AR28" i="6"/>
  <c r="AR60" i="6"/>
  <c r="AR92" i="6"/>
  <c r="AR70" i="6"/>
  <c r="AR26" i="6"/>
  <c r="AR83" i="6"/>
  <c r="AR33" i="6"/>
  <c r="AR65" i="6"/>
  <c r="AR97" i="6"/>
  <c r="AR82" i="6"/>
  <c r="AR30" i="6"/>
  <c r="AR75" i="6"/>
  <c r="AQ29" i="6"/>
  <c r="AQ93" i="6"/>
  <c r="AR20" i="6"/>
  <c r="AR43" i="6"/>
  <c r="AQ24" i="6"/>
  <c r="AQ56" i="6"/>
  <c r="AQ88" i="6"/>
  <c r="AQ50" i="6"/>
  <c r="AQ110" i="6"/>
  <c r="AQ41" i="6"/>
  <c r="AQ73" i="6"/>
  <c r="AQ105" i="6"/>
  <c r="AQ102" i="6"/>
  <c r="AQ66" i="6"/>
  <c r="AQ39" i="6"/>
  <c r="AQ71" i="6"/>
  <c r="AQ103" i="6"/>
  <c r="AR47" i="6"/>
  <c r="AR32" i="6"/>
  <c r="AR64" i="6"/>
  <c r="AR96" i="6"/>
  <c r="AR98" i="6"/>
  <c r="AR42" i="6"/>
  <c r="AR99" i="6"/>
  <c r="AR37" i="6"/>
  <c r="AR69" i="6"/>
  <c r="AR101" i="6"/>
  <c r="AR90" i="6"/>
  <c r="AR38" i="6"/>
  <c r="AQ76" i="6"/>
  <c r="AQ59" i="6"/>
  <c r="AR22" i="6"/>
  <c r="AR57" i="6"/>
  <c r="AQ28" i="6"/>
  <c r="AQ60" i="6"/>
  <c r="AQ92" i="6"/>
  <c r="AQ70" i="6"/>
  <c r="AQ13" i="6"/>
  <c r="AQ45" i="6"/>
  <c r="AQ77" i="6"/>
  <c r="AQ109" i="6"/>
  <c r="AQ30" i="6"/>
  <c r="AQ86" i="6"/>
  <c r="AQ43" i="6"/>
  <c r="AS43" i="6" s="1"/>
  <c r="AQ75" i="6"/>
  <c r="AQ107" i="6"/>
  <c r="AR67" i="6"/>
  <c r="AR36" i="6"/>
  <c r="AR68" i="6"/>
  <c r="AR100" i="6"/>
  <c r="AR15" i="6"/>
  <c r="AR58" i="6"/>
  <c r="AR107" i="6"/>
  <c r="AR41" i="6"/>
  <c r="AR73" i="6"/>
  <c r="AR105" i="6"/>
  <c r="AR110" i="6"/>
  <c r="AR46" i="6"/>
  <c r="AQ44" i="6"/>
  <c r="AQ46" i="6"/>
  <c r="AR52" i="6"/>
  <c r="AR91" i="6"/>
  <c r="AQ32" i="6"/>
  <c r="AQ64" i="6"/>
  <c r="AQ96" i="6"/>
  <c r="AQ90" i="6"/>
  <c r="AQ17" i="6"/>
  <c r="AQ49" i="6"/>
  <c r="AQ81" i="6"/>
  <c r="AQ12" i="6"/>
  <c r="AQ42" i="6"/>
  <c r="AS42" i="6" s="1"/>
  <c r="AQ15" i="6"/>
  <c r="AQ47" i="6"/>
  <c r="AQ79" i="6"/>
  <c r="AQ111" i="6"/>
  <c r="AR87" i="6"/>
  <c r="AR40" i="6"/>
  <c r="AR72" i="6"/>
  <c r="AR104" i="6"/>
  <c r="AR35" i="6"/>
  <c r="AR78" i="6"/>
  <c r="AR13" i="6"/>
  <c r="AR45" i="6"/>
  <c r="AR77" i="6"/>
  <c r="AR109" i="6"/>
  <c r="AR31" i="6"/>
  <c r="AR54" i="6"/>
  <c r="AQ91" i="6"/>
  <c r="AR50" i="6"/>
  <c r="AQ36" i="6"/>
  <c r="AQ68" i="6"/>
  <c r="AQ100" i="6"/>
  <c r="AQ106" i="6"/>
  <c r="AQ21" i="6"/>
  <c r="AQ53" i="6"/>
  <c r="AQ85" i="6"/>
  <c r="AQ26" i="6"/>
  <c r="AS26" i="6" s="1"/>
  <c r="AQ58" i="6"/>
  <c r="AQ19" i="6"/>
  <c r="AQ51" i="6"/>
  <c r="AQ83" i="6"/>
  <c r="AR14" i="6"/>
  <c r="AR103" i="6"/>
  <c r="AR44" i="6"/>
  <c r="AR76" i="6"/>
  <c r="AR108" i="6"/>
  <c r="AR39" i="6"/>
  <c r="AR102" i="6"/>
  <c r="AR17" i="6"/>
  <c r="AR49" i="6"/>
  <c r="AR81" i="6"/>
  <c r="AR12" i="6"/>
  <c r="AR55" i="6"/>
  <c r="AR74" i="6"/>
  <c r="AQ54" i="6"/>
  <c r="AQ61" i="6"/>
  <c r="AR86" i="6"/>
  <c r="AR79" i="6"/>
  <c r="AR19" i="6"/>
  <c r="AQ40" i="6"/>
  <c r="AQ72" i="6"/>
  <c r="AQ104" i="6"/>
  <c r="AQ22" i="6"/>
  <c r="AQ25" i="6"/>
  <c r="AQ57" i="6"/>
  <c r="AQ89" i="6"/>
  <c r="AQ34" i="6"/>
  <c r="AQ74" i="6"/>
  <c r="AQ23" i="6"/>
  <c r="AQ55" i="6"/>
  <c r="AQ87" i="6"/>
  <c r="AR62" i="6"/>
  <c r="AR16" i="6"/>
  <c r="AR48" i="6"/>
  <c r="AR80" i="6"/>
  <c r="AR112" i="6"/>
  <c r="AR59" i="6"/>
  <c r="AR23" i="6"/>
  <c r="AR21" i="6"/>
  <c r="AR53" i="6"/>
  <c r="AR85" i="6"/>
  <c r="AR18" i="6"/>
  <c r="AR71" i="6"/>
  <c r="AR94" i="6"/>
  <c r="AQ98" i="6"/>
  <c r="AR89" i="6"/>
  <c r="C183" i="2"/>
  <c r="F183" i="2" s="1"/>
  <c r="C199" i="2"/>
  <c r="F199" i="2" s="1"/>
  <c r="G14" i="6"/>
  <c r="G22" i="6"/>
  <c r="G30" i="6"/>
  <c r="G38" i="6"/>
  <c r="G46" i="6"/>
  <c r="G54" i="6"/>
  <c r="G62" i="6"/>
  <c r="G70" i="6"/>
  <c r="G78" i="6"/>
  <c r="G86" i="6"/>
  <c r="G94" i="6"/>
  <c r="G102" i="6"/>
  <c r="G110" i="6"/>
  <c r="G96" i="6"/>
  <c r="G33" i="6"/>
  <c r="G57" i="6"/>
  <c r="G73" i="6"/>
  <c r="G97" i="6"/>
  <c r="G45" i="6"/>
  <c r="G93" i="6"/>
  <c r="G15" i="6"/>
  <c r="G23" i="6"/>
  <c r="G31" i="6"/>
  <c r="G39" i="6"/>
  <c r="G47" i="6"/>
  <c r="G55" i="6"/>
  <c r="G63" i="6"/>
  <c r="G71" i="6"/>
  <c r="G79" i="6"/>
  <c r="G87" i="6"/>
  <c r="G95" i="6"/>
  <c r="G103" i="6"/>
  <c r="G111" i="6"/>
  <c r="G88" i="6"/>
  <c r="G112" i="6"/>
  <c r="G17" i="6"/>
  <c r="G41" i="6"/>
  <c r="G65" i="6"/>
  <c r="G89" i="6"/>
  <c r="G12" i="6"/>
  <c r="G13" i="6"/>
  <c r="G69" i="6"/>
  <c r="G101" i="6"/>
  <c r="G16" i="6"/>
  <c r="G24" i="6"/>
  <c r="G32" i="6"/>
  <c r="G40" i="6"/>
  <c r="G48" i="6"/>
  <c r="G56" i="6"/>
  <c r="G64" i="6"/>
  <c r="G72" i="6"/>
  <c r="G80" i="6"/>
  <c r="G104" i="6"/>
  <c r="G25" i="6"/>
  <c r="G49" i="6"/>
  <c r="G81" i="6"/>
  <c r="G105" i="6"/>
  <c r="G37" i="6"/>
  <c r="G109" i="6"/>
  <c r="G18" i="6"/>
  <c r="G26" i="6"/>
  <c r="G34" i="6"/>
  <c r="G42" i="6"/>
  <c r="G50" i="6"/>
  <c r="G58" i="6"/>
  <c r="G66" i="6"/>
  <c r="G74" i="6"/>
  <c r="G82" i="6"/>
  <c r="G90" i="6"/>
  <c r="G98" i="6"/>
  <c r="G106" i="6"/>
  <c r="G36" i="6"/>
  <c r="G52" i="6"/>
  <c r="G68" i="6"/>
  <c r="G84" i="6"/>
  <c r="G100" i="6"/>
  <c r="G29" i="6"/>
  <c r="G53" i="6"/>
  <c r="G77" i="6"/>
  <c r="G19" i="6"/>
  <c r="G27" i="6"/>
  <c r="G35" i="6"/>
  <c r="G43" i="6"/>
  <c r="G51" i="6"/>
  <c r="G59" i="6"/>
  <c r="G67" i="6"/>
  <c r="G75" i="6"/>
  <c r="G83" i="6"/>
  <c r="G91" i="6"/>
  <c r="G99" i="6"/>
  <c r="G107" i="6"/>
  <c r="G20" i="6"/>
  <c r="G28" i="6"/>
  <c r="G44" i="6"/>
  <c r="G60" i="6"/>
  <c r="G76" i="6"/>
  <c r="G92" i="6"/>
  <c r="G108" i="6"/>
  <c r="G21" i="6"/>
  <c r="G61" i="6"/>
  <c r="G85" i="6"/>
  <c r="I19" i="6"/>
  <c r="I27" i="6"/>
  <c r="I35" i="6"/>
  <c r="I43" i="6"/>
  <c r="I51" i="6"/>
  <c r="I59" i="6"/>
  <c r="I67" i="6"/>
  <c r="I75" i="6"/>
  <c r="I83" i="6"/>
  <c r="I91" i="6"/>
  <c r="I99" i="6"/>
  <c r="I107" i="6"/>
  <c r="I14" i="6"/>
  <c r="I46" i="6"/>
  <c r="I70" i="6"/>
  <c r="I86" i="6"/>
  <c r="I110" i="6"/>
  <c r="I34" i="6"/>
  <c r="I90" i="6"/>
  <c r="I20" i="6"/>
  <c r="I28" i="6"/>
  <c r="I36" i="6"/>
  <c r="I44" i="6"/>
  <c r="I52" i="6"/>
  <c r="I60" i="6"/>
  <c r="I68" i="6"/>
  <c r="I76" i="6"/>
  <c r="I84" i="6"/>
  <c r="I92" i="6"/>
  <c r="I100" i="6"/>
  <c r="I108" i="6"/>
  <c r="I30" i="6"/>
  <c r="I38" i="6"/>
  <c r="I62" i="6"/>
  <c r="I94" i="6"/>
  <c r="I50" i="6"/>
  <c r="I74" i="6"/>
  <c r="I21" i="6"/>
  <c r="I29" i="6"/>
  <c r="I37" i="6"/>
  <c r="I45" i="6"/>
  <c r="I53" i="6"/>
  <c r="I61" i="6"/>
  <c r="I69" i="6"/>
  <c r="I77" i="6"/>
  <c r="I85" i="6"/>
  <c r="I93" i="6"/>
  <c r="I101" i="6"/>
  <c r="I109" i="6"/>
  <c r="I22" i="6"/>
  <c r="I54" i="6"/>
  <c r="I78" i="6"/>
  <c r="I102" i="6"/>
  <c r="I42" i="6"/>
  <c r="I98" i="6"/>
  <c r="I15" i="6"/>
  <c r="I23" i="6"/>
  <c r="I31" i="6"/>
  <c r="I39" i="6"/>
  <c r="I47" i="6"/>
  <c r="I55" i="6"/>
  <c r="I63" i="6"/>
  <c r="I71" i="6"/>
  <c r="I79" i="6"/>
  <c r="I87" i="6"/>
  <c r="I95" i="6"/>
  <c r="I103" i="6"/>
  <c r="I111" i="6"/>
  <c r="I25" i="6"/>
  <c r="I33" i="6"/>
  <c r="I49" i="6"/>
  <c r="I65" i="6"/>
  <c r="I81" i="6"/>
  <c r="I97" i="6"/>
  <c r="I13" i="6"/>
  <c r="I18" i="6"/>
  <c r="I66" i="6"/>
  <c r="I106" i="6"/>
  <c r="I16" i="6"/>
  <c r="I24" i="6"/>
  <c r="I32" i="6"/>
  <c r="I40" i="6"/>
  <c r="I48" i="6"/>
  <c r="I56" i="6"/>
  <c r="I64" i="6"/>
  <c r="I72" i="6"/>
  <c r="I80" i="6"/>
  <c r="I88" i="6"/>
  <c r="I96" i="6"/>
  <c r="I104" i="6"/>
  <c r="I112" i="6"/>
  <c r="I17" i="6"/>
  <c r="I41" i="6"/>
  <c r="I57" i="6"/>
  <c r="I73" i="6"/>
  <c r="I89" i="6"/>
  <c r="I105" i="6"/>
  <c r="I26" i="6"/>
  <c r="I58" i="6"/>
  <c r="I82" i="6"/>
  <c r="H28" i="6"/>
  <c r="H13" i="6"/>
  <c r="H21" i="6"/>
  <c r="H29" i="6"/>
  <c r="H37" i="6"/>
  <c r="H45" i="6"/>
  <c r="H53" i="6"/>
  <c r="H61" i="6"/>
  <c r="H69" i="6"/>
  <c r="H77" i="6"/>
  <c r="H85" i="6"/>
  <c r="H93" i="6"/>
  <c r="H101" i="6"/>
  <c r="H109" i="6"/>
  <c r="H15" i="6"/>
  <c r="H39" i="6"/>
  <c r="H55" i="6"/>
  <c r="H12" i="6"/>
  <c r="H14" i="6"/>
  <c r="H22" i="6"/>
  <c r="H30" i="6"/>
  <c r="H38" i="6"/>
  <c r="H46" i="6"/>
  <c r="H54" i="6"/>
  <c r="H62" i="6"/>
  <c r="H70" i="6"/>
  <c r="H78" i="6"/>
  <c r="H86" i="6"/>
  <c r="H94" i="6"/>
  <c r="H102" i="6"/>
  <c r="H110" i="6"/>
  <c r="H23" i="6"/>
  <c r="H47" i="6"/>
  <c r="H63" i="6"/>
  <c r="H71" i="6"/>
  <c r="H79" i="6"/>
  <c r="H87" i="6"/>
  <c r="H95" i="6"/>
  <c r="H103" i="6"/>
  <c r="H111" i="6"/>
  <c r="H89" i="6"/>
  <c r="H31" i="6"/>
  <c r="H16" i="6"/>
  <c r="H24" i="6"/>
  <c r="H32" i="6"/>
  <c r="H40" i="6"/>
  <c r="H48" i="6"/>
  <c r="H56" i="6"/>
  <c r="H64" i="6"/>
  <c r="H72" i="6"/>
  <c r="H80" i="6"/>
  <c r="H88" i="6"/>
  <c r="H96" i="6"/>
  <c r="H104" i="6"/>
  <c r="H112" i="6"/>
  <c r="H17" i="6"/>
  <c r="H25" i="6"/>
  <c r="H33" i="6"/>
  <c r="H41" i="6"/>
  <c r="H49" i="6"/>
  <c r="H57" i="6"/>
  <c r="H65" i="6"/>
  <c r="H73" i="6"/>
  <c r="H105" i="6"/>
  <c r="H18" i="6"/>
  <c r="H26" i="6"/>
  <c r="H34" i="6"/>
  <c r="H42" i="6"/>
  <c r="H50" i="6"/>
  <c r="H58" i="6"/>
  <c r="H66" i="6"/>
  <c r="H74" i="6"/>
  <c r="H82" i="6"/>
  <c r="H90" i="6"/>
  <c r="H98" i="6"/>
  <c r="H106" i="6"/>
  <c r="H36" i="6"/>
  <c r="H84" i="6"/>
  <c r="H100" i="6"/>
  <c r="H97" i="6"/>
  <c r="H19" i="6"/>
  <c r="H27" i="6"/>
  <c r="H35" i="6"/>
  <c r="H43" i="6"/>
  <c r="H51" i="6"/>
  <c r="H59" i="6"/>
  <c r="H67" i="6"/>
  <c r="H75" i="6"/>
  <c r="H83" i="6"/>
  <c r="H91" i="6"/>
  <c r="H99" i="6"/>
  <c r="H107" i="6"/>
  <c r="H20" i="6"/>
  <c r="H44" i="6"/>
  <c r="H52" i="6"/>
  <c r="H60" i="6"/>
  <c r="H68" i="6"/>
  <c r="H76" i="6"/>
  <c r="H92" i="6"/>
  <c r="H108" i="6"/>
  <c r="H81" i="6"/>
  <c r="F152" i="2"/>
  <c r="G105" i="1" s="1"/>
  <c r="C22" i="2"/>
  <c r="F22" i="2" s="1"/>
  <c r="F16" i="2"/>
  <c r="A248" i="4"/>
  <c r="A344" i="4" s="1"/>
  <c r="A440" i="4" s="1"/>
  <c r="A536" i="4" s="1"/>
  <c r="A632" i="4" s="1"/>
  <c r="A728" i="4" s="1"/>
  <c r="A208" i="4"/>
  <c r="A304" i="4" s="1"/>
  <c r="A400" i="4" s="1"/>
  <c r="A496" i="4" s="1"/>
  <c r="A592" i="4" s="1"/>
  <c r="A688" i="4" s="1"/>
  <c r="A200" i="4"/>
  <c r="A296" i="4" s="1"/>
  <c r="A392" i="4" s="1"/>
  <c r="A488" i="4" s="1"/>
  <c r="A584" i="4" s="1"/>
  <c r="A680" i="4" s="1"/>
  <c r="A192" i="4"/>
  <c r="A288" i="4" s="1"/>
  <c r="A384" i="4" s="1"/>
  <c r="A480" i="4" s="1"/>
  <c r="A576" i="4" s="1"/>
  <c r="A672" i="4" s="1"/>
  <c r="A768" i="4" s="1"/>
  <c r="A191" i="4"/>
  <c r="A287" i="4" s="1"/>
  <c r="A383" i="4" s="1"/>
  <c r="A479" i="4" s="1"/>
  <c r="A575" i="4" s="1"/>
  <c r="A671" i="4" s="1"/>
  <c r="A767" i="4" s="1"/>
  <c r="A190" i="4"/>
  <c r="A286" i="4" s="1"/>
  <c r="A382" i="4" s="1"/>
  <c r="A478" i="4" s="1"/>
  <c r="A574" i="4" s="1"/>
  <c r="A670" i="4" s="1"/>
  <c r="A766" i="4" s="1"/>
  <c r="A189" i="4"/>
  <c r="A285" i="4" s="1"/>
  <c r="A381" i="4" s="1"/>
  <c r="A477" i="4" s="1"/>
  <c r="A573" i="4" s="1"/>
  <c r="A669" i="4" s="1"/>
  <c r="A765" i="4" s="1"/>
  <c r="A188" i="4"/>
  <c r="A284" i="4" s="1"/>
  <c r="A380" i="4" s="1"/>
  <c r="A476" i="4" s="1"/>
  <c r="A572" i="4" s="1"/>
  <c r="A668" i="4" s="1"/>
  <c r="A764" i="4" s="1"/>
  <c r="A187" i="4"/>
  <c r="A283" i="4" s="1"/>
  <c r="A379" i="4" s="1"/>
  <c r="A475" i="4" s="1"/>
  <c r="A571" i="4" s="1"/>
  <c r="A667" i="4" s="1"/>
  <c r="A763" i="4" s="1"/>
  <c r="A186" i="4"/>
  <c r="A282" i="4" s="1"/>
  <c r="A378" i="4" s="1"/>
  <c r="A474" i="4" s="1"/>
  <c r="A570" i="4" s="1"/>
  <c r="A666" i="4" s="1"/>
  <c r="A762" i="4" s="1"/>
  <c r="A185" i="4"/>
  <c r="A281" i="4" s="1"/>
  <c r="A377" i="4" s="1"/>
  <c r="A473" i="4" s="1"/>
  <c r="A569" i="4" s="1"/>
  <c r="A665" i="4" s="1"/>
  <c r="A761" i="4" s="1"/>
  <c r="A184" i="4"/>
  <c r="A280" i="4" s="1"/>
  <c r="A376" i="4" s="1"/>
  <c r="A472" i="4" s="1"/>
  <c r="A568" i="4" s="1"/>
  <c r="A664" i="4" s="1"/>
  <c r="A760" i="4" s="1"/>
  <c r="A183" i="4"/>
  <c r="A279" i="4" s="1"/>
  <c r="A375" i="4" s="1"/>
  <c r="A471" i="4" s="1"/>
  <c r="A567" i="4" s="1"/>
  <c r="A663" i="4" s="1"/>
  <c r="A759" i="4" s="1"/>
  <c r="A182" i="4"/>
  <c r="A278" i="4" s="1"/>
  <c r="A374" i="4" s="1"/>
  <c r="A470" i="4" s="1"/>
  <c r="A566" i="4" s="1"/>
  <c r="A662" i="4" s="1"/>
  <c r="A758" i="4" s="1"/>
  <c r="A181" i="4"/>
  <c r="A277" i="4" s="1"/>
  <c r="A373" i="4" s="1"/>
  <c r="A469" i="4" s="1"/>
  <c r="A565" i="4" s="1"/>
  <c r="A661" i="4" s="1"/>
  <c r="A757" i="4" s="1"/>
  <c r="A180" i="4"/>
  <c r="A276" i="4" s="1"/>
  <c r="A372" i="4" s="1"/>
  <c r="A468" i="4" s="1"/>
  <c r="A564" i="4" s="1"/>
  <c r="A660" i="4" s="1"/>
  <c r="A756" i="4" s="1"/>
  <c r="A179" i="4"/>
  <c r="A275" i="4" s="1"/>
  <c r="A371" i="4" s="1"/>
  <c r="A467" i="4" s="1"/>
  <c r="A563" i="4" s="1"/>
  <c r="A659" i="4" s="1"/>
  <c r="A755" i="4" s="1"/>
  <c r="A178" i="4"/>
  <c r="A274" i="4" s="1"/>
  <c r="A370" i="4" s="1"/>
  <c r="A466" i="4" s="1"/>
  <c r="A562" i="4" s="1"/>
  <c r="A658" i="4" s="1"/>
  <c r="A754" i="4" s="1"/>
  <c r="A177" i="4"/>
  <c r="A273" i="4" s="1"/>
  <c r="A369" i="4" s="1"/>
  <c r="A465" i="4" s="1"/>
  <c r="A561" i="4" s="1"/>
  <c r="A657" i="4" s="1"/>
  <c r="A753" i="4" s="1"/>
  <c r="A176" i="4"/>
  <c r="A272" i="4" s="1"/>
  <c r="A368" i="4" s="1"/>
  <c r="A464" i="4" s="1"/>
  <c r="A560" i="4" s="1"/>
  <c r="A656" i="4" s="1"/>
  <c r="A752" i="4" s="1"/>
  <c r="A175" i="4"/>
  <c r="A271" i="4" s="1"/>
  <c r="A367" i="4" s="1"/>
  <c r="A463" i="4" s="1"/>
  <c r="A559" i="4" s="1"/>
  <c r="A655" i="4" s="1"/>
  <c r="A751" i="4" s="1"/>
  <c r="A174" i="4"/>
  <c r="A270" i="4" s="1"/>
  <c r="A366" i="4" s="1"/>
  <c r="A462" i="4" s="1"/>
  <c r="A558" i="4" s="1"/>
  <c r="A654" i="4" s="1"/>
  <c r="A750" i="4" s="1"/>
  <c r="A173" i="4"/>
  <c r="A269" i="4" s="1"/>
  <c r="A365" i="4" s="1"/>
  <c r="A461" i="4" s="1"/>
  <c r="A557" i="4" s="1"/>
  <c r="A653" i="4" s="1"/>
  <c r="A749" i="4" s="1"/>
  <c r="A172" i="4"/>
  <c r="A268" i="4" s="1"/>
  <c r="A364" i="4" s="1"/>
  <c r="A460" i="4" s="1"/>
  <c r="A556" i="4" s="1"/>
  <c r="A652" i="4" s="1"/>
  <c r="A748" i="4" s="1"/>
  <c r="A171" i="4"/>
  <c r="A267" i="4" s="1"/>
  <c r="A363" i="4" s="1"/>
  <c r="A459" i="4" s="1"/>
  <c r="A555" i="4" s="1"/>
  <c r="A651" i="4" s="1"/>
  <c r="A747" i="4" s="1"/>
  <c r="A170" i="4"/>
  <c r="A266" i="4" s="1"/>
  <c r="A362" i="4" s="1"/>
  <c r="A458" i="4" s="1"/>
  <c r="A554" i="4" s="1"/>
  <c r="A650" i="4" s="1"/>
  <c r="A746" i="4" s="1"/>
  <c r="A169" i="4"/>
  <c r="A265" i="4" s="1"/>
  <c r="A361" i="4" s="1"/>
  <c r="A457" i="4" s="1"/>
  <c r="A553" i="4" s="1"/>
  <c r="A649" i="4" s="1"/>
  <c r="A745" i="4" s="1"/>
  <c r="A168" i="4"/>
  <c r="A264" i="4" s="1"/>
  <c r="A360" i="4" s="1"/>
  <c r="A456" i="4" s="1"/>
  <c r="A552" i="4" s="1"/>
  <c r="A648" i="4" s="1"/>
  <c r="A744" i="4" s="1"/>
  <c r="A167" i="4"/>
  <c r="A263" i="4" s="1"/>
  <c r="A359" i="4" s="1"/>
  <c r="A455" i="4" s="1"/>
  <c r="A551" i="4" s="1"/>
  <c r="A647" i="4" s="1"/>
  <c r="A743" i="4" s="1"/>
  <c r="A166" i="4"/>
  <c r="A262" i="4" s="1"/>
  <c r="A358" i="4" s="1"/>
  <c r="A454" i="4" s="1"/>
  <c r="A550" i="4" s="1"/>
  <c r="A646" i="4" s="1"/>
  <c r="A742" i="4" s="1"/>
  <c r="A165" i="4"/>
  <c r="A261" i="4" s="1"/>
  <c r="A357" i="4" s="1"/>
  <c r="A453" i="4" s="1"/>
  <c r="A549" i="4" s="1"/>
  <c r="A645" i="4" s="1"/>
  <c r="A741" i="4" s="1"/>
  <c r="A164" i="4"/>
  <c r="A260" i="4" s="1"/>
  <c r="A356" i="4" s="1"/>
  <c r="A452" i="4" s="1"/>
  <c r="A548" i="4" s="1"/>
  <c r="A644" i="4" s="1"/>
  <c r="A740" i="4" s="1"/>
  <c r="A163" i="4"/>
  <c r="A259" i="4" s="1"/>
  <c r="A355" i="4" s="1"/>
  <c r="A451" i="4" s="1"/>
  <c r="A547" i="4" s="1"/>
  <c r="A643" i="4" s="1"/>
  <c r="A739" i="4" s="1"/>
  <c r="A162" i="4"/>
  <c r="A258" i="4" s="1"/>
  <c r="A354" i="4" s="1"/>
  <c r="A450" i="4" s="1"/>
  <c r="A546" i="4" s="1"/>
  <c r="A642" i="4" s="1"/>
  <c r="A738" i="4" s="1"/>
  <c r="A161" i="4"/>
  <c r="A257" i="4" s="1"/>
  <c r="A353" i="4" s="1"/>
  <c r="A449" i="4" s="1"/>
  <c r="A545" i="4" s="1"/>
  <c r="A641" i="4" s="1"/>
  <c r="A737" i="4" s="1"/>
  <c r="A160" i="4"/>
  <c r="A256" i="4" s="1"/>
  <c r="A352" i="4" s="1"/>
  <c r="A448" i="4" s="1"/>
  <c r="A544" i="4" s="1"/>
  <c r="A640" i="4" s="1"/>
  <c r="A736" i="4" s="1"/>
  <c r="A159" i="4"/>
  <c r="A255" i="4" s="1"/>
  <c r="A351" i="4" s="1"/>
  <c r="A447" i="4" s="1"/>
  <c r="A543" i="4" s="1"/>
  <c r="A639" i="4" s="1"/>
  <c r="A735" i="4" s="1"/>
  <c r="A158" i="4"/>
  <c r="A254" i="4" s="1"/>
  <c r="A350" i="4" s="1"/>
  <c r="A446" i="4" s="1"/>
  <c r="A542" i="4" s="1"/>
  <c r="A638" i="4" s="1"/>
  <c r="A734" i="4" s="1"/>
  <c r="A157" i="4"/>
  <c r="A253" i="4" s="1"/>
  <c r="A349" i="4" s="1"/>
  <c r="A445" i="4" s="1"/>
  <c r="A541" i="4" s="1"/>
  <c r="A637" i="4" s="1"/>
  <c r="A733" i="4" s="1"/>
  <c r="A156" i="4"/>
  <c r="A252" i="4" s="1"/>
  <c r="A348" i="4" s="1"/>
  <c r="A444" i="4" s="1"/>
  <c r="A540" i="4" s="1"/>
  <c r="A636" i="4" s="1"/>
  <c r="A732" i="4" s="1"/>
  <c r="A155" i="4"/>
  <c r="A251" i="4" s="1"/>
  <c r="A347" i="4" s="1"/>
  <c r="A443" i="4" s="1"/>
  <c r="A539" i="4" s="1"/>
  <c r="A635" i="4" s="1"/>
  <c r="A731" i="4" s="1"/>
  <c r="A154" i="4"/>
  <c r="A250" i="4" s="1"/>
  <c r="A346" i="4" s="1"/>
  <c r="A442" i="4" s="1"/>
  <c r="A538" i="4" s="1"/>
  <c r="A634" i="4" s="1"/>
  <c r="A730" i="4" s="1"/>
  <c r="A153" i="4"/>
  <c r="A249" i="4" s="1"/>
  <c r="A345" i="4" s="1"/>
  <c r="A441" i="4" s="1"/>
  <c r="A537" i="4" s="1"/>
  <c r="A633" i="4" s="1"/>
  <c r="A729" i="4" s="1"/>
  <c r="A152" i="4"/>
  <c r="A151" i="4"/>
  <c r="A247" i="4" s="1"/>
  <c r="A343" i="4" s="1"/>
  <c r="A439" i="4" s="1"/>
  <c r="A535" i="4" s="1"/>
  <c r="A631" i="4" s="1"/>
  <c r="A727" i="4" s="1"/>
  <c r="A150" i="4"/>
  <c r="A246" i="4" s="1"/>
  <c r="A342" i="4" s="1"/>
  <c r="A438" i="4" s="1"/>
  <c r="A534" i="4" s="1"/>
  <c r="A630" i="4" s="1"/>
  <c r="A726" i="4" s="1"/>
  <c r="A149" i="4"/>
  <c r="A245" i="4" s="1"/>
  <c r="A341" i="4" s="1"/>
  <c r="A437" i="4" s="1"/>
  <c r="A533" i="4" s="1"/>
  <c r="A629" i="4" s="1"/>
  <c r="A725" i="4" s="1"/>
  <c r="A148" i="4"/>
  <c r="A244" i="4" s="1"/>
  <c r="A340" i="4" s="1"/>
  <c r="A436" i="4" s="1"/>
  <c r="A532" i="4" s="1"/>
  <c r="A628" i="4" s="1"/>
  <c r="A724" i="4" s="1"/>
  <c r="A147" i="4"/>
  <c r="A243" i="4" s="1"/>
  <c r="A339" i="4" s="1"/>
  <c r="A435" i="4" s="1"/>
  <c r="A531" i="4" s="1"/>
  <c r="A627" i="4" s="1"/>
  <c r="A723" i="4" s="1"/>
  <c r="A146" i="4"/>
  <c r="A242" i="4" s="1"/>
  <c r="A338" i="4" s="1"/>
  <c r="A434" i="4" s="1"/>
  <c r="A530" i="4" s="1"/>
  <c r="A626" i="4" s="1"/>
  <c r="A722" i="4" s="1"/>
  <c r="A145" i="4"/>
  <c r="A241" i="4" s="1"/>
  <c r="A337" i="4" s="1"/>
  <c r="A433" i="4" s="1"/>
  <c r="A529" i="4" s="1"/>
  <c r="A625" i="4" s="1"/>
  <c r="A721" i="4" s="1"/>
  <c r="A144" i="4"/>
  <c r="A240" i="4" s="1"/>
  <c r="A336" i="4" s="1"/>
  <c r="A432" i="4" s="1"/>
  <c r="A528" i="4" s="1"/>
  <c r="A624" i="4" s="1"/>
  <c r="A720" i="4" s="1"/>
  <c r="A143" i="4"/>
  <c r="A239" i="4" s="1"/>
  <c r="A335" i="4" s="1"/>
  <c r="A431" i="4" s="1"/>
  <c r="A527" i="4" s="1"/>
  <c r="A623" i="4" s="1"/>
  <c r="A719" i="4" s="1"/>
  <c r="A142" i="4"/>
  <c r="A238" i="4" s="1"/>
  <c r="A334" i="4" s="1"/>
  <c r="A430" i="4" s="1"/>
  <c r="A526" i="4" s="1"/>
  <c r="A622" i="4" s="1"/>
  <c r="A718" i="4" s="1"/>
  <c r="A141" i="4"/>
  <c r="A237" i="4" s="1"/>
  <c r="A333" i="4" s="1"/>
  <c r="A429" i="4" s="1"/>
  <c r="A525" i="4" s="1"/>
  <c r="A621" i="4" s="1"/>
  <c r="A717" i="4" s="1"/>
  <c r="A140" i="4"/>
  <c r="A236" i="4" s="1"/>
  <c r="A332" i="4" s="1"/>
  <c r="A428" i="4" s="1"/>
  <c r="A524" i="4" s="1"/>
  <c r="A620" i="4" s="1"/>
  <c r="A716" i="4" s="1"/>
  <c r="A139" i="4"/>
  <c r="A235" i="4" s="1"/>
  <c r="A331" i="4" s="1"/>
  <c r="A427" i="4" s="1"/>
  <c r="A523" i="4" s="1"/>
  <c r="A619" i="4" s="1"/>
  <c r="A715" i="4" s="1"/>
  <c r="A138" i="4"/>
  <c r="A234" i="4" s="1"/>
  <c r="A330" i="4" s="1"/>
  <c r="A426" i="4" s="1"/>
  <c r="A522" i="4" s="1"/>
  <c r="A618" i="4" s="1"/>
  <c r="A714" i="4" s="1"/>
  <c r="A137" i="4"/>
  <c r="A233" i="4" s="1"/>
  <c r="A329" i="4" s="1"/>
  <c r="A425" i="4" s="1"/>
  <c r="A521" i="4" s="1"/>
  <c r="A617" i="4" s="1"/>
  <c r="A713" i="4" s="1"/>
  <c r="A136" i="4"/>
  <c r="A232" i="4" s="1"/>
  <c r="A328" i="4" s="1"/>
  <c r="A424" i="4" s="1"/>
  <c r="A520" i="4" s="1"/>
  <c r="A616" i="4" s="1"/>
  <c r="A712" i="4" s="1"/>
  <c r="A135" i="4"/>
  <c r="A231" i="4" s="1"/>
  <c r="A327" i="4" s="1"/>
  <c r="A423" i="4" s="1"/>
  <c r="A519" i="4" s="1"/>
  <c r="A615" i="4" s="1"/>
  <c r="A711" i="4" s="1"/>
  <c r="A134" i="4"/>
  <c r="A230" i="4" s="1"/>
  <c r="A326" i="4" s="1"/>
  <c r="A422" i="4" s="1"/>
  <c r="A518" i="4" s="1"/>
  <c r="A614" i="4" s="1"/>
  <c r="A710" i="4" s="1"/>
  <c r="A133" i="4"/>
  <c r="A229" i="4" s="1"/>
  <c r="A325" i="4" s="1"/>
  <c r="A421" i="4" s="1"/>
  <c r="A517" i="4" s="1"/>
  <c r="A613" i="4" s="1"/>
  <c r="A709" i="4" s="1"/>
  <c r="A132" i="4"/>
  <c r="A228" i="4" s="1"/>
  <c r="A324" i="4" s="1"/>
  <c r="A420" i="4" s="1"/>
  <c r="A516" i="4" s="1"/>
  <c r="A612" i="4" s="1"/>
  <c r="A708" i="4" s="1"/>
  <c r="A131" i="4"/>
  <c r="A227" i="4" s="1"/>
  <c r="A323" i="4" s="1"/>
  <c r="A419" i="4" s="1"/>
  <c r="A515" i="4" s="1"/>
  <c r="A611" i="4" s="1"/>
  <c r="A707" i="4" s="1"/>
  <c r="A130" i="4"/>
  <c r="A226" i="4" s="1"/>
  <c r="A322" i="4" s="1"/>
  <c r="A418" i="4" s="1"/>
  <c r="A514" i="4" s="1"/>
  <c r="A610" i="4" s="1"/>
  <c r="A706" i="4" s="1"/>
  <c r="A129" i="4"/>
  <c r="A225" i="4" s="1"/>
  <c r="A321" i="4" s="1"/>
  <c r="A417" i="4" s="1"/>
  <c r="A513" i="4" s="1"/>
  <c r="A609" i="4" s="1"/>
  <c r="A705" i="4" s="1"/>
  <c r="A128" i="4"/>
  <c r="A224" i="4" s="1"/>
  <c r="A320" i="4" s="1"/>
  <c r="A416" i="4" s="1"/>
  <c r="A512" i="4" s="1"/>
  <c r="A608" i="4" s="1"/>
  <c r="A704" i="4" s="1"/>
  <c r="A127" i="4"/>
  <c r="A223" i="4" s="1"/>
  <c r="A319" i="4" s="1"/>
  <c r="A415" i="4" s="1"/>
  <c r="A511" i="4" s="1"/>
  <c r="A607" i="4" s="1"/>
  <c r="A703" i="4" s="1"/>
  <c r="A126" i="4"/>
  <c r="A222" i="4" s="1"/>
  <c r="A318" i="4" s="1"/>
  <c r="A414" i="4" s="1"/>
  <c r="A510" i="4" s="1"/>
  <c r="A606" i="4" s="1"/>
  <c r="A702" i="4" s="1"/>
  <c r="A125" i="4"/>
  <c r="A221" i="4" s="1"/>
  <c r="A317" i="4" s="1"/>
  <c r="A413" i="4" s="1"/>
  <c r="A509" i="4" s="1"/>
  <c r="A605" i="4" s="1"/>
  <c r="A701" i="4" s="1"/>
  <c r="A124" i="4"/>
  <c r="A220" i="4" s="1"/>
  <c r="A316" i="4" s="1"/>
  <c r="A412" i="4" s="1"/>
  <c r="A508" i="4" s="1"/>
  <c r="A604" i="4" s="1"/>
  <c r="A700" i="4" s="1"/>
  <c r="A123" i="4"/>
  <c r="A219" i="4" s="1"/>
  <c r="A315" i="4" s="1"/>
  <c r="A411" i="4" s="1"/>
  <c r="A507" i="4" s="1"/>
  <c r="A603" i="4" s="1"/>
  <c r="A699" i="4" s="1"/>
  <c r="A122" i="4"/>
  <c r="A218" i="4" s="1"/>
  <c r="A314" i="4" s="1"/>
  <c r="A410" i="4" s="1"/>
  <c r="A506" i="4" s="1"/>
  <c r="A602" i="4" s="1"/>
  <c r="A698" i="4" s="1"/>
  <c r="A121" i="4"/>
  <c r="A217" i="4" s="1"/>
  <c r="A313" i="4" s="1"/>
  <c r="A409" i="4" s="1"/>
  <c r="A505" i="4" s="1"/>
  <c r="A601" i="4" s="1"/>
  <c r="A697" i="4" s="1"/>
  <c r="A120" i="4"/>
  <c r="A216" i="4" s="1"/>
  <c r="A312" i="4" s="1"/>
  <c r="A408" i="4" s="1"/>
  <c r="A504" i="4" s="1"/>
  <c r="A600" i="4" s="1"/>
  <c r="A696" i="4" s="1"/>
  <c r="A119" i="4"/>
  <c r="A215" i="4" s="1"/>
  <c r="A311" i="4" s="1"/>
  <c r="A407" i="4" s="1"/>
  <c r="A503" i="4" s="1"/>
  <c r="A599" i="4" s="1"/>
  <c r="A695" i="4" s="1"/>
  <c r="A118" i="4"/>
  <c r="A214" i="4" s="1"/>
  <c r="A310" i="4" s="1"/>
  <c r="A406" i="4" s="1"/>
  <c r="A502" i="4" s="1"/>
  <c r="A598" i="4" s="1"/>
  <c r="A694" i="4" s="1"/>
  <c r="A117" i="4"/>
  <c r="A213" i="4" s="1"/>
  <c r="A309" i="4" s="1"/>
  <c r="A405" i="4" s="1"/>
  <c r="A501" i="4" s="1"/>
  <c r="A597" i="4" s="1"/>
  <c r="A693" i="4" s="1"/>
  <c r="A116" i="4"/>
  <c r="A212" i="4" s="1"/>
  <c r="A308" i="4" s="1"/>
  <c r="A404" i="4" s="1"/>
  <c r="A500" i="4" s="1"/>
  <c r="A596" i="4" s="1"/>
  <c r="A692" i="4" s="1"/>
  <c r="A115" i="4"/>
  <c r="A211" i="4" s="1"/>
  <c r="A307" i="4" s="1"/>
  <c r="A403" i="4" s="1"/>
  <c r="A499" i="4" s="1"/>
  <c r="A595" i="4" s="1"/>
  <c r="A691" i="4" s="1"/>
  <c r="A114" i="4"/>
  <c r="A210" i="4" s="1"/>
  <c r="A306" i="4" s="1"/>
  <c r="A402" i="4" s="1"/>
  <c r="A498" i="4" s="1"/>
  <c r="A594" i="4" s="1"/>
  <c r="A690" i="4" s="1"/>
  <c r="A113" i="4"/>
  <c r="A209" i="4" s="1"/>
  <c r="A305" i="4" s="1"/>
  <c r="A401" i="4" s="1"/>
  <c r="A497" i="4" s="1"/>
  <c r="A593" i="4" s="1"/>
  <c r="A689" i="4" s="1"/>
  <c r="A112" i="4"/>
  <c r="A111" i="4"/>
  <c r="A207" i="4" s="1"/>
  <c r="A303" i="4" s="1"/>
  <c r="A399" i="4" s="1"/>
  <c r="A495" i="4" s="1"/>
  <c r="A591" i="4" s="1"/>
  <c r="A687" i="4" s="1"/>
  <c r="A110" i="4"/>
  <c r="A206" i="4" s="1"/>
  <c r="A302" i="4" s="1"/>
  <c r="A398" i="4" s="1"/>
  <c r="A494" i="4" s="1"/>
  <c r="A590" i="4" s="1"/>
  <c r="A686" i="4" s="1"/>
  <c r="A109" i="4"/>
  <c r="A205" i="4" s="1"/>
  <c r="A301" i="4" s="1"/>
  <c r="A397" i="4" s="1"/>
  <c r="A493" i="4" s="1"/>
  <c r="A589" i="4" s="1"/>
  <c r="A685" i="4" s="1"/>
  <c r="A108" i="4"/>
  <c r="A204" i="4" s="1"/>
  <c r="A300" i="4" s="1"/>
  <c r="A396" i="4" s="1"/>
  <c r="A492" i="4" s="1"/>
  <c r="A588" i="4" s="1"/>
  <c r="A684" i="4" s="1"/>
  <c r="A107" i="4"/>
  <c r="A203" i="4" s="1"/>
  <c r="A299" i="4" s="1"/>
  <c r="A395" i="4" s="1"/>
  <c r="A491" i="4" s="1"/>
  <c r="A587" i="4" s="1"/>
  <c r="A683" i="4" s="1"/>
  <c r="A106" i="4"/>
  <c r="A202" i="4" s="1"/>
  <c r="A298" i="4" s="1"/>
  <c r="A394" i="4" s="1"/>
  <c r="A490" i="4" s="1"/>
  <c r="A586" i="4" s="1"/>
  <c r="A682" i="4" s="1"/>
  <c r="A105" i="4"/>
  <c r="A201" i="4" s="1"/>
  <c r="A297" i="4" s="1"/>
  <c r="A393" i="4" s="1"/>
  <c r="A489" i="4" s="1"/>
  <c r="A585" i="4" s="1"/>
  <c r="A681" i="4" s="1"/>
  <c r="A104" i="4"/>
  <c r="A103" i="4"/>
  <c r="A199" i="4" s="1"/>
  <c r="A295" i="4" s="1"/>
  <c r="A391" i="4" s="1"/>
  <c r="A487" i="4" s="1"/>
  <c r="A583" i="4" s="1"/>
  <c r="A679" i="4" s="1"/>
  <c r="A102" i="4"/>
  <c r="A198" i="4" s="1"/>
  <c r="A294" i="4" s="1"/>
  <c r="A390" i="4" s="1"/>
  <c r="A486" i="4" s="1"/>
  <c r="A582" i="4" s="1"/>
  <c r="A678" i="4" s="1"/>
  <c r="A101" i="4"/>
  <c r="A197" i="4" s="1"/>
  <c r="A293" i="4" s="1"/>
  <c r="A389" i="4" s="1"/>
  <c r="A485" i="4" s="1"/>
  <c r="A581" i="4" s="1"/>
  <c r="A677" i="4" s="1"/>
  <c r="A100" i="4"/>
  <c r="A196" i="4" s="1"/>
  <c r="A292" i="4" s="1"/>
  <c r="A388" i="4" s="1"/>
  <c r="A484" i="4" s="1"/>
  <c r="A580" i="4" s="1"/>
  <c r="A676" i="4" s="1"/>
  <c r="A99" i="4"/>
  <c r="A195" i="4" s="1"/>
  <c r="A291" i="4" s="1"/>
  <c r="A387" i="4" s="1"/>
  <c r="A483" i="4" s="1"/>
  <c r="A579" i="4" s="1"/>
  <c r="A675" i="4" s="1"/>
  <c r="A98" i="4"/>
  <c r="A194" i="4" s="1"/>
  <c r="A290" i="4" s="1"/>
  <c r="A386" i="4" s="1"/>
  <c r="A482" i="4" s="1"/>
  <c r="A578" i="4" s="1"/>
  <c r="A674" i="4" s="1"/>
  <c r="A97" i="4"/>
  <c r="A193" i="4" s="1"/>
  <c r="A289" i="4" s="1"/>
  <c r="A385" i="4" s="1"/>
  <c r="A481" i="4" s="1"/>
  <c r="A577" i="4" s="1"/>
  <c r="A673" i="4" s="1"/>
  <c r="A769" i="4" s="1"/>
  <c r="C214" i="2" l="1"/>
  <c r="F214" i="2" s="1"/>
  <c r="C54" i="2"/>
  <c r="F54" i="2" s="1"/>
  <c r="AJ7" i="6"/>
  <c r="AT42" i="6" s="1"/>
  <c r="AX98" i="6"/>
  <c r="AY98" i="6" s="1"/>
  <c r="BI98" i="6" s="1"/>
  <c r="D14" i="7"/>
  <c r="D13" i="7"/>
  <c r="D15" i="7" s="1"/>
  <c r="D16" i="7" s="1"/>
  <c r="D17" i="7" s="1"/>
  <c r="AI42" i="6"/>
  <c r="AI26" i="6"/>
  <c r="AI43" i="6"/>
  <c r="AS12" i="6"/>
  <c r="AS28" i="6"/>
  <c r="AX47" i="6"/>
  <c r="AY47" i="6" s="1"/>
  <c r="BI47" i="6" s="1"/>
  <c r="AX48" i="6"/>
  <c r="AY48" i="6" s="1"/>
  <c r="BI48" i="6" s="1"/>
  <c r="AX76" i="6"/>
  <c r="AY76" i="6" s="1"/>
  <c r="BI76" i="6" s="1"/>
  <c r="AX54" i="6"/>
  <c r="AY54" i="6" s="1"/>
  <c r="BI54" i="6" s="1"/>
  <c r="AX56" i="6"/>
  <c r="AY56" i="6" s="1"/>
  <c r="BI56" i="6" s="1"/>
  <c r="AX23" i="6"/>
  <c r="AY23" i="6" s="1"/>
  <c r="BI23" i="6" s="1"/>
  <c r="AX64" i="6"/>
  <c r="AY64" i="6" s="1"/>
  <c r="BI64" i="6" s="1"/>
  <c r="AX87" i="6"/>
  <c r="AY87" i="6" s="1"/>
  <c r="BI87" i="6" s="1"/>
  <c r="AX104" i="6"/>
  <c r="AY104" i="6" s="1"/>
  <c r="BI104" i="6" s="1"/>
  <c r="AX108" i="6"/>
  <c r="AY108" i="6" s="1"/>
  <c r="BI108" i="6" s="1"/>
  <c r="AX39" i="6"/>
  <c r="AY39" i="6" s="1"/>
  <c r="BI39" i="6" s="1"/>
  <c r="AX44" i="6"/>
  <c r="AY44" i="6" s="1"/>
  <c r="BI44" i="6" s="1"/>
  <c r="AX82" i="6"/>
  <c r="AY82" i="6" s="1"/>
  <c r="BI82" i="6" s="1"/>
  <c r="AX101" i="6"/>
  <c r="AY101" i="6" s="1"/>
  <c r="BI101" i="6" s="1"/>
  <c r="AX25" i="6"/>
  <c r="AY25" i="6" s="1"/>
  <c r="BI25" i="6" s="1"/>
  <c r="AX62" i="6"/>
  <c r="AY62" i="6" s="1"/>
  <c r="BI62" i="6" s="1"/>
  <c r="AX90" i="6"/>
  <c r="AY90" i="6" s="1"/>
  <c r="BI90" i="6" s="1"/>
  <c r="AX80" i="6"/>
  <c r="AY80" i="6" s="1"/>
  <c r="BI80" i="6" s="1"/>
  <c r="AX92" i="6"/>
  <c r="AY92" i="6" s="1"/>
  <c r="BI92" i="6" s="1"/>
  <c r="AX73" i="6"/>
  <c r="AY73" i="6" s="1"/>
  <c r="BI73" i="6" s="1"/>
  <c r="AX46" i="6"/>
  <c r="AY46" i="6" s="1"/>
  <c r="BI46" i="6" s="1"/>
  <c r="AX66" i="6"/>
  <c r="AY66" i="6" s="1"/>
  <c r="BI66" i="6" s="1"/>
  <c r="AX51" i="6"/>
  <c r="AY51" i="6" s="1"/>
  <c r="BI51" i="6" s="1"/>
  <c r="AX85" i="6"/>
  <c r="AY85" i="6" s="1"/>
  <c r="BI85" i="6" s="1"/>
  <c r="AX55" i="6"/>
  <c r="AY55" i="6" s="1"/>
  <c r="BI55" i="6" s="1"/>
  <c r="AX41" i="6"/>
  <c r="AY41" i="6" s="1"/>
  <c r="BI41" i="6" s="1"/>
  <c r="AX32" i="6"/>
  <c r="AY32" i="6" s="1"/>
  <c r="BI32" i="6" s="1"/>
  <c r="AX86" i="6"/>
  <c r="AY86" i="6" s="1"/>
  <c r="BI86" i="6" s="1"/>
  <c r="AX63" i="6"/>
  <c r="AY63" i="6" s="1"/>
  <c r="BI63" i="6" s="1"/>
  <c r="AX49" i="6"/>
  <c r="AY49" i="6" s="1"/>
  <c r="BI49" i="6" s="1"/>
  <c r="AX57" i="6"/>
  <c r="AY57" i="6" s="1"/>
  <c r="BI57" i="6" s="1"/>
  <c r="AX53" i="6"/>
  <c r="AY53" i="6" s="1"/>
  <c r="BI53" i="6" s="1"/>
  <c r="AX75" i="6"/>
  <c r="AY75" i="6" s="1"/>
  <c r="BI75" i="6" s="1"/>
  <c r="AX29" i="6"/>
  <c r="AY29" i="6" s="1"/>
  <c r="BI29" i="6" s="1"/>
  <c r="AX59" i="6"/>
  <c r="AY59" i="6" s="1"/>
  <c r="BI59" i="6" s="1"/>
  <c r="AX70" i="6"/>
  <c r="AY70" i="6" s="1"/>
  <c r="BI70" i="6" s="1"/>
  <c r="C211" i="2"/>
  <c r="F211" i="2" s="1"/>
  <c r="C212" i="2"/>
  <c r="F212" i="2" s="1"/>
  <c r="AS87" i="6"/>
  <c r="AX94" i="6"/>
  <c r="AY94" i="6" s="1"/>
  <c r="BI94" i="6" s="1"/>
  <c r="AX24" i="6"/>
  <c r="AY24" i="6" s="1"/>
  <c r="BI24" i="6" s="1"/>
  <c r="AX97" i="6"/>
  <c r="AY97" i="6" s="1"/>
  <c r="BI97" i="6" s="1"/>
  <c r="AX102" i="6"/>
  <c r="AY102" i="6" s="1"/>
  <c r="BI102" i="6" s="1"/>
  <c r="AX89" i="6"/>
  <c r="AY89" i="6" s="1"/>
  <c r="BI89" i="6" s="1"/>
  <c r="AX26" i="6"/>
  <c r="AY26" i="6" s="1"/>
  <c r="BI26" i="6" s="1"/>
  <c r="AX20" i="6"/>
  <c r="AY20" i="6" s="1"/>
  <c r="BI20" i="6" s="1"/>
  <c r="AX40" i="6"/>
  <c r="AY40" i="6" s="1"/>
  <c r="BI40" i="6" s="1"/>
  <c r="AX95" i="6"/>
  <c r="AY95" i="6" s="1"/>
  <c r="BI95" i="6" s="1"/>
  <c r="AX37" i="6"/>
  <c r="AY37" i="6" s="1"/>
  <c r="BI37" i="6" s="1"/>
  <c r="AX31" i="6"/>
  <c r="AY31" i="6" s="1"/>
  <c r="BI31" i="6" s="1"/>
  <c r="AX14" i="6"/>
  <c r="AY14" i="6" s="1"/>
  <c r="BI14" i="6" s="1"/>
  <c r="J12" i="6"/>
  <c r="BA12" i="6"/>
  <c r="AX13" i="6"/>
  <c r="AY13" i="6" s="1"/>
  <c r="BI13" i="6" s="1"/>
  <c r="AX38" i="6"/>
  <c r="AY38" i="6" s="1"/>
  <c r="BI38" i="6" s="1"/>
  <c r="AX96" i="6"/>
  <c r="AY96" i="6" s="1"/>
  <c r="BI96" i="6" s="1"/>
  <c r="AX88" i="6"/>
  <c r="AY88" i="6" s="1"/>
  <c r="BI88" i="6" s="1"/>
  <c r="AX100" i="6"/>
  <c r="AY100" i="6" s="1"/>
  <c r="BI100" i="6" s="1"/>
  <c r="AX109" i="6"/>
  <c r="AY109" i="6" s="1"/>
  <c r="BI109" i="6" s="1"/>
  <c r="AX81" i="6"/>
  <c r="AY81" i="6" s="1"/>
  <c r="BI81" i="6" s="1"/>
  <c r="AX77" i="6"/>
  <c r="AY77" i="6" s="1"/>
  <c r="BI77" i="6" s="1"/>
  <c r="AX69" i="6"/>
  <c r="AY69" i="6" s="1"/>
  <c r="BI69" i="6" s="1"/>
  <c r="AX105" i="6"/>
  <c r="AY105" i="6" s="1"/>
  <c r="BI105" i="6" s="1"/>
  <c r="AX99" i="6"/>
  <c r="AY99" i="6" s="1"/>
  <c r="BI99" i="6" s="1"/>
  <c r="AX78" i="6"/>
  <c r="AY78" i="6" s="1"/>
  <c r="BI78" i="6" s="1"/>
  <c r="AX71" i="6"/>
  <c r="AY71" i="6" s="1"/>
  <c r="BI71" i="6" s="1"/>
  <c r="AX65" i="6"/>
  <c r="AY65" i="6" s="1"/>
  <c r="BI65" i="6" s="1"/>
  <c r="AX103" i="6"/>
  <c r="AY103" i="6" s="1"/>
  <c r="BI103" i="6" s="1"/>
  <c r="AX33" i="6"/>
  <c r="AY33" i="6" s="1"/>
  <c r="BI33" i="6" s="1"/>
  <c r="AX107" i="6"/>
  <c r="AY107" i="6" s="1"/>
  <c r="BI107" i="6" s="1"/>
  <c r="AX19" i="6"/>
  <c r="AY19" i="6" s="1"/>
  <c r="BI19" i="6" s="1"/>
  <c r="AX52" i="6"/>
  <c r="AY52" i="6" s="1"/>
  <c r="BI52" i="6" s="1"/>
  <c r="AX83" i="6"/>
  <c r="AY83" i="6" s="1"/>
  <c r="BI83" i="6" s="1"/>
  <c r="AX72" i="6"/>
  <c r="AY72" i="6" s="1"/>
  <c r="BI72" i="6" s="1"/>
  <c r="AX93" i="6"/>
  <c r="AY93" i="6" s="1"/>
  <c r="BI93" i="6" s="1"/>
  <c r="AX16" i="6"/>
  <c r="AY16" i="6" s="1"/>
  <c r="BI16" i="6" s="1"/>
  <c r="AX28" i="6"/>
  <c r="AY28" i="6" s="1"/>
  <c r="BI28" i="6" s="1"/>
  <c r="AX22" i="6"/>
  <c r="AY22" i="6" s="1"/>
  <c r="BI22" i="6" s="1"/>
  <c r="AX18" i="6"/>
  <c r="AY18" i="6" s="1"/>
  <c r="BI18" i="6" s="1"/>
  <c r="AS64" i="6"/>
  <c r="AX17" i="6"/>
  <c r="AY17" i="6" s="1"/>
  <c r="BI17" i="6" s="1"/>
  <c r="AX43" i="6"/>
  <c r="AY43" i="6" s="1"/>
  <c r="BI43" i="6" s="1"/>
  <c r="AX60" i="6"/>
  <c r="AY60" i="6" s="1"/>
  <c r="BI60" i="6" s="1"/>
  <c r="AX58" i="6"/>
  <c r="AY58" i="6" s="1"/>
  <c r="BI58" i="6" s="1"/>
  <c r="AX61" i="6"/>
  <c r="AY61" i="6" s="1"/>
  <c r="BI61" i="6" s="1"/>
  <c r="AX42" i="6"/>
  <c r="AY42" i="6" s="1"/>
  <c r="BI42" i="6" s="1"/>
  <c r="AX67" i="6"/>
  <c r="AY67" i="6" s="1"/>
  <c r="BI67" i="6" s="1"/>
  <c r="AX106" i="6"/>
  <c r="AY106" i="6" s="1"/>
  <c r="BI106" i="6" s="1"/>
  <c r="AX35" i="6"/>
  <c r="AY35" i="6" s="1"/>
  <c r="BI35" i="6" s="1"/>
  <c r="AX45" i="6"/>
  <c r="AY45" i="6" s="1"/>
  <c r="BI45" i="6" s="1"/>
  <c r="AX34" i="6"/>
  <c r="AY34" i="6" s="1"/>
  <c r="BI34" i="6" s="1"/>
  <c r="AX84" i="6"/>
  <c r="AY84" i="6" s="1"/>
  <c r="BI84" i="6" s="1"/>
  <c r="AX36" i="6"/>
  <c r="AY36" i="6" s="1"/>
  <c r="BI36" i="6" s="1"/>
  <c r="AX74" i="6"/>
  <c r="AY74" i="6" s="1"/>
  <c r="BI74" i="6" s="1"/>
  <c r="AX50" i="6"/>
  <c r="AY50" i="6" s="1"/>
  <c r="BI50" i="6" s="1"/>
  <c r="AX111" i="6"/>
  <c r="AY111" i="6" s="1"/>
  <c r="BI111" i="6" s="1"/>
  <c r="AX112" i="6"/>
  <c r="AY112" i="6" s="1"/>
  <c r="AX27" i="6"/>
  <c r="AY27" i="6" s="1"/>
  <c r="BI27" i="6" s="1"/>
  <c r="AX15" i="6"/>
  <c r="AY15" i="6" s="1"/>
  <c r="BI15" i="6" s="1"/>
  <c r="AX91" i="6"/>
  <c r="AY91" i="6" s="1"/>
  <c r="BI91" i="6" s="1"/>
  <c r="AX79" i="6"/>
  <c r="AY79" i="6" s="1"/>
  <c r="BI79" i="6" s="1"/>
  <c r="AX12" i="6"/>
  <c r="AY12" i="6" s="1"/>
  <c r="BI12" i="6" s="1"/>
  <c r="AX21" i="6"/>
  <c r="AY21" i="6" s="1"/>
  <c r="BI21" i="6" s="1"/>
  <c r="AX110" i="6"/>
  <c r="AY110" i="6" s="1"/>
  <c r="BI110" i="6" s="1"/>
  <c r="AX30" i="6"/>
  <c r="AY30" i="6" s="1"/>
  <c r="BI30" i="6" s="1"/>
  <c r="AX68" i="6"/>
  <c r="AY68" i="6" s="1"/>
  <c r="BI68" i="6" s="1"/>
  <c r="AS40" i="6"/>
  <c r="BA26" i="6"/>
  <c r="F26" i="6"/>
  <c r="L26" i="6" s="1"/>
  <c r="D26" i="6"/>
  <c r="J26" i="6" s="1"/>
  <c r="E26" i="6"/>
  <c r="K26" i="6" s="1"/>
  <c r="BA104" i="6"/>
  <c r="E104" i="6"/>
  <c r="D104" i="6"/>
  <c r="F104" i="6"/>
  <c r="BA40" i="6"/>
  <c r="F40" i="6"/>
  <c r="L40" i="6" s="1"/>
  <c r="E40" i="6"/>
  <c r="K40" i="6" s="1"/>
  <c r="D40" i="6"/>
  <c r="J40" i="6" s="1"/>
  <c r="BA97" i="6"/>
  <c r="D97" i="6"/>
  <c r="F97" i="6"/>
  <c r="E97" i="6"/>
  <c r="BA95" i="6"/>
  <c r="E95" i="6"/>
  <c r="D95" i="6"/>
  <c r="F95" i="6"/>
  <c r="BA31" i="6"/>
  <c r="E31" i="6"/>
  <c r="K31" i="6" s="1"/>
  <c r="D31" i="6"/>
  <c r="J31" i="6" s="1"/>
  <c r="F31" i="6"/>
  <c r="L31" i="6" s="1"/>
  <c r="BA22" i="6"/>
  <c r="F22" i="6"/>
  <c r="L22" i="6" s="1"/>
  <c r="E22" i="6"/>
  <c r="K22" i="6" s="1"/>
  <c r="D22" i="6"/>
  <c r="J22" i="6" s="1"/>
  <c r="BA53" i="6"/>
  <c r="F53" i="6"/>
  <c r="L53" i="6" s="1"/>
  <c r="E53" i="6"/>
  <c r="K53" i="6" s="1"/>
  <c r="D53" i="6"/>
  <c r="J53" i="6" s="1"/>
  <c r="BA62" i="6"/>
  <c r="D62" i="6"/>
  <c r="J62" i="6" s="1"/>
  <c r="E62" i="6"/>
  <c r="K62" i="6" s="1"/>
  <c r="F62" i="6"/>
  <c r="L62" i="6" s="1"/>
  <c r="BA68" i="6"/>
  <c r="D68" i="6"/>
  <c r="J68" i="6" s="1"/>
  <c r="F68" i="6"/>
  <c r="L68" i="6" s="1"/>
  <c r="E68" i="6"/>
  <c r="K68" i="6" s="1"/>
  <c r="BA34" i="6"/>
  <c r="F34" i="6"/>
  <c r="L34" i="6" s="1"/>
  <c r="E34" i="6"/>
  <c r="K34" i="6" s="1"/>
  <c r="D34" i="6"/>
  <c r="J34" i="6" s="1"/>
  <c r="BA91" i="6"/>
  <c r="D91" i="6"/>
  <c r="F91" i="6"/>
  <c r="E91" i="6"/>
  <c r="BA27" i="6"/>
  <c r="D27" i="6"/>
  <c r="J27" i="6" s="1"/>
  <c r="E27" i="6"/>
  <c r="K27" i="6" s="1"/>
  <c r="F27" i="6"/>
  <c r="L27" i="6" s="1"/>
  <c r="BA105" i="6"/>
  <c r="D105" i="6"/>
  <c r="F105" i="6"/>
  <c r="E105" i="6"/>
  <c r="BA96" i="6"/>
  <c r="D96" i="6"/>
  <c r="E96" i="6"/>
  <c r="F96" i="6"/>
  <c r="BA32" i="6"/>
  <c r="F32" i="6"/>
  <c r="L32" i="6" s="1"/>
  <c r="E32" i="6"/>
  <c r="K32" i="6" s="1"/>
  <c r="D32" i="6"/>
  <c r="J32" i="6" s="1"/>
  <c r="BA81" i="6"/>
  <c r="D81" i="6"/>
  <c r="F81" i="6"/>
  <c r="E81" i="6"/>
  <c r="BA87" i="6"/>
  <c r="E87" i="6"/>
  <c r="D87" i="6"/>
  <c r="F87" i="6"/>
  <c r="BA23" i="6"/>
  <c r="E23" i="6"/>
  <c r="K23" i="6" s="1"/>
  <c r="D23" i="6"/>
  <c r="J23" i="6" s="1"/>
  <c r="F23" i="6"/>
  <c r="L23" i="6" s="1"/>
  <c r="BA109" i="6"/>
  <c r="E109" i="6"/>
  <c r="D109" i="6"/>
  <c r="F109" i="6"/>
  <c r="BA45" i="6"/>
  <c r="E45" i="6"/>
  <c r="K45" i="6" s="1"/>
  <c r="F45" i="6"/>
  <c r="L45" i="6" s="1"/>
  <c r="D45" i="6"/>
  <c r="J45" i="6" s="1"/>
  <c r="BA38" i="6"/>
  <c r="E38" i="6"/>
  <c r="K38" i="6" s="1"/>
  <c r="D38" i="6"/>
  <c r="J38" i="6" s="1"/>
  <c r="F38" i="6"/>
  <c r="L38" i="6" s="1"/>
  <c r="BA60" i="6"/>
  <c r="F60" i="6"/>
  <c r="L60" i="6" s="1"/>
  <c r="E60" i="6"/>
  <c r="K60" i="6" s="1"/>
  <c r="D60" i="6"/>
  <c r="J60" i="6" s="1"/>
  <c r="BA110" i="6"/>
  <c r="F110" i="6"/>
  <c r="D110" i="6"/>
  <c r="E110" i="6"/>
  <c r="BA83" i="6"/>
  <c r="F83" i="6"/>
  <c r="E83" i="6"/>
  <c r="D83" i="6"/>
  <c r="BA19" i="6"/>
  <c r="F19" i="6"/>
  <c r="L19" i="6" s="1"/>
  <c r="D19" i="6"/>
  <c r="J19" i="6" s="1"/>
  <c r="E19" i="6"/>
  <c r="K19" i="6" s="1"/>
  <c r="BA89" i="6"/>
  <c r="E89" i="6"/>
  <c r="D89" i="6"/>
  <c r="F89" i="6"/>
  <c r="BA88" i="6"/>
  <c r="D88" i="6"/>
  <c r="E88" i="6"/>
  <c r="F88" i="6"/>
  <c r="BA24" i="6"/>
  <c r="D24" i="6"/>
  <c r="J24" i="6" s="1"/>
  <c r="F24" i="6"/>
  <c r="L24" i="6" s="1"/>
  <c r="E24" i="6"/>
  <c r="K24" i="6" s="1"/>
  <c r="BA65" i="6"/>
  <c r="D65" i="6"/>
  <c r="J65" i="6" s="1"/>
  <c r="F65" i="6"/>
  <c r="L65" i="6" s="1"/>
  <c r="E65" i="6"/>
  <c r="K65" i="6" s="1"/>
  <c r="BA79" i="6"/>
  <c r="D79" i="6"/>
  <c r="F79" i="6"/>
  <c r="E79" i="6"/>
  <c r="BA15" i="6"/>
  <c r="D15" i="6"/>
  <c r="J15" i="6" s="1"/>
  <c r="F15" i="6"/>
  <c r="L15" i="6" s="1"/>
  <c r="E15" i="6"/>
  <c r="K15" i="6" s="1"/>
  <c r="BA101" i="6"/>
  <c r="D101" i="6"/>
  <c r="E101" i="6"/>
  <c r="F101" i="6"/>
  <c r="BA37" i="6"/>
  <c r="D37" i="6"/>
  <c r="J37" i="6" s="1"/>
  <c r="F37" i="6"/>
  <c r="L37" i="6" s="1"/>
  <c r="E37" i="6"/>
  <c r="K37" i="6" s="1"/>
  <c r="BA30" i="6"/>
  <c r="F30" i="6"/>
  <c r="L30" i="6" s="1"/>
  <c r="D30" i="6"/>
  <c r="J30" i="6" s="1"/>
  <c r="E30" i="6"/>
  <c r="K30" i="6" s="1"/>
  <c r="BA52" i="6"/>
  <c r="D52" i="6"/>
  <c r="J52" i="6" s="1"/>
  <c r="F52" i="6"/>
  <c r="L52" i="6" s="1"/>
  <c r="E52" i="6"/>
  <c r="K52" i="6" s="1"/>
  <c r="BA86" i="6"/>
  <c r="D86" i="6"/>
  <c r="E86" i="6"/>
  <c r="F86" i="6"/>
  <c r="BA75" i="6"/>
  <c r="D75" i="6"/>
  <c r="E75" i="6"/>
  <c r="K75" i="6" s="1"/>
  <c r="F75" i="6"/>
  <c r="L75" i="6" s="1"/>
  <c r="BA73" i="6"/>
  <c r="E73" i="6"/>
  <c r="K73" i="6" s="1"/>
  <c r="D73" i="6"/>
  <c r="F73" i="6"/>
  <c r="L73" i="6" s="1"/>
  <c r="BA80" i="6"/>
  <c r="E80" i="6"/>
  <c r="D80" i="6"/>
  <c r="F80" i="6"/>
  <c r="BA16" i="6"/>
  <c r="F16" i="6"/>
  <c r="L16" i="6" s="1"/>
  <c r="E16" i="6"/>
  <c r="K16" i="6" s="1"/>
  <c r="D16" i="6"/>
  <c r="J16" i="6" s="1"/>
  <c r="BA49" i="6"/>
  <c r="E49" i="6"/>
  <c r="K49" i="6" s="1"/>
  <c r="D49" i="6"/>
  <c r="J49" i="6" s="1"/>
  <c r="F49" i="6"/>
  <c r="L49" i="6" s="1"/>
  <c r="BA71" i="6"/>
  <c r="E71" i="6"/>
  <c r="K71" i="6" s="1"/>
  <c r="D71" i="6"/>
  <c r="F71" i="6"/>
  <c r="L71" i="6" s="1"/>
  <c r="BA98" i="6"/>
  <c r="E98" i="6"/>
  <c r="F98" i="6"/>
  <c r="D98" i="6"/>
  <c r="BA93" i="6"/>
  <c r="F93" i="6"/>
  <c r="E93" i="6"/>
  <c r="D93" i="6"/>
  <c r="BA29" i="6"/>
  <c r="F29" i="6"/>
  <c r="L29" i="6" s="1"/>
  <c r="E29" i="6"/>
  <c r="K29" i="6" s="1"/>
  <c r="D29" i="6"/>
  <c r="J29" i="6" s="1"/>
  <c r="BA108" i="6"/>
  <c r="E108" i="6"/>
  <c r="F108" i="6"/>
  <c r="D108" i="6"/>
  <c r="BA44" i="6"/>
  <c r="F44" i="6"/>
  <c r="L44" i="6" s="1"/>
  <c r="E44" i="6"/>
  <c r="K44" i="6" s="1"/>
  <c r="D44" i="6"/>
  <c r="J44" i="6" s="1"/>
  <c r="BA70" i="6"/>
  <c r="F70" i="6"/>
  <c r="L70" i="6" s="1"/>
  <c r="D70" i="6"/>
  <c r="E70" i="6"/>
  <c r="K70" i="6" s="1"/>
  <c r="BA67" i="6"/>
  <c r="E67" i="6"/>
  <c r="K67" i="6" s="1"/>
  <c r="F67" i="6"/>
  <c r="L67" i="6" s="1"/>
  <c r="D67" i="6"/>
  <c r="J67" i="6" s="1"/>
  <c r="BA57" i="6"/>
  <c r="D57" i="6"/>
  <c r="J57" i="6" s="1"/>
  <c r="F57" i="6"/>
  <c r="L57" i="6" s="1"/>
  <c r="E57" i="6"/>
  <c r="K57" i="6" s="1"/>
  <c r="BA72" i="6"/>
  <c r="F72" i="6"/>
  <c r="L72" i="6" s="1"/>
  <c r="E72" i="6"/>
  <c r="K72" i="6" s="1"/>
  <c r="D72" i="6"/>
  <c r="BA106" i="6"/>
  <c r="D106" i="6"/>
  <c r="E106" i="6"/>
  <c r="F106" i="6"/>
  <c r="BA33" i="6"/>
  <c r="E33" i="6"/>
  <c r="K33" i="6" s="1"/>
  <c r="F33" i="6"/>
  <c r="L33" i="6" s="1"/>
  <c r="D33" i="6"/>
  <c r="J33" i="6" s="1"/>
  <c r="BA63" i="6"/>
  <c r="E63" i="6"/>
  <c r="K63" i="6" s="1"/>
  <c r="D63" i="6"/>
  <c r="J63" i="6" s="1"/>
  <c r="F63" i="6"/>
  <c r="L63" i="6" s="1"/>
  <c r="BA42" i="6"/>
  <c r="D42" i="6"/>
  <c r="J42" i="6" s="1"/>
  <c r="E42" i="6"/>
  <c r="K42" i="6" s="1"/>
  <c r="F42" i="6"/>
  <c r="L42" i="6" s="1"/>
  <c r="BA85" i="6"/>
  <c r="D85" i="6"/>
  <c r="E85" i="6"/>
  <c r="F85" i="6"/>
  <c r="BA21" i="6"/>
  <c r="E21" i="6"/>
  <c r="K21" i="6" s="1"/>
  <c r="D21" i="6"/>
  <c r="J21" i="6" s="1"/>
  <c r="F21" i="6"/>
  <c r="L21" i="6" s="1"/>
  <c r="BA100" i="6"/>
  <c r="E100" i="6"/>
  <c r="D100" i="6"/>
  <c r="F100" i="6"/>
  <c r="BA36" i="6"/>
  <c r="E36" i="6"/>
  <c r="K36" i="6" s="1"/>
  <c r="D36" i="6"/>
  <c r="J36" i="6" s="1"/>
  <c r="F36" i="6"/>
  <c r="L36" i="6" s="1"/>
  <c r="BA46" i="6"/>
  <c r="F46" i="6"/>
  <c r="L46" i="6" s="1"/>
  <c r="D46" i="6"/>
  <c r="J46" i="6" s="1"/>
  <c r="E46" i="6"/>
  <c r="K46" i="6" s="1"/>
  <c r="BA59" i="6"/>
  <c r="F59" i="6"/>
  <c r="L59" i="6" s="1"/>
  <c r="D59" i="6"/>
  <c r="J59" i="6" s="1"/>
  <c r="E59" i="6"/>
  <c r="K59" i="6" s="1"/>
  <c r="BA41" i="6"/>
  <c r="D41" i="6"/>
  <c r="J41" i="6" s="1"/>
  <c r="F41" i="6"/>
  <c r="L41" i="6" s="1"/>
  <c r="E41" i="6"/>
  <c r="K41" i="6" s="1"/>
  <c r="BA64" i="6"/>
  <c r="F64" i="6"/>
  <c r="L64" i="6" s="1"/>
  <c r="D64" i="6"/>
  <c r="J64" i="6" s="1"/>
  <c r="E64" i="6"/>
  <c r="K64" i="6" s="1"/>
  <c r="BA66" i="6"/>
  <c r="F66" i="6"/>
  <c r="L66" i="6" s="1"/>
  <c r="D66" i="6"/>
  <c r="J66" i="6" s="1"/>
  <c r="E66" i="6"/>
  <c r="K66" i="6" s="1"/>
  <c r="BA25" i="6"/>
  <c r="E25" i="6"/>
  <c r="K25" i="6" s="1"/>
  <c r="D25" i="6"/>
  <c r="J25" i="6" s="1"/>
  <c r="F25" i="6"/>
  <c r="L25" i="6" s="1"/>
  <c r="BA55" i="6"/>
  <c r="F55" i="6"/>
  <c r="L55" i="6" s="1"/>
  <c r="E55" i="6"/>
  <c r="K55" i="6" s="1"/>
  <c r="D55" i="6"/>
  <c r="J55" i="6" s="1"/>
  <c r="BA102" i="6"/>
  <c r="E102" i="6"/>
  <c r="D102" i="6"/>
  <c r="F102" i="6"/>
  <c r="BA77" i="6"/>
  <c r="F77" i="6"/>
  <c r="D77" i="6"/>
  <c r="E77" i="6"/>
  <c r="BA74" i="6"/>
  <c r="F74" i="6"/>
  <c r="L74" i="6" s="1"/>
  <c r="D74" i="6"/>
  <c r="E74" i="6"/>
  <c r="K74" i="6" s="1"/>
  <c r="BA92" i="6"/>
  <c r="D92" i="6"/>
  <c r="F92" i="6"/>
  <c r="E92" i="6"/>
  <c r="BA28" i="6"/>
  <c r="D28" i="6"/>
  <c r="J28" i="6" s="1"/>
  <c r="F28" i="6"/>
  <c r="L28" i="6" s="1"/>
  <c r="E28" i="6"/>
  <c r="K28" i="6" s="1"/>
  <c r="BA14" i="6"/>
  <c r="E14" i="6"/>
  <c r="K14" i="6" s="1"/>
  <c r="D14" i="6"/>
  <c r="J14" i="6" s="1"/>
  <c r="F14" i="6"/>
  <c r="L14" i="6" s="1"/>
  <c r="BA51" i="6"/>
  <c r="D51" i="6"/>
  <c r="J51" i="6" s="1"/>
  <c r="E51" i="6"/>
  <c r="K51" i="6" s="1"/>
  <c r="F51" i="6"/>
  <c r="L51" i="6" s="1"/>
  <c r="BA82" i="6"/>
  <c r="D82" i="6"/>
  <c r="E82" i="6"/>
  <c r="F82" i="6"/>
  <c r="BA17" i="6"/>
  <c r="D17" i="6"/>
  <c r="J17" i="6" s="1"/>
  <c r="F17" i="6"/>
  <c r="L17" i="6" s="1"/>
  <c r="E17" i="6"/>
  <c r="K17" i="6" s="1"/>
  <c r="BA56" i="6"/>
  <c r="E56" i="6"/>
  <c r="K56" i="6" s="1"/>
  <c r="F56" i="6"/>
  <c r="L56" i="6" s="1"/>
  <c r="D56" i="6"/>
  <c r="J56" i="6" s="1"/>
  <c r="BA18" i="6"/>
  <c r="D18" i="6"/>
  <c r="J18" i="6" s="1"/>
  <c r="E18" i="6"/>
  <c r="K18" i="6" s="1"/>
  <c r="F18" i="6"/>
  <c r="L18" i="6" s="1"/>
  <c r="BA111" i="6"/>
  <c r="D111" i="6"/>
  <c r="F111" i="6"/>
  <c r="E111" i="6"/>
  <c r="BA47" i="6"/>
  <c r="E47" i="6"/>
  <c r="K47" i="6" s="1"/>
  <c r="D47" i="6"/>
  <c r="J47" i="6" s="1"/>
  <c r="F47" i="6"/>
  <c r="L47" i="6" s="1"/>
  <c r="BA78" i="6"/>
  <c r="E78" i="6"/>
  <c r="F78" i="6"/>
  <c r="D78" i="6"/>
  <c r="BA69" i="6"/>
  <c r="F69" i="6"/>
  <c r="L69" i="6" s="1"/>
  <c r="E69" i="6"/>
  <c r="K69" i="6" s="1"/>
  <c r="D69" i="6"/>
  <c r="J69" i="6" s="1"/>
  <c r="BA50" i="6"/>
  <c r="F50" i="6"/>
  <c r="L50" i="6" s="1"/>
  <c r="D50" i="6"/>
  <c r="J50" i="6" s="1"/>
  <c r="E50" i="6"/>
  <c r="K50" i="6" s="1"/>
  <c r="BA84" i="6"/>
  <c r="F84" i="6"/>
  <c r="E84" i="6"/>
  <c r="D84" i="6"/>
  <c r="BA20" i="6"/>
  <c r="F20" i="6"/>
  <c r="L20" i="6" s="1"/>
  <c r="E20" i="6"/>
  <c r="K20" i="6" s="1"/>
  <c r="D20" i="6"/>
  <c r="J20" i="6" s="1"/>
  <c r="BA107" i="6"/>
  <c r="E107" i="6"/>
  <c r="F107" i="6"/>
  <c r="D107" i="6"/>
  <c r="BA43" i="6"/>
  <c r="E43" i="6"/>
  <c r="K43" i="6" s="1"/>
  <c r="F43" i="6"/>
  <c r="L43" i="6" s="1"/>
  <c r="D43" i="6"/>
  <c r="J43" i="6" s="1"/>
  <c r="BA58" i="6"/>
  <c r="E58" i="6"/>
  <c r="K58" i="6" s="1"/>
  <c r="D58" i="6"/>
  <c r="J58" i="6" s="1"/>
  <c r="F58" i="6"/>
  <c r="L58" i="6" s="1"/>
  <c r="BA112" i="6"/>
  <c r="E112" i="6"/>
  <c r="D112" i="6"/>
  <c r="F112" i="6"/>
  <c r="BA48" i="6"/>
  <c r="F48" i="6"/>
  <c r="L48" i="6" s="1"/>
  <c r="E48" i="6"/>
  <c r="K48" i="6" s="1"/>
  <c r="D48" i="6"/>
  <c r="J48" i="6" s="1"/>
  <c r="BA13" i="6"/>
  <c r="D13" i="6"/>
  <c r="J13" i="6" s="1"/>
  <c r="F13" i="6"/>
  <c r="L13" i="6" s="1"/>
  <c r="E13" i="6"/>
  <c r="K13" i="6" s="1"/>
  <c r="BA103" i="6"/>
  <c r="E103" i="6"/>
  <c r="D103" i="6"/>
  <c r="F103" i="6"/>
  <c r="BA39" i="6"/>
  <c r="E39" i="6"/>
  <c r="K39" i="6" s="1"/>
  <c r="D39" i="6"/>
  <c r="J39" i="6" s="1"/>
  <c r="F39" i="6"/>
  <c r="L39" i="6" s="1"/>
  <c r="BA54" i="6"/>
  <c r="D54" i="6"/>
  <c r="J54" i="6" s="1"/>
  <c r="F54" i="6"/>
  <c r="L54" i="6" s="1"/>
  <c r="E54" i="6"/>
  <c r="K54" i="6" s="1"/>
  <c r="BA61" i="6"/>
  <c r="D61" i="6"/>
  <c r="J61" i="6" s="1"/>
  <c r="F61" i="6"/>
  <c r="L61" i="6" s="1"/>
  <c r="E61" i="6"/>
  <c r="K61" i="6" s="1"/>
  <c r="BA94" i="6"/>
  <c r="D94" i="6"/>
  <c r="F94" i="6"/>
  <c r="E94" i="6"/>
  <c r="BA76" i="6"/>
  <c r="E76" i="6"/>
  <c r="K76" i="6" s="1"/>
  <c r="D76" i="6"/>
  <c r="F76" i="6"/>
  <c r="L76" i="6" s="1"/>
  <c r="BA90" i="6"/>
  <c r="F90" i="6"/>
  <c r="D90" i="6"/>
  <c r="E90" i="6"/>
  <c r="BA99" i="6"/>
  <c r="F99" i="6"/>
  <c r="D99" i="6"/>
  <c r="E99" i="6"/>
  <c r="BA35" i="6"/>
  <c r="F35" i="6"/>
  <c r="L35" i="6" s="1"/>
  <c r="E35" i="6"/>
  <c r="K35" i="6" s="1"/>
  <c r="D35" i="6"/>
  <c r="J35" i="6" s="1"/>
  <c r="AS58" i="6"/>
  <c r="AS90" i="6"/>
  <c r="AS47" i="6"/>
  <c r="AS55" i="6"/>
  <c r="AS15" i="6"/>
  <c r="AS32" i="6"/>
  <c r="AS95" i="6"/>
  <c r="AS96" i="6"/>
  <c r="AS74" i="6"/>
  <c r="AS34" i="6"/>
  <c r="AS88" i="6"/>
  <c r="AS57" i="6"/>
  <c r="AS83" i="6"/>
  <c r="AS51" i="6"/>
  <c r="AS68" i="6"/>
  <c r="AS111" i="6"/>
  <c r="AS107" i="6"/>
  <c r="AS101" i="6"/>
  <c r="AS24" i="6"/>
  <c r="AS92" i="6"/>
  <c r="AS104" i="6"/>
  <c r="AS30" i="6"/>
  <c r="AS93" i="6"/>
  <c r="AS85" i="6"/>
  <c r="AS91" i="6"/>
  <c r="AS77" i="6"/>
  <c r="AS50" i="6"/>
  <c r="AS89" i="6"/>
  <c r="AS71" i="6"/>
  <c r="AS38" i="6"/>
  <c r="AS52" i="6"/>
  <c r="AS97" i="6"/>
  <c r="AS21" i="6"/>
  <c r="AS13" i="6"/>
  <c r="AS33" i="6"/>
  <c r="AS54" i="6"/>
  <c r="AS29" i="6"/>
  <c r="AS76" i="6"/>
  <c r="AS66" i="6"/>
  <c r="AS56" i="6"/>
  <c r="AS84" i="6"/>
  <c r="AS53" i="6"/>
  <c r="AS45" i="6"/>
  <c r="AS59" i="6"/>
  <c r="AS39" i="6"/>
  <c r="AS82" i="6"/>
  <c r="AS20" i="6"/>
  <c r="AS65" i="6"/>
  <c r="AS106" i="6"/>
  <c r="AS81" i="6"/>
  <c r="AS75" i="6"/>
  <c r="AS70" i="6"/>
  <c r="AS102" i="6"/>
  <c r="AS69" i="6"/>
  <c r="AS78" i="6"/>
  <c r="AS25" i="6"/>
  <c r="AS61" i="6"/>
  <c r="AS100" i="6"/>
  <c r="AS49" i="6"/>
  <c r="AS46" i="6"/>
  <c r="AS105" i="6"/>
  <c r="AS37" i="6"/>
  <c r="AS27" i="6"/>
  <c r="AS63" i="6"/>
  <c r="AS112" i="6"/>
  <c r="AS22" i="6"/>
  <c r="AS19" i="6"/>
  <c r="AS17" i="6"/>
  <c r="AS44" i="6"/>
  <c r="AS86" i="6"/>
  <c r="AS60" i="6"/>
  <c r="AS73" i="6"/>
  <c r="AS99" i="6"/>
  <c r="AS94" i="6"/>
  <c r="AS108" i="6"/>
  <c r="AS31" i="6"/>
  <c r="AS80" i="6"/>
  <c r="AS36" i="6"/>
  <c r="AS79" i="6"/>
  <c r="AS41" i="6"/>
  <c r="AS67" i="6"/>
  <c r="AS18" i="6"/>
  <c r="AS14" i="6"/>
  <c r="AS48" i="6"/>
  <c r="AS98" i="6"/>
  <c r="AS23" i="6"/>
  <c r="AS72" i="6"/>
  <c r="AS109" i="6"/>
  <c r="AS103" i="6"/>
  <c r="AS110" i="6"/>
  <c r="AS35" i="6"/>
  <c r="AS62" i="6"/>
  <c r="AS16" i="6"/>
  <c r="K12" i="6"/>
  <c r="C68" i="2"/>
  <c r="F68" i="2" s="1"/>
  <c r="C69" i="2" s="1"/>
  <c r="F69" i="2" s="1"/>
  <c r="G32" i="1" s="1"/>
  <c r="C64" i="2"/>
  <c r="F64" i="2" s="1"/>
  <c r="C65" i="2" s="1"/>
  <c r="F65" i="2" s="1"/>
  <c r="F24" i="2"/>
  <c r="C117" i="2"/>
  <c r="C66" i="2"/>
  <c r="F66" i="2" s="1"/>
  <c r="C67" i="2" s="1"/>
  <c r="F67" i="2" s="1"/>
  <c r="C102" i="2"/>
  <c r="F102" i="2" s="1"/>
  <c r="C103" i="2" s="1"/>
  <c r="F103" i="2" s="1"/>
  <c r="C85" i="2"/>
  <c r="F85" i="2" s="1"/>
  <c r="C84" i="2"/>
  <c r="F84" i="2" s="1"/>
  <c r="C87" i="2" s="1"/>
  <c r="F87" i="2" s="1"/>
  <c r="C57" i="2"/>
  <c r="F57" i="2" s="1"/>
  <c r="G30" i="1" s="1"/>
  <c r="C50" i="2"/>
  <c r="F50" i="2" s="1"/>
  <c r="C48" i="2"/>
  <c r="F48" i="2" s="1"/>
  <c r="C62" i="2"/>
  <c r="F62" i="2" s="1"/>
  <c r="C55" i="2"/>
  <c r="F55" i="2" s="1"/>
  <c r="G29" i="1" s="1"/>
  <c r="C39" i="2"/>
  <c r="F39" i="2" s="1"/>
  <c r="G26" i="1" s="1"/>
  <c r="C21" i="2"/>
  <c r="F21" i="2" s="1"/>
  <c r="C47" i="2"/>
  <c r="F47" i="2" s="1"/>
  <c r="C51" i="2"/>
  <c r="C91" i="2"/>
  <c r="F91" i="2" s="1"/>
  <c r="C93" i="2" s="1"/>
  <c r="F93" i="2" s="1"/>
  <c r="G57" i="1" s="1"/>
  <c r="C52" i="2" l="1"/>
  <c r="D18" i="7"/>
  <c r="C63" i="2"/>
  <c r="F63" i="2" s="1"/>
  <c r="G31" i="1" s="1"/>
  <c r="C230" i="2"/>
  <c r="C232" i="2" s="1"/>
  <c r="G151" i="1" s="1"/>
  <c r="C227" i="2"/>
  <c r="C229" i="2" s="1"/>
  <c r="G150" i="1" s="1"/>
  <c r="BI112" i="6"/>
  <c r="G144" i="1"/>
  <c r="G145" i="1" s="1"/>
  <c r="AT43" i="6"/>
  <c r="F52" i="2"/>
  <c r="G27" i="1" s="1"/>
  <c r="C119" i="2"/>
  <c r="F119" i="2" s="1"/>
  <c r="C89" i="2"/>
  <c r="F89" i="2" s="1"/>
  <c r="AT26" i="6"/>
  <c r="D21" i="7"/>
  <c r="AT109" i="6"/>
  <c r="AI109" i="6"/>
  <c r="AT97" i="6"/>
  <c r="AI97" i="6"/>
  <c r="AI72" i="6"/>
  <c r="AT72" i="6"/>
  <c r="AT66" i="6"/>
  <c r="AI66" i="6"/>
  <c r="AI12" i="6"/>
  <c r="AT12" i="6"/>
  <c r="AI23" i="6"/>
  <c r="AT23" i="6"/>
  <c r="AT36" i="6"/>
  <c r="AI36" i="6"/>
  <c r="AT86" i="6"/>
  <c r="AI86" i="6"/>
  <c r="AT37" i="6"/>
  <c r="AI37" i="6"/>
  <c r="AT69" i="6"/>
  <c r="AI69" i="6"/>
  <c r="AT82" i="6"/>
  <c r="AI82" i="6"/>
  <c r="AT76" i="6"/>
  <c r="AI76" i="6"/>
  <c r="AI38" i="6"/>
  <c r="AT38" i="6"/>
  <c r="AI30" i="6"/>
  <c r="AT30" i="6"/>
  <c r="AT51" i="6"/>
  <c r="AI51" i="6"/>
  <c r="AI32" i="6"/>
  <c r="AT32" i="6"/>
  <c r="AT63" i="6"/>
  <c r="AI63" i="6"/>
  <c r="AI111" i="6"/>
  <c r="AT111" i="6"/>
  <c r="AT52" i="6"/>
  <c r="AI52" i="6"/>
  <c r="AI16" i="6"/>
  <c r="AT16" i="6"/>
  <c r="AT98" i="6"/>
  <c r="AI98" i="6"/>
  <c r="AI80" i="6"/>
  <c r="AT80" i="6"/>
  <c r="AT44" i="6"/>
  <c r="AI44" i="6"/>
  <c r="AT105" i="6"/>
  <c r="AI105" i="6"/>
  <c r="AI102" i="6"/>
  <c r="AT102" i="6"/>
  <c r="AI39" i="6"/>
  <c r="AT39" i="6"/>
  <c r="AI29" i="6"/>
  <c r="AT29" i="6"/>
  <c r="AI71" i="6"/>
  <c r="AT71" i="6"/>
  <c r="AI104" i="6"/>
  <c r="AT104" i="6"/>
  <c r="AT83" i="6"/>
  <c r="AI83" i="6"/>
  <c r="AI15" i="6"/>
  <c r="AT15" i="6"/>
  <c r="AT73" i="6"/>
  <c r="AI73" i="6"/>
  <c r="AT65" i="6"/>
  <c r="AI65" i="6"/>
  <c r="AI96" i="6"/>
  <c r="AT96" i="6"/>
  <c r="AI79" i="6"/>
  <c r="AT79" i="6"/>
  <c r="AI78" i="6"/>
  <c r="AT78" i="6"/>
  <c r="AT68" i="6"/>
  <c r="AI68" i="6"/>
  <c r="AT31" i="6"/>
  <c r="AI31" i="6"/>
  <c r="AI46" i="6"/>
  <c r="AT46" i="6"/>
  <c r="AI92" i="6"/>
  <c r="AT92" i="6"/>
  <c r="AI55" i="6"/>
  <c r="AT55" i="6"/>
  <c r="AI64" i="6"/>
  <c r="AT64" i="6"/>
  <c r="AT35" i="6"/>
  <c r="AI35" i="6"/>
  <c r="AT14" i="6"/>
  <c r="AI14" i="6"/>
  <c r="AT108" i="6"/>
  <c r="AI108" i="6"/>
  <c r="AT19" i="6"/>
  <c r="AI19" i="6"/>
  <c r="AT49" i="6"/>
  <c r="AI49" i="6"/>
  <c r="AT75" i="6"/>
  <c r="AI75" i="6"/>
  <c r="AT45" i="6"/>
  <c r="AI45" i="6"/>
  <c r="AT33" i="6"/>
  <c r="AI33" i="6"/>
  <c r="AT50" i="6"/>
  <c r="AI50" i="6"/>
  <c r="AI24" i="6"/>
  <c r="AT24" i="6"/>
  <c r="AI88" i="6"/>
  <c r="AT88" i="6"/>
  <c r="AI47" i="6"/>
  <c r="AT47" i="6"/>
  <c r="AT41" i="6"/>
  <c r="AI41" i="6"/>
  <c r="AT25" i="6"/>
  <c r="AI25" i="6"/>
  <c r="AT85" i="6"/>
  <c r="AI85" i="6"/>
  <c r="AI28" i="6"/>
  <c r="AT28" i="6"/>
  <c r="AT27" i="6"/>
  <c r="AI27" i="6"/>
  <c r="AI93" i="6"/>
  <c r="AT93" i="6"/>
  <c r="AI48" i="6"/>
  <c r="AT48" i="6"/>
  <c r="AT17" i="6"/>
  <c r="AI17" i="6"/>
  <c r="AI70" i="6"/>
  <c r="AT70" i="6"/>
  <c r="AT54" i="6"/>
  <c r="AI54" i="6"/>
  <c r="AT89" i="6"/>
  <c r="AI89" i="6"/>
  <c r="AT57" i="6"/>
  <c r="AI57" i="6"/>
  <c r="AI110" i="6"/>
  <c r="AT110" i="6"/>
  <c r="AT18" i="6"/>
  <c r="AI18" i="6"/>
  <c r="AI94" i="6"/>
  <c r="AT94" i="6"/>
  <c r="AT22" i="6"/>
  <c r="AI22" i="6"/>
  <c r="AT100" i="6"/>
  <c r="AI100" i="6"/>
  <c r="AT81" i="6"/>
  <c r="AI81" i="6"/>
  <c r="AT53" i="6"/>
  <c r="AI53" i="6"/>
  <c r="AI13" i="6"/>
  <c r="AT13" i="6"/>
  <c r="AT77" i="6"/>
  <c r="AI77" i="6"/>
  <c r="AI101" i="6"/>
  <c r="AT101" i="6"/>
  <c r="AT34" i="6"/>
  <c r="AI34" i="6"/>
  <c r="AT90" i="6"/>
  <c r="AI90" i="6"/>
  <c r="AI56" i="6"/>
  <c r="AT56" i="6"/>
  <c r="AI40" i="6"/>
  <c r="AT40" i="6"/>
  <c r="AI60" i="6"/>
  <c r="AT60" i="6"/>
  <c r="AT20" i="6"/>
  <c r="AI20" i="6"/>
  <c r="AI95" i="6"/>
  <c r="AT95" i="6"/>
  <c r="AI62" i="6"/>
  <c r="AT62" i="6"/>
  <c r="AT59" i="6"/>
  <c r="AI59" i="6"/>
  <c r="AI103" i="6"/>
  <c r="AT103" i="6"/>
  <c r="AT67" i="6"/>
  <c r="AI67" i="6"/>
  <c r="AT99" i="6"/>
  <c r="AI99" i="6"/>
  <c r="AI112" i="6"/>
  <c r="AT112" i="6"/>
  <c r="AI61" i="6"/>
  <c r="AT61" i="6"/>
  <c r="AT106" i="6"/>
  <c r="AI106" i="6"/>
  <c r="AT84" i="6"/>
  <c r="AI84" i="6"/>
  <c r="AT21" i="6"/>
  <c r="AI21" i="6"/>
  <c r="AT91" i="6"/>
  <c r="AI91" i="6"/>
  <c r="AT107" i="6"/>
  <c r="AI107" i="6"/>
  <c r="AT74" i="6"/>
  <c r="AI74" i="6"/>
  <c r="AT58" i="6"/>
  <c r="AI58" i="6"/>
  <c r="AI87" i="6"/>
  <c r="AT87" i="6"/>
  <c r="N12" i="6"/>
  <c r="O12" i="6" s="1"/>
  <c r="N21" i="6"/>
  <c r="O21" i="6" s="1"/>
  <c r="S21" i="6" s="1"/>
  <c r="AV21" i="6" s="1"/>
  <c r="BH21" i="6" s="1"/>
  <c r="N46" i="6"/>
  <c r="O46" i="6" s="1"/>
  <c r="N60" i="6"/>
  <c r="O60" i="6" s="1"/>
  <c r="N19" i="6"/>
  <c r="O19" i="6" s="1"/>
  <c r="P19" i="6" s="1"/>
  <c r="N52" i="6"/>
  <c r="O52" i="6" s="1"/>
  <c r="N15" i="6"/>
  <c r="O15" i="6" s="1"/>
  <c r="N16" i="6"/>
  <c r="O16" i="6" s="1"/>
  <c r="N67" i="6"/>
  <c r="O67" i="6" s="1"/>
  <c r="N68" i="6"/>
  <c r="O68" i="6" s="1"/>
  <c r="W68" i="6" s="1"/>
  <c r="N14" i="6"/>
  <c r="O14" i="6" s="1"/>
  <c r="N38" i="6"/>
  <c r="O38" i="6" s="1"/>
  <c r="N62" i="6"/>
  <c r="O62" i="6" s="1"/>
  <c r="N58" i="6"/>
  <c r="O58" i="6" s="1"/>
  <c r="N22" i="6"/>
  <c r="O22" i="6" s="1"/>
  <c r="N56" i="6"/>
  <c r="O56" i="6" s="1"/>
  <c r="N31" i="6"/>
  <c r="O31" i="6" s="1"/>
  <c r="N39" i="6"/>
  <c r="O39" i="6" s="1"/>
  <c r="N25" i="6"/>
  <c r="O25" i="6" s="1"/>
  <c r="N43" i="6"/>
  <c r="O43" i="6" s="1"/>
  <c r="N29" i="6"/>
  <c r="O29" i="6" s="1"/>
  <c r="N28" i="6"/>
  <c r="O28" i="6" s="1"/>
  <c r="N18" i="6"/>
  <c r="O18" i="6" s="1"/>
  <c r="N35" i="6"/>
  <c r="O35" i="6" s="1"/>
  <c r="N61" i="6"/>
  <c r="O61" i="6" s="1"/>
  <c r="S61" i="6" s="1"/>
  <c r="AV61" i="6" s="1"/>
  <c r="BH61" i="6" s="1"/>
  <c r="N66" i="6"/>
  <c r="O66" i="6" s="1"/>
  <c r="N64" i="6"/>
  <c r="O64" i="6" s="1"/>
  <c r="P64" i="6" s="1"/>
  <c r="N50" i="6"/>
  <c r="O50" i="6" s="1"/>
  <c r="N59" i="6"/>
  <c r="O59" i="6" s="1"/>
  <c r="N49" i="6"/>
  <c r="O49" i="6" s="1"/>
  <c r="W49" i="6" s="1"/>
  <c r="X49" i="6" s="1"/>
  <c r="Y49" i="6" s="1"/>
  <c r="BK49" i="6" s="1"/>
  <c r="N13" i="6"/>
  <c r="O13" i="6" s="1"/>
  <c r="P13" i="6" s="1"/>
  <c r="N20" i="6"/>
  <c r="O20" i="6" s="1"/>
  <c r="S20" i="6" s="1"/>
  <c r="AV20" i="6" s="1"/>
  <c r="BH20" i="6" s="1"/>
  <c r="N34" i="6"/>
  <c r="O34" i="6" s="1"/>
  <c r="N63" i="6"/>
  <c r="O63" i="6" s="1"/>
  <c r="W63" i="6" s="1"/>
  <c r="X63" i="6" s="1"/>
  <c r="Y63" i="6" s="1"/>
  <c r="BK63" i="6" s="1"/>
  <c r="N65" i="6"/>
  <c r="O65" i="6" s="1"/>
  <c r="N48" i="6"/>
  <c r="O48" i="6" s="1"/>
  <c r="N17" i="6"/>
  <c r="O17" i="6" s="1"/>
  <c r="N51" i="6"/>
  <c r="O51" i="6" s="1"/>
  <c r="N36" i="6"/>
  <c r="O36" i="6" s="1"/>
  <c r="N24" i="6"/>
  <c r="O24" i="6" s="1"/>
  <c r="N37" i="6"/>
  <c r="O37" i="6" s="1"/>
  <c r="N44" i="6"/>
  <c r="O44" i="6" s="1"/>
  <c r="N30" i="6"/>
  <c r="O30" i="6" s="1"/>
  <c r="N54" i="6"/>
  <c r="O54" i="6" s="1"/>
  <c r="N32" i="6"/>
  <c r="O32" i="6" s="1"/>
  <c r="N33" i="6"/>
  <c r="O33" i="6" s="1"/>
  <c r="N55" i="6"/>
  <c r="O55" i="6" s="1"/>
  <c r="Q55" i="6" s="1"/>
  <c r="AH55" i="6" s="1"/>
  <c r="N45" i="6"/>
  <c r="O45" i="6" s="1"/>
  <c r="N40" i="6"/>
  <c r="O40" i="6" s="1"/>
  <c r="N42" i="6"/>
  <c r="O42" i="6" s="1"/>
  <c r="N47" i="6"/>
  <c r="O47" i="6" s="1"/>
  <c r="N26" i="6"/>
  <c r="O26" i="6" s="1"/>
  <c r="N57" i="6"/>
  <c r="O57" i="6" s="1"/>
  <c r="N27" i="6"/>
  <c r="O27" i="6" s="1"/>
  <c r="N41" i="6"/>
  <c r="O41" i="6" s="1"/>
  <c r="N53" i="6"/>
  <c r="O53" i="6" s="1"/>
  <c r="N23" i="6"/>
  <c r="O23" i="6" s="1"/>
  <c r="L77" i="6"/>
  <c r="K77" i="6"/>
  <c r="J70" i="6"/>
  <c r="N69" i="6"/>
  <c r="C101" i="2"/>
  <c r="F101" i="2" s="1"/>
  <c r="D23" i="7" s="1"/>
  <c r="C88" i="2"/>
  <c r="F88" i="2" s="1"/>
  <c r="F51" i="2"/>
  <c r="H64" i="7" l="1"/>
  <c r="G49" i="7"/>
  <c r="H62" i="7"/>
  <c r="H127" i="7"/>
  <c r="G93" i="7"/>
  <c r="G111" i="7"/>
  <c r="H41" i="7"/>
  <c r="G28" i="7"/>
  <c r="H54" i="7"/>
  <c r="H71" i="7"/>
  <c r="H72" i="7"/>
  <c r="H56" i="7"/>
  <c r="G125" i="7"/>
  <c r="H70" i="7"/>
  <c r="H93" i="7"/>
  <c r="G64" i="7"/>
  <c r="G12" i="7"/>
  <c r="G29" i="7"/>
  <c r="G115" i="7"/>
  <c r="G13" i="7"/>
  <c r="H76" i="7"/>
  <c r="G44" i="7"/>
  <c r="G105" i="7"/>
  <c r="G69" i="7"/>
  <c r="G82" i="7"/>
  <c r="G138" i="7"/>
  <c r="H123" i="7"/>
  <c r="H44" i="7"/>
  <c r="H69" i="7"/>
  <c r="G106" i="7"/>
  <c r="H18" i="7"/>
  <c r="G57" i="7"/>
  <c r="H48" i="7"/>
  <c r="G80" i="7"/>
  <c r="H124" i="7"/>
  <c r="G75" i="7"/>
  <c r="H82" i="7"/>
  <c r="G30" i="7"/>
  <c r="D24" i="7"/>
  <c r="H119" i="7"/>
  <c r="H121" i="7"/>
  <c r="H49" i="7"/>
  <c r="G126" i="7"/>
  <c r="G24" i="7"/>
  <c r="H25" i="7"/>
  <c r="H125" i="7"/>
  <c r="H38" i="7"/>
  <c r="H113" i="7"/>
  <c r="H65" i="7"/>
  <c r="H40" i="7"/>
  <c r="G85" i="7"/>
  <c r="G87" i="7"/>
  <c r="H135" i="7"/>
  <c r="H35" i="7"/>
  <c r="H29" i="7"/>
  <c r="G130" i="7"/>
  <c r="G116" i="7"/>
  <c r="G91" i="7"/>
  <c r="H53" i="7"/>
  <c r="G27" i="7"/>
  <c r="H74" i="7"/>
  <c r="G21" i="7"/>
  <c r="G74" i="7"/>
  <c r="H59" i="7"/>
  <c r="G67" i="7"/>
  <c r="G68" i="7"/>
  <c r="G42" i="7"/>
  <c r="G81" i="7"/>
  <c r="G26" i="7"/>
  <c r="G128" i="7"/>
  <c r="G94" i="7"/>
  <c r="H112" i="7"/>
  <c r="D20" i="7"/>
  <c r="H55" i="7"/>
  <c r="G110" i="7"/>
  <c r="G127" i="7"/>
  <c r="G71" i="7"/>
  <c r="H16" i="7"/>
  <c r="H97" i="7"/>
  <c r="G136" i="7"/>
  <c r="H84" i="7"/>
  <c r="G118" i="7"/>
  <c r="G86" i="7"/>
  <c r="H17" i="7"/>
  <c r="G61" i="7"/>
  <c r="H128" i="7"/>
  <c r="G134" i="7"/>
  <c r="G133" i="7"/>
  <c r="G100" i="7"/>
  <c r="G45" i="7"/>
  <c r="H92" i="7"/>
  <c r="G60" i="7"/>
  <c r="G20" i="7"/>
  <c r="G98" i="7"/>
  <c r="G97" i="7"/>
  <c r="H66" i="7"/>
  <c r="H117" i="7"/>
  <c r="G122" i="7"/>
  <c r="H115" i="7"/>
  <c r="H100" i="7"/>
  <c r="H98" i="7"/>
  <c r="G17" i="7"/>
  <c r="H114" i="7"/>
  <c r="H87" i="7"/>
  <c r="H19" i="7"/>
  <c r="H12" i="7"/>
  <c r="H80" i="7"/>
  <c r="H129" i="7"/>
  <c r="H137" i="7"/>
  <c r="H22" i="7"/>
  <c r="H15" i="7"/>
  <c r="G47" i="7"/>
  <c r="G72" i="7"/>
  <c r="G95" i="7"/>
  <c r="H33" i="7"/>
  <c r="H105" i="7"/>
  <c r="G16" i="7"/>
  <c r="G37" i="7"/>
  <c r="G63" i="7"/>
  <c r="G103" i="7"/>
  <c r="H23" i="7"/>
  <c r="H102" i="7"/>
  <c r="G53" i="7"/>
  <c r="G101" i="7"/>
  <c r="G132" i="7"/>
  <c r="H20" i="7"/>
  <c r="H85" i="7"/>
  <c r="H60" i="7"/>
  <c r="H131" i="7"/>
  <c r="G99" i="7"/>
  <c r="G65" i="7"/>
  <c r="H42" i="7"/>
  <c r="G58" i="7"/>
  <c r="H51" i="7"/>
  <c r="H28" i="7"/>
  <c r="G129" i="7"/>
  <c r="G73" i="7"/>
  <c r="H50" i="7"/>
  <c r="H57" i="7"/>
  <c r="H86" i="7"/>
  <c r="H78" i="7"/>
  <c r="G117" i="7"/>
  <c r="H45" i="7"/>
  <c r="H108" i="7"/>
  <c r="G32" i="7"/>
  <c r="H111" i="7"/>
  <c r="G38" i="7"/>
  <c r="H32" i="7"/>
  <c r="G109" i="7"/>
  <c r="H24" i="7"/>
  <c r="H136" i="7"/>
  <c r="G54" i="7"/>
  <c r="G55" i="7"/>
  <c r="G104" i="7"/>
  <c r="G88" i="7"/>
  <c r="H73" i="7"/>
  <c r="H133" i="7"/>
  <c r="G96" i="7"/>
  <c r="H134" i="7"/>
  <c r="G39" i="7"/>
  <c r="H61" i="7"/>
  <c r="G77" i="7"/>
  <c r="H116" i="7"/>
  <c r="H34" i="7"/>
  <c r="G36" i="7"/>
  <c r="H91" i="7"/>
  <c r="G66" i="7"/>
  <c r="G123" i="7"/>
  <c r="G83" i="7"/>
  <c r="G33" i="7"/>
  <c r="H130" i="7"/>
  <c r="G114" i="7"/>
  <c r="H36" i="7"/>
  <c r="G41" i="7"/>
  <c r="G34" i="7"/>
  <c r="G113" i="7"/>
  <c r="H46" i="7"/>
  <c r="H30" i="7"/>
  <c r="H27" i="7"/>
  <c r="H43" i="7"/>
  <c r="H110" i="7"/>
  <c r="G79" i="7"/>
  <c r="H79" i="7"/>
  <c r="H47" i="7"/>
  <c r="G120" i="7"/>
  <c r="G48" i="7"/>
  <c r="G135" i="7"/>
  <c r="H120" i="7"/>
  <c r="G31" i="7"/>
  <c r="G56" i="7"/>
  <c r="G15" i="7"/>
  <c r="G70" i="7"/>
  <c r="G40" i="7"/>
  <c r="H39" i="7"/>
  <c r="G62" i="7"/>
  <c r="G124" i="7"/>
  <c r="H37" i="7"/>
  <c r="H132" i="7"/>
  <c r="G59" i="7"/>
  <c r="G76" i="7"/>
  <c r="H68" i="7"/>
  <c r="H67" i="7"/>
  <c r="H99" i="7"/>
  <c r="G19" i="7"/>
  <c r="G107" i="7"/>
  <c r="H52" i="7"/>
  <c r="H26" i="7"/>
  <c r="G50" i="7"/>
  <c r="G51" i="7"/>
  <c r="G89" i="7"/>
  <c r="H122" i="7"/>
  <c r="G78" i="7"/>
  <c r="H31" i="7"/>
  <c r="G108" i="7"/>
  <c r="G90" i="7"/>
  <c r="G137" i="7"/>
  <c r="H94" i="7"/>
  <c r="G14" i="7"/>
  <c r="H126" i="7"/>
  <c r="H89" i="7"/>
  <c r="H14" i="7"/>
  <c r="H88" i="7"/>
  <c r="G112" i="7"/>
  <c r="H103" i="7"/>
  <c r="G119" i="7"/>
  <c r="H104" i="7"/>
  <c r="H95" i="7"/>
  <c r="H63" i="7"/>
  <c r="H96" i="7"/>
  <c r="H109" i="7"/>
  <c r="G22" i="7"/>
  <c r="H77" i="7"/>
  <c r="G92" i="7"/>
  <c r="H118" i="7"/>
  <c r="H21" i="7"/>
  <c r="H138" i="7"/>
  <c r="H101" i="7"/>
  <c r="G35" i="7"/>
  <c r="H90" i="7"/>
  <c r="G18" i="7"/>
  <c r="H83" i="7"/>
  <c r="H13" i="7"/>
  <c r="G43" i="7"/>
  <c r="G84" i="7"/>
  <c r="H106" i="7"/>
  <c r="H107" i="7"/>
  <c r="G25" i="7"/>
  <c r="H58" i="7"/>
  <c r="H81" i="7"/>
  <c r="G23" i="7"/>
  <c r="G46" i="7"/>
  <c r="G102" i="7"/>
  <c r="G131" i="7"/>
  <c r="G52" i="7"/>
  <c r="H75" i="7"/>
  <c r="G121" i="7"/>
  <c r="C105" i="2"/>
  <c r="F105" i="2" s="1"/>
  <c r="G66" i="1" s="1"/>
  <c r="C90" i="2"/>
  <c r="F90" i="2" s="1"/>
  <c r="G53" i="1" s="1"/>
  <c r="D22" i="7"/>
  <c r="W19" i="6"/>
  <c r="X19" i="6" s="1"/>
  <c r="Y19" i="6" s="1"/>
  <c r="BK19" i="6" s="1"/>
  <c r="Q19" i="6"/>
  <c r="AH19" i="6" s="1"/>
  <c r="AK49" i="6"/>
  <c r="AL49" i="6" s="1"/>
  <c r="AM49" i="6" s="1"/>
  <c r="Z21" i="6"/>
  <c r="AA21" i="6" s="1"/>
  <c r="AB21" i="6" s="1"/>
  <c r="BJ21" i="6" s="1"/>
  <c r="W21" i="6"/>
  <c r="X21" i="6" s="1"/>
  <c r="Y21" i="6" s="1"/>
  <c r="BK21" i="6" s="1"/>
  <c r="AC19" i="6"/>
  <c r="AD19" i="6" s="1"/>
  <c r="AE19" i="6" s="1"/>
  <c r="Q21" i="6"/>
  <c r="R21" i="6" s="1"/>
  <c r="AG21" i="6" s="1"/>
  <c r="P21" i="6"/>
  <c r="S19" i="6"/>
  <c r="AV19" i="6" s="1"/>
  <c r="BH19" i="6" s="1"/>
  <c r="AK21" i="6"/>
  <c r="AL21" i="6" s="1"/>
  <c r="AM21" i="6" s="1"/>
  <c r="Z19" i="6"/>
  <c r="AA19" i="6" s="1"/>
  <c r="AB19" i="6" s="1"/>
  <c r="BJ19" i="6" s="1"/>
  <c r="AK19" i="6"/>
  <c r="AL19" i="6" s="1"/>
  <c r="AM19" i="6" s="1"/>
  <c r="AC21" i="6"/>
  <c r="AD21" i="6" s="1"/>
  <c r="AE21" i="6" s="1"/>
  <c r="S68" i="6"/>
  <c r="AV68" i="6" s="1"/>
  <c r="BH68" i="6" s="1"/>
  <c r="P61" i="6"/>
  <c r="AC64" i="6"/>
  <c r="AD64" i="6" s="1"/>
  <c r="AE64" i="6" s="1"/>
  <c r="P68" i="6"/>
  <c r="Q68" i="6"/>
  <c r="R68" i="6" s="1"/>
  <c r="AG68" i="6" s="1"/>
  <c r="Z68" i="6"/>
  <c r="AA68" i="6" s="1"/>
  <c r="AB68" i="6" s="1"/>
  <c r="BJ68" i="6" s="1"/>
  <c r="AK68" i="6"/>
  <c r="AL68" i="6" s="1"/>
  <c r="AM68" i="6" s="1"/>
  <c r="AC68" i="6"/>
  <c r="AD68" i="6" s="1"/>
  <c r="AE68" i="6" s="1"/>
  <c r="AC49" i="6"/>
  <c r="AD49" i="6" s="1"/>
  <c r="AE49" i="6" s="1"/>
  <c r="Q49" i="6"/>
  <c r="R49" i="6" s="1"/>
  <c r="AG49" i="6" s="1"/>
  <c r="Z49" i="6"/>
  <c r="AA49" i="6" s="1"/>
  <c r="AB49" i="6" s="1"/>
  <c r="BJ49" i="6" s="1"/>
  <c r="S49" i="6"/>
  <c r="AV49" i="6" s="1"/>
  <c r="BH49" i="6" s="1"/>
  <c r="P49" i="6"/>
  <c r="W20" i="6"/>
  <c r="X20" i="6" s="1"/>
  <c r="Y20" i="6" s="1"/>
  <c r="BK20" i="6" s="1"/>
  <c r="Z20" i="6"/>
  <c r="AA20" i="6" s="1"/>
  <c r="AB20" i="6" s="1"/>
  <c r="BJ20" i="6" s="1"/>
  <c r="AC20" i="6"/>
  <c r="AD20" i="6" s="1"/>
  <c r="AE20" i="6" s="1"/>
  <c r="P20" i="6"/>
  <c r="Q20" i="6"/>
  <c r="R20" i="6" s="1"/>
  <c r="AG20" i="6" s="1"/>
  <c r="AK20" i="6"/>
  <c r="AL20" i="6" s="1"/>
  <c r="AM20" i="6" s="1"/>
  <c r="Z13" i="6"/>
  <c r="AA13" i="6" s="1"/>
  <c r="AB13" i="6" s="1"/>
  <c r="BJ13" i="6" s="1"/>
  <c r="AC13" i="6"/>
  <c r="AD13" i="6" s="1"/>
  <c r="AE13" i="6" s="1"/>
  <c r="W13" i="6"/>
  <c r="X13" i="6" s="1"/>
  <c r="Y13" i="6" s="1"/>
  <c r="BK13" i="6" s="1"/>
  <c r="Q13" i="6"/>
  <c r="R13" i="6" s="1"/>
  <c r="AG13" i="6" s="1"/>
  <c r="S13" i="6"/>
  <c r="T13" i="6" s="1"/>
  <c r="AK13" i="6"/>
  <c r="AL13" i="6" s="1"/>
  <c r="AM13" i="6" s="1"/>
  <c r="Z63" i="6"/>
  <c r="AA63" i="6" s="1"/>
  <c r="AB63" i="6" s="1"/>
  <c r="BJ63" i="6" s="1"/>
  <c r="S63" i="6"/>
  <c r="AV63" i="6" s="1"/>
  <c r="BH63" i="6" s="1"/>
  <c r="AC61" i="6"/>
  <c r="AD61" i="6" s="1"/>
  <c r="AE61" i="6" s="1"/>
  <c r="Q61" i="6"/>
  <c r="R61" i="6" s="1"/>
  <c r="AG61" i="6" s="1"/>
  <c r="AK61" i="6"/>
  <c r="AL61" i="6" s="1"/>
  <c r="AM61" i="6" s="1"/>
  <c r="Z61" i="6"/>
  <c r="AA61" i="6" s="1"/>
  <c r="AB61" i="6" s="1"/>
  <c r="BJ61" i="6" s="1"/>
  <c r="W61" i="6"/>
  <c r="X61" i="6" s="1"/>
  <c r="Y61" i="6" s="1"/>
  <c r="BK61" i="6" s="1"/>
  <c r="AK66" i="6"/>
  <c r="AL66" i="6" s="1"/>
  <c r="AM66" i="6" s="1"/>
  <c r="Q53" i="6"/>
  <c r="R53" i="6" s="1"/>
  <c r="AG53" i="6" s="1"/>
  <c r="AK58" i="6"/>
  <c r="AL58" i="6" s="1"/>
  <c r="AM58" i="6" s="1"/>
  <c r="W64" i="6"/>
  <c r="X64" i="6" s="1"/>
  <c r="Y64" i="6" s="1"/>
  <c r="BK64" i="6" s="1"/>
  <c r="AC63" i="6"/>
  <c r="AD63" i="6" s="1"/>
  <c r="AE63" i="6" s="1"/>
  <c r="AK43" i="6"/>
  <c r="AL43" i="6" s="1"/>
  <c r="AM43" i="6" s="1"/>
  <c r="AK38" i="6"/>
  <c r="AL38" i="6" s="1"/>
  <c r="AM38" i="6" s="1"/>
  <c r="Z23" i="6"/>
  <c r="AA23" i="6" s="1"/>
  <c r="AB23" i="6" s="1"/>
  <c r="BJ23" i="6" s="1"/>
  <c r="AK40" i="6"/>
  <c r="AL40" i="6" s="1"/>
  <c r="AM40" i="6" s="1"/>
  <c r="AK37" i="6"/>
  <c r="AL37" i="6" s="1"/>
  <c r="AM37" i="6" s="1"/>
  <c r="AK60" i="6"/>
  <c r="AL60" i="6" s="1"/>
  <c r="AM60" i="6" s="1"/>
  <c r="P31" i="6"/>
  <c r="Q64" i="6"/>
  <c r="R64" i="6" s="1"/>
  <c r="AG64" i="6" s="1"/>
  <c r="AK42" i="6"/>
  <c r="AL42" i="6" s="1"/>
  <c r="AM42" i="6" s="1"/>
  <c r="AK59" i="6"/>
  <c r="AL59" i="6" s="1"/>
  <c r="AM59" i="6" s="1"/>
  <c r="AK12" i="6"/>
  <c r="AL12" i="6" s="1"/>
  <c r="AM12" i="6" s="1"/>
  <c r="AK24" i="6"/>
  <c r="AL24" i="6" s="1"/>
  <c r="AM24" i="6" s="1"/>
  <c r="AK41" i="6"/>
  <c r="AL41" i="6" s="1"/>
  <c r="AM41" i="6" s="1"/>
  <c r="S55" i="6"/>
  <c r="Z22" i="6"/>
  <c r="AA22" i="6" s="1"/>
  <c r="AB22" i="6" s="1"/>
  <c r="BJ22" i="6" s="1"/>
  <c r="AK39" i="6"/>
  <c r="AL39" i="6" s="1"/>
  <c r="AM39" i="6" s="1"/>
  <c r="S64" i="6"/>
  <c r="AK29" i="6"/>
  <c r="AL29" i="6" s="1"/>
  <c r="AM29" i="6" s="1"/>
  <c r="AK14" i="6"/>
  <c r="AL14" i="6" s="1"/>
  <c r="AM14" i="6" s="1"/>
  <c r="AK27" i="6"/>
  <c r="AL27" i="6" s="1"/>
  <c r="AM27" i="6" s="1"/>
  <c r="AK33" i="6"/>
  <c r="AL33" i="6" s="1"/>
  <c r="AM33" i="6" s="1"/>
  <c r="AK51" i="6"/>
  <c r="AL51" i="6" s="1"/>
  <c r="AM51" i="6" s="1"/>
  <c r="AK30" i="6"/>
  <c r="AL30" i="6" s="1"/>
  <c r="AM30" i="6" s="1"/>
  <c r="AK44" i="6"/>
  <c r="AL44" i="6" s="1"/>
  <c r="AM44" i="6" s="1"/>
  <c r="AK52" i="6"/>
  <c r="AL52" i="6" s="1"/>
  <c r="AM52" i="6" s="1"/>
  <c r="AK50" i="6"/>
  <c r="AL50" i="6" s="1"/>
  <c r="AM50" i="6" s="1"/>
  <c r="AC18" i="6"/>
  <c r="AD18" i="6" s="1"/>
  <c r="AE18" i="6" s="1"/>
  <c r="AK35" i="6"/>
  <c r="AL35" i="6" s="1"/>
  <c r="AM35" i="6" s="1"/>
  <c r="AK57" i="6"/>
  <c r="AL57" i="6" s="1"/>
  <c r="AM57" i="6" s="1"/>
  <c r="AK32" i="6"/>
  <c r="AL32" i="6" s="1"/>
  <c r="AM32" i="6" s="1"/>
  <c r="Q17" i="6"/>
  <c r="AH17" i="6" s="1"/>
  <c r="AK25" i="6"/>
  <c r="AL25" i="6" s="1"/>
  <c r="AM25" i="6" s="1"/>
  <c r="P65" i="6"/>
  <c r="AK46" i="6"/>
  <c r="AL46" i="6" s="1"/>
  <c r="AM46" i="6" s="1"/>
  <c r="Q63" i="6"/>
  <c r="R63" i="6" s="1"/>
  <c r="AG63" i="6" s="1"/>
  <c r="P63" i="6"/>
  <c r="Z64" i="6"/>
  <c r="AA64" i="6" s="1"/>
  <c r="AB64" i="6" s="1"/>
  <c r="BJ64" i="6" s="1"/>
  <c r="AK48" i="6"/>
  <c r="AL48" i="6" s="1"/>
  <c r="AM48" i="6" s="1"/>
  <c r="AK16" i="6"/>
  <c r="AL16" i="6" s="1"/>
  <c r="AM16" i="6" s="1"/>
  <c r="AK64" i="6"/>
  <c r="AL64" i="6" s="1"/>
  <c r="AM64" i="6" s="1"/>
  <c r="AK63" i="6"/>
  <c r="AL63" i="6" s="1"/>
  <c r="AM63" i="6" s="1"/>
  <c r="AK26" i="6"/>
  <c r="AL26" i="6" s="1"/>
  <c r="AM26" i="6" s="1"/>
  <c r="W17" i="6"/>
  <c r="X17" i="6" s="1"/>
  <c r="Y17" i="6" s="1"/>
  <c r="BK17" i="6" s="1"/>
  <c r="AC27" i="6"/>
  <c r="AD27" i="6" s="1"/>
  <c r="AE27" i="6" s="1"/>
  <c r="S27" i="6"/>
  <c r="Z17" i="6"/>
  <c r="AA17" i="6" s="1"/>
  <c r="AB17" i="6" s="1"/>
  <c r="BJ17" i="6" s="1"/>
  <c r="Q27" i="6"/>
  <c r="R27" i="6" s="1"/>
  <c r="AG27" i="6" s="1"/>
  <c r="S17" i="6"/>
  <c r="AK17" i="6"/>
  <c r="AL17" i="6" s="1"/>
  <c r="AM17" i="6" s="1"/>
  <c r="AC17" i="6"/>
  <c r="AD17" i="6" s="1"/>
  <c r="AE17" i="6" s="1"/>
  <c r="P17" i="6"/>
  <c r="AK55" i="6"/>
  <c r="AL55" i="6" s="1"/>
  <c r="AM55" i="6" s="1"/>
  <c r="P55" i="6"/>
  <c r="AN55" i="6" s="1"/>
  <c r="W55" i="6"/>
  <c r="X55" i="6" s="1"/>
  <c r="Y55" i="6" s="1"/>
  <c r="BK55" i="6" s="1"/>
  <c r="AC55" i="6"/>
  <c r="AD55" i="6" s="1"/>
  <c r="AE55" i="6" s="1"/>
  <c r="Z55" i="6"/>
  <c r="AA55" i="6" s="1"/>
  <c r="AB55" i="6" s="1"/>
  <c r="BJ55" i="6" s="1"/>
  <c r="S18" i="6"/>
  <c r="S23" i="6"/>
  <c r="Q23" i="6"/>
  <c r="R23" i="6" s="1"/>
  <c r="AG23" i="6" s="1"/>
  <c r="AK23" i="6"/>
  <c r="AL23" i="6" s="1"/>
  <c r="AM23" i="6" s="1"/>
  <c r="Z48" i="6"/>
  <c r="AA48" i="6" s="1"/>
  <c r="AB48" i="6" s="1"/>
  <c r="BJ48" i="6" s="1"/>
  <c r="W23" i="6"/>
  <c r="X23" i="6" s="1"/>
  <c r="Y23" i="6" s="1"/>
  <c r="BK23" i="6" s="1"/>
  <c r="AC23" i="6"/>
  <c r="AD23" i="6" s="1"/>
  <c r="AE23" i="6" s="1"/>
  <c r="AC48" i="6"/>
  <c r="AD48" i="6" s="1"/>
  <c r="AE48" i="6" s="1"/>
  <c r="P23" i="6"/>
  <c r="AC44" i="6"/>
  <c r="AD44" i="6" s="1"/>
  <c r="AE44" i="6" s="1"/>
  <c r="Z44" i="6"/>
  <c r="AA44" i="6" s="1"/>
  <c r="AB44" i="6" s="1"/>
  <c r="BJ44" i="6" s="1"/>
  <c r="W14" i="6"/>
  <c r="X14" i="6" s="1"/>
  <c r="Y14" i="6" s="1"/>
  <c r="BK14" i="6" s="1"/>
  <c r="S22" i="6"/>
  <c r="L78" i="6"/>
  <c r="W26" i="6"/>
  <c r="X26" i="6" s="1"/>
  <c r="Y26" i="6" s="1"/>
  <c r="BK26" i="6" s="1"/>
  <c r="S60" i="6"/>
  <c r="P60" i="6"/>
  <c r="Z57" i="6"/>
  <c r="AA57" i="6" s="1"/>
  <c r="AB57" i="6" s="1"/>
  <c r="BJ57" i="6" s="1"/>
  <c r="S14" i="6"/>
  <c r="W48" i="6"/>
  <c r="X48" i="6" s="1"/>
  <c r="Y48" i="6" s="1"/>
  <c r="BK48" i="6" s="1"/>
  <c r="AC14" i="6"/>
  <c r="AD14" i="6" s="1"/>
  <c r="AE14" i="6" s="1"/>
  <c r="P14" i="6"/>
  <c r="Z14" i="6"/>
  <c r="AA14" i="6" s="1"/>
  <c r="AB14" i="6" s="1"/>
  <c r="BJ14" i="6" s="1"/>
  <c r="Q14" i="6"/>
  <c r="R14" i="6" s="1"/>
  <c r="AG14" i="6" s="1"/>
  <c r="AC60" i="6"/>
  <c r="AD60" i="6" s="1"/>
  <c r="AE60" i="6" s="1"/>
  <c r="W60" i="6"/>
  <c r="X60" i="6" s="1"/>
  <c r="Y60" i="6" s="1"/>
  <c r="BK60" i="6" s="1"/>
  <c r="Z60" i="6"/>
  <c r="AA60" i="6" s="1"/>
  <c r="AB60" i="6" s="1"/>
  <c r="BJ60" i="6" s="1"/>
  <c r="Q60" i="6"/>
  <c r="R60" i="6" s="1"/>
  <c r="AG60" i="6" s="1"/>
  <c r="K78" i="6"/>
  <c r="Q48" i="6"/>
  <c r="R48" i="6" s="1"/>
  <c r="AG48" i="6" s="1"/>
  <c r="S48" i="6"/>
  <c r="AV48" i="6" s="1"/>
  <c r="BH48" i="6" s="1"/>
  <c r="P57" i="6"/>
  <c r="Q57" i="6"/>
  <c r="U57" i="6" s="1"/>
  <c r="W57" i="6"/>
  <c r="X57" i="6" s="1"/>
  <c r="Y57" i="6" s="1"/>
  <c r="BK57" i="6" s="1"/>
  <c r="P48" i="6"/>
  <c r="P40" i="6"/>
  <c r="W44" i="6"/>
  <c r="X44" i="6" s="1"/>
  <c r="Y44" i="6" s="1"/>
  <c r="BK44" i="6" s="1"/>
  <c r="Q32" i="6"/>
  <c r="R32" i="6" s="1"/>
  <c r="AG32" i="6" s="1"/>
  <c r="AC40" i="6"/>
  <c r="AD40" i="6" s="1"/>
  <c r="AE40" i="6" s="1"/>
  <c r="S40" i="6"/>
  <c r="S44" i="6"/>
  <c r="Q44" i="6"/>
  <c r="R44" i="6" s="1"/>
  <c r="AG44" i="6" s="1"/>
  <c r="AC32" i="6"/>
  <c r="AD32" i="6" s="1"/>
  <c r="AE32" i="6" s="1"/>
  <c r="Z40" i="6"/>
  <c r="AA40" i="6" s="1"/>
  <c r="AB40" i="6" s="1"/>
  <c r="BJ40" i="6" s="1"/>
  <c r="P44" i="6"/>
  <c r="Z32" i="6"/>
  <c r="AA32" i="6" s="1"/>
  <c r="AB32" i="6" s="1"/>
  <c r="BJ32" i="6" s="1"/>
  <c r="P32" i="6"/>
  <c r="P26" i="6"/>
  <c r="AC65" i="6"/>
  <c r="AD65" i="6" s="1"/>
  <c r="AE65" i="6" s="1"/>
  <c r="Z24" i="6"/>
  <c r="AA24" i="6" s="1"/>
  <c r="AB24" i="6" s="1"/>
  <c r="BJ24" i="6" s="1"/>
  <c r="S57" i="6"/>
  <c r="AV57" i="6" s="1"/>
  <c r="BH57" i="6" s="1"/>
  <c r="P24" i="6"/>
  <c r="AC57" i="6"/>
  <c r="AD57" i="6" s="1"/>
  <c r="AE57" i="6" s="1"/>
  <c r="S26" i="6"/>
  <c r="W24" i="6"/>
  <c r="X24" i="6" s="1"/>
  <c r="Y24" i="6" s="1"/>
  <c r="BK24" i="6" s="1"/>
  <c r="Z26" i="6"/>
  <c r="AA26" i="6" s="1"/>
  <c r="AB26" i="6" s="1"/>
  <c r="BJ26" i="6" s="1"/>
  <c r="Q26" i="6"/>
  <c r="R26" i="6" s="1"/>
  <c r="AG26" i="6" s="1"/>
  <c r="AC26" i="6"/>
  <c r="AD26" i="6" s="1"/>
  <c r="AE26" i="6" s="1"/>
  <c r="W65" i="6"/>
  <c r="X65" i="6" s="1"/>
  <c r="Y65" i="6" s="1"/>
  <c r="BK65" i="6" s="1"/>
  <c r="Q24" i="6"/>
  <c r="R24" i="6" s="1"/>
  <c r="AG24" i="6" s="1"/>
  <c r="Z65" i="6"/>
  <c r="AA65" i="6" s="1"/>
  <c r="AB65" i="6" s="1"/>
  <c r="BJ65" i="6" s="1"/>
  <c r="S65" i="6"/>
  <c r="S31" i="6"/>
  <c r="Q65" i="6"/>
  <c r="R65" i="6" s="1"/>
  <c r="AG65" i="6" s="1"/>
  <c r="AC24" i="6"/>
  <c r="AD24" i="6" s="1"/>
  <c r="AE24" i="6" s="1"/>
  <c r="S24" i="6"/>
  <c r="P12" i="6"/>
  <c r="W31" i="6"/>
  <c r="X31" i="6" s="1"/>
  <c r="Y31" i="6" s="1"/>
  <c r="BK31" i="6" s="1"/>
  <c r="Z35" i="6"/>
  <c r="AA35" i="6" s="1"/>
  <c r="AB35" i="6" s="1"/>
  <c r="BJ35" i="6" s="1"/>
  <c r="Z31" i="6"/>
  <c r="AA31" i="6" s="1"/>
  <c r="AB31" i="6" s="1"/>
  <c r="BJ31" i="6" s="1"/>
  <c r="Q31" i="6"/>
  <c r="R31" i="6" s="1"/>
  <c r="AG31" i="6" s="1"/>
  <c r="AK31" i="6"/>
  <c r="AL31" i="6" s="1"/>
  <c r="AM31" i="6" s="1"/>
  <c r="Z12" i="6"/>
  <c r="AA12" i="6" s="1"/>
  <c r="AB12" i="6" s="1"/>
  <c r="BJ12" i="6" s="1"/>
  <c r="Z38" i="6"/>
  <c r="AA38" i="6" s="1"/>
  <c r="AB38" i="6" s="1"/>
  <c r="BJ38" i="6" s="1"/>
  <c r="AC35" i="6"/>
  <c r="AD35" i="6" s="1"/>
  <c r="AE35" i="6" s="1"/>
  <c r="AC31" i="6"/>
  <c r="AD31" i="6" s="1"/>
  <c r="AE31" i="6" s="1"/>
  <c r="S35" i="6"/>
  <c r="Q35" i="6"/>
  <c r="R35" i="6" s="1"/>
  <c r="AG35" i="6" s="1"/>
  <c r="W35" i="6"/>
  <c r="X35" i="6" s="1"/>
  <c r="Y35" i="6" s="1"/>
  <c r="BK35" i="6" s="1"/>
  <c r="Q40" i="6"/>
  <c r="R40" i="6" s="1"/>
  <c r="AG40" i="6" s="1"/>
  <c r="P35" i="6"/>
  <c r="W40" i="6"/>
  <c r="X40" i="6" s="1"/>
  <c r="Y40" i="6" s="1"/>
  <c r="BK40" i="6" s="1"/>
  <c r="AH53" i="6"/>
  <c r="W18" i="6"/>
  <c r="X18" i="6" s="1"/>
  <c r="Y18" i="6" s="1"/>
  <c r="BK18" i="6" s="1"/>
  <c r="S53" i="6"/>
  <c r="AV53" i="6" s="1"/>
  <c r="BH53" i="6" s="1"/>
  <c r="AC16" i="6"/>
  <c r="AD16" i="6" s="1"/>
  <c r="AE16" i="6" s="1"/>
  <c r="Z25" i="6"/>
  <c r="AA25" i="6" s="1"/>
  <c r="AB25" i="6" s="1"/>
  <c r="BJ25" i="6" s="1"/>
  <c r="S25" i="6"/>
  <c r="AV25" i="6" s="1"/>
  <c r="BH25" i="6" s="1"/>
  <c r="P25" i="6"/>
  <c r="Q25" i="6"/>
  <c r="R25" i="6" s="1"/>
  <c r="AG25" i="6" s="1"/>
  <c r="W25" i="6"/>
  <c r="X25" i="6" s="1"/>
  <c r="Y25" i="6" s="1"/>
  <c r="BK25" i="6" s="1"/>
  <c r="AC25" i="6"/>
  <c r="AD25" i="6" s="1"/>
  <c r="AE25" i="6" s="1"/>
  <c r="AK56" i="6"/>
  <c r="AL56" i="6" s="1"/>
  <c r="AM56" i="6" s="1"/>
  <c r="Z36" i="6"/>
  <c r="AA36" i="6" s="1"/>
  <c r="AB36" i="6" s="1"/>
  <c r="BJ36" i="6" s="1"/>
  <c r="Z53" i="6"/>
  <c r="AA53" i="6" s="1"/>
  <c r="AB53" i="6" s="1"/>
  <c r="BJ53" i="6" s="1"/>
  <c r="AC52" i="6"/>
  <c r="AD52" i="6" s="1"/>
  <c r="AE52" i="6" s="1"/>
  <c r="P27" i="6"/>
  <c r="Z18" i="6"/>
  <c r="AA18" i="6" s="1"/>
  <c r="AB18" i="6" s="1"/>
  <c r="BJ18" i="6" s="1"/>
  <c r="Q18" i="6"/>
  <c r="R18" i="6" s="1"/>
  <c r="AG18" i="6" s="1"/>
  <c r="Q22" i="6"/>
  <c r="R22" i="6" s="1"/>
  <c r="AG22" i="6" s="1"/>
  <c r="W16" i="6"/>
  <c r="X16" i="6" s="1"/>
  <c r="Y16" i="6" s="1"/>
  <c r="BK16" i="6" s="1"/>
  <c r="Z54" i="6"/>
  <c r="AA54" i="6" s="1"/>
  <c r="AB54" i="6" s="1"/>
  <c r="BJ54" i="6" s="1"/>
  <c r="AC53" i="6"/>
  <c r="AD53" i="6" s="1"/>
  <c r="AE53" i="6" s="1"/>
  <c r="Z27" i="6"/>
  <c r="AA27" i="6" s="1"/>
  <c r="AB27" i="6" s="1"/>
  <c r="BJ27" i="6" s="1"/>
  <c r="Z43" i="6"/>
  <c r="AA43" i="6" s="1"/>
  <c r="AB43" i="6" s="1"/>
  <c r="BJ43" i="6" s="1"/>
  <c r="Z16" i="6"/>
  <c r="AA16" i="6" s="1"/>
  <c r="AB16" i="6" s="1"/>
  <c r="BJ16" i="6" s="1"/>
  <c r="AK67" i="6"/>
  <c r="AL67" i="6" s="1"/>
  <c r="AM67" i="6" s="1"/>
  <c r="Z29" i="6"/>
  <c r="AA29" i="6" s="1"/>
  <c r="AB29" i="6" s="1"/>
  <c r="BJ29" i="6" s="1"/>
  <c r="P18" i="6"/>
  <c r="S16" i="6"/>
  <c r="AV16" i="6" s="1"/>
  <c r="BH16" i="6" s="1"/>
  <c r="AC22" i="6"/>
  <c r="AD22" i="6" s="1"/>
  <c r="AE22" i="6" s="1"/>
  <c r="AC38" i="6"/>
  <c r="AD38" i="6" s="1"/>
  <c r="AE38" i="6" s="1"/>
  <c r="W22" i="6"/>
  <c r="X22" i="6" s="1"/>
  <c r="Y22" i="6" s="1"/>
  <c r="BK22" i="6" s="1"/>
  <c r="P16" i="6"/>
  <c r="AH60" i="6"/>
  <c r="AK28" i="6"/>
  <c r="AL28" i="6" s="1"/>
  <c r="AM28" i="6" s="1"/>
  <c r="AC51" i="6"/>
  <c r="AD51" i="6" s="1"/>
  <c r="AE51" i="6" s="1"/>
  <c r="AK54" i="6"/>
  <c r="AL54" i="6" s="1"/>
  <c r="AM54" i="6" s="1"/>
  <c r="AC30" i="6"/>
  <c r="AD30" i="6" s="1"/>
  <c r="AE30" i="6" s="1"/>
  <c r="Z42" i="6"/>
  <c r="AA42" i="6" s="1"/>
  <c r="AB42" i="6" s="1"/>
  <c r="BJ42" i="6" s="1"/>
  <c r="W32" i="6"/>
  <c r="X32" i="6" s="1"/>
  <c r="Y32" i="6" s="1"/>
  <c r="BK32" i="6" s="1"/>
  <c r="AK15" i="6"/>
  <c r="AL15" i="6" s="1"/>
  <c r="AM15" i="6" s="1"/>
  <c r="AK45" i="6"/>
  <c r="AL45" i="6" s="1"/>
  <c r="AM45" i="6" s="1"/>
  <c r="AC41" i="6"/>
  <c r="AD41" i="6" s="1"/>
  <c r="AE41" i="6" s="1"/>
  <c r="AK18" i="6"/>
  <c r="AL18" i="6" s="1"/>
  <c r="AM18" i="6" s="1"/>
  <c r="P53" i="6"/>
  <c r="AC39" i="6"/>
  <c r="AD39" i="6" s="1"/>
  <c r="AE39" i="6" s="1"/>
  <c r="AC33" i="6"/>
  <c r="AD33" i="6" s="1"/>
  <c r="AE33" i="6" s="1"/>
  <c r="AC50" i="6"/>
  <c r="AD50" i="6" s="1"/>
  <c r="AE50" i="6" s="1"/>
  <c r="W67" i="6"/>
  <c r="X67" i="6" s="1"/>
  <c r="Y67" i="6" s="1"/>
  <c r="BK67" i="6" s="1"/>
  <c r="Q67" i="6"/>
  <c r="R67" i="6" s="1"/>
  <c r="AG67" i="6" s="1"/>
  <c r="Z67" i="6"/>
  <c r="AA67" i="6" s="1"/>
  <c r="AB67" i="6" s="1"/>
  <c r="BJ67" i="6" s="1"/>
  <c r="S67" i="6"/>
  <c r="AV67" i="6" s="1"/>
  <c r="BH67" i="6" s="1"/>
  <c r="AC67" i="6"/>
  <c r="AD67" i="6" s="1"/>
  <c r="AE67" i="6" s="1"/>
  <c r="P67" i="6"/>
  <c r="AC12" i="6"/>
  <c r="AD12" i="6" s="1"/>
  <c r="AE12" i="6" s="1"/>
  <c r="W12" i="6"/>
  <c r="X12" i="6" s="1"/>
  <c r="Y12" i="6" s="1"/>
  <c r="BK12" i="6" s="1"/>
  <c r="Q12" i="6"/>
  <c r="R12" i="6" s="1"/>
  <c r="AG12" i="6" s="1"/>
  <c r="S12" i="6"/>
  <c r="W27" i="6"/>
  <c r="X27" i="6" s="1"/>
  <c r="Y27" i="6" s="1"/>
  <c r="BK27" i="6" s="1"/>
  <c r="S32" i="6"/>
  <c r="AV32" i="6" s="1"/>
  <c r="BH32" i="6" s="1"/>
  <c r="W53" i="6"/>
  <c r="X53" i="6" s="1"/>
  <c r="Y53" i="6" s="1"/>
  <c r="BK53" i="6" s="1"/>
  <c r="P22" i="6"/>
  <c r="Q16" i="6"/>
  <c r="R16" i="6" s="1"/>
  <c r="AG16" i="6" s="1"/>
  <c r="AK36" i="6"/>
  <c r="AL36" i="6" s="1"/>
  <c r="AM36" i="6" s="1"/>
  <c r="AK53" i="6"/>
  <c r="AL53" i="6" s="1"/>
  <c r="AM53" i="6" s="1"/>
  <c r="AK22" i="6"/>
  <c r="AL22" i="6" s="1"/>
  <c r="AM22" i="6" s="1"/>
  <c r="AK34" i="6"/>
  <c r="AL34" i="6" s="1"/>
  <c r="AM34" i="6" s="1"/>
  <c r="AK62" i="6"/>
  <c r="AL62" i="6" s="1"/>
  <c r="AM62" i="6" s="1"/>
  <c r="AK65" i="6"/>
  <c r="AL65" i="6" s="1"/>
  <c r="AM65" i="6" s="1"/>
  <c r="AK47" i="6"/>
  <c r="AL47" i="6" s="1"/>
  <c r="AM47" i="6" s="1"/>
  <c r="R55" i="6"/>
  <c r="AG55" i="6" s="1"/>
  <c r="Z51" i="6"/>
  <c r="AA51" i="6" s="1"/>
  <c r="AB51" i="6" s="1"/>
  <c r="BJ51" i="6" s="1"/>
  <c r="U55" i="6"/>
  <c r="Z30" i="6"/>
  <c r="AA30" i="6" s="1"/>
  <c r="AB30" i="6" s="1"/>
  <c r="BJ30" i="6" s="1"/>
  <c r="AC62" i="6"/>
  <c r="AD62" i="6" s="1"/>
  <c r="AE62" i="6" s="1"/>
  <c r="Z62" i="6"/>
  <c r="AA62" i="6" s="1"/>
  <c r="AB62" i="6" s="1"/>
  <c r="BJ62" i="6" s="1"/>
  <c r="AC15" i="6"/>
  <c r="AD15" i="6" s="1"/>
  <c r="AE15" i="6" s="1"/>
  <c r="Z15" i="6"/>
  <c r="AA15" i="6" s="1"/>
  <c r="AB15" i="6" s="1"/>
  <c r="BJ15" i="6" s="1"/>
  <c r="Z58" i="6"/>
  <c r="AA58" i="6" s="1"/>
  <c r="AB58" i="6" s="1"/>
  <c r="BJ58" i="6" s="1"/>
  <c r="S38" i="6"/>
  <c r="AV38" i="6" s="1"/>
  <c r="BH38" i="6" s="1"/>
  <c r="P38" i="6"/>
  <c r="Q38" i="6"/>
  <c r="R38" i="6" s="1"/>
  <c r="AG38" i="6" s="1"/>
  <c r="W38" i="6"/>
  <c r="X38" i="6" s="1"/>
  <c r="Y38" i="6" s="1"/>
  <c r="BK38" i="6" s="1"/>
  <c r="Z52" i="6"/>
  <c r="AA52" i="6" s="1"/>
  <c r="AB52" i="6" s="1"/>
  <c r="BJ52" i="6" s="1"/>
  <c r="T61" i="6"/>
  <c r="W50" i="6"/>
  <c r="X50" i="6" s="1"/>
  <c r="Y50" i="6" s="1"/>
  <c r="BK50" i="6" s="1"/>
  <c r="P50" i="6"/>
  <c r="Q50" i="6"/>
  <c r="R50" i="6" s="1"/>
  <c r="AG50" i="6" s="1"/>
  <c r="S50" i="6"/>
  <c r="AV50" i="6" s="1"/>
  <c r="BH50" i="6" s="1"/>
  <c r="AC54" i="6"/>
  <c r="AD54" i="6" s="1"/>
  <c r="AE54" i="6" s="1"/>
  <c r="S54" i="6"/>
  <c r="AV54" i="6" s="1"/>
  <c r="BH54" i="6" s="1"/>
  <c r="P54" i="6"/>
  <c r="Q54" i="6"/>
  <c r="R54" i="6" s="1"/>
  <c r="AG54" i="6" s="1"/>
  <c r="W54" i="6"/>
  <c r="X54" i="6" s="1"/>
  <c r="Y54" i="6" s="1"/>
  <c r="BK54" i="6" s="1"/>
  <c r="Q41" i="6"/>
  <c r="R41" i="6" s="1"/>
  <c r="AG41" i="6" s="1"/>
  <c r="W41" i="6"/>
  <c r="X41" i="6" s="1"/>
  <c r="Y41" i="6" s="1"/>
  <c r="BK41" i="6" s="1"/>
  <c r="P41" i="6"/>
  <c r="S41" i="6"/>
  <c r="AV41" i="6" s="1"/>
  <c r="BH41" i="6" s="1"/>
  <c r="W43" i="6"/>
  <c r="X43" i="6" s="1"/>
  <c r="Y43" i="6" s="1"/>
  <c r="BK43" i="6" s="1"/>
  <c r="S43" i="6"/>
  <c r="AV43" i="6" s="1"/>
  <c r="BH43" i="6" s="1"/>
  <c r="Q43" i="6"/>
  <c r="R43" i="6" s="1"/>
  <c r="AG43" i="6" s="1"/>
  <c r="P43" i="6"/>
  <c r="P33" i="6"/>
  <c r="Q33" i="6"/>
  <c r="R33" i="6" s="1"/>
  <c r="AG33" i="6" s="1"/>
  <c r="S33" i="6"/>
  <c r="AV33" i="6" s="1"/>
  <c r="BH33" i="6" s="1"/>
  <c r="W33" i="6"/>
  <c r="X33" i="6" s="1"/>
  <c r="Y33" i="6" s="1"/>
  <c r="BK33" i="6" s="1"/>
  <c r="P45" i="6"/>
  <c r="Q45" i="6"/>
  <c r="R45" i="6" s="1"/>
  <c r="AG45" i="6" s="1"/>
  <c r="S45" i="6"/>
  <c r="AV45" i="6" s="1"/>
  <c r="BH45" i="6" s="1"/>
  <c r="W45" i="6"/>
  <c r="X45" i="6" s="1"/>
  <c r="Y45" i="6" s="1"/>
  <c r="BK45" i="6" s="1"/>
  <c r="W52" i="6"/>
  <c r="X52" i="6" s="1"/>
  <c r="Y52" i="6" s="1"/>
  <c r="BK52" i="6" s="1"/>
  <c r="P52" i="6"/>
  <c r="S52" i="6"/>
  <c r="AV52" i="6" s="1"/>
  <c r="BH52" i="6" s="1"/>
  <c r="Q52" i="6"/>
  <c r="R52" i="6" s="1"/>
  <c r="AG52" i="6" s="1"/>
  <c r="Q46" i="6"/>
  <c r="R46" i="6" s="1"/>
  <c r="AG46" i="6" s="1"/>
  <c r="S46" i="6"/>
  <c r="AV46" i="6" s="1"/>
  <c r="BH46" i="6" s="1"/>
  <c r="P46" i="6"/>
  <c r="W46" i="6"/>
  <c r="X46" i="6" s="1"/>
  <c r="Y46" i="6" s="1"/>
  <c r="BK46" i="6" s="1"/>
  <c r="Q42" i="6"/>
  <c r="R42" i="6" s="1"/>
  <c r="AG42" i="6" s="1"/>
  <c r="W42" i="6"/>
  <c r="X42" i="6" s="1"/>
  <c r="Y42" i="6" s="1"/>
  <c r="BK42" i="6" s="1"/>
  <c r="P42" i="6"/>
  <c r="S42" i="6"/>
  <c r="AV42" i="6" s="1"/>
  <c r="BH42" i="6" s="1"/>
  <c r="AC45" i="6"/>
  <c r="AD45" i="6" s="1"/>
  <c r="AE45" i="6" s="1"/>
  <c r="W47" i="6"/>
  <c r="X47" i="6" s="1"/>
  <c r="Y47" i="6" s="1"/>
  <c r="BK47" i="6" s="1"/>
  <c r="P47" i="6"/>
  <c r="S47" i="6"/>
  <c r="AV47" i="6" s="1"/>
  <c r="BH47" i="6" s="1"/>
  <c r="Q47" i="6"/>
  <c r="R47" i="6" s="1"/>
  <c r="AG47" i="6" s="1"/>
  <c r="AC42" i="6"/>
  <c r="AD42" i="6" s="1"/>
  <c r="AE42" i="6" s="1"/>
  <c r="Z50" i="6"/>
  <c r="AA50" i="6" s="1"/>
  <c r="AB50" i="6" s="1"/>
  <c r="BJ50" i="6" s="1"/>
  <c r="P58" i="6"/>
  <c r="Q58" i="6"/>
  <c r="R58" i="6" s="1"/>
  <c r="AG58" i="6" s="1"/>
  <c r="S58" i="6"/>
  <c r="AV58" i="6" s="1"/>
  <c r="BH58" i="6" s="1"/>
  <c r="W58" i="6"/>
  <c r="X58" i="6" s="1"/>
  <c r="Y58" i="6" s="1"/>
  <c r="BK58" i="6" s="1"/>
  <c r="S66" i="6"/>
  <c r="AV66" i="6" s="1"/>
  <c r="BH66" i="6" s="1"/>
  <c r="P66" i="6"/>
  <c r="Q66" i="6"/>
  <c r="R66" i="6" s="1"/>
  <c r="AG66" i="6" s="1"/>
  <c r="W66" i="6"/>
  <c r="X66" i="6" s="1"/>
  <c r="Y66" i="6" s="1"/>
  <c r="BK66" i="6" s="1"/>
  <c r="P59" i="6"/>
  <c r="S59" i="6"/>
  <c r="AV59" i="6" s="1"/>
  <c r="BH59" i="6" s="1"/>
  <c r="Q59" i="6"/>
  <c r="R59" i="6" s="1"/>
  <c r="AG59" i="6" s="1"/>
  <c r="W59" i="6"/>
  <c r="X59" i="6" s="1"/>
  <c r="Y59" i="6" s="1"/>
  <c r="BK59" i="6" s="1"/>
  <c r="Z37" i="6"/>
  <c r="AA37" i="6" s="1"/>
  <c r="AB37" i="6" s="1"/>
  <c r="BJ37" i="6" s="1"/>
  <c r="Z45" i="6"/>
  <c r="AA45" i="6" s="1"/>
  <c r="AB45" i="6" s="1"/>
  <c r="BJ45" i="6" s="1"/>
  <c r="W56" i="6"/>
  <c r="X56" i="6" s="1"/>
  <c r="Y56" i="6" s="1"/>
  <c r="BK56" i="6" s="1"/>
  <c r="S56" i="6"/>
  <c r="AV56" i="6" s="1"/>
  <c r="BH56" i="6" s="1"/>
  <c r="Q56" i="6"/>
  <c r="R56" i="6" s="1"/>
  <c r="AG56" i="6" s="1"/>
  <c r="P56" i="6"/>
  <c r="Z59" i="6"/>
  <c r="AA59" i="6" s="1"/>
  <c r="AB59" i="6" s="1"/>
  <c r="BJ59" i="6" s="1"/>
  <c r="Q29" i="6"/>
  <c r="R29" i="6" s="1"/>
  <c r="AG29" i="6" s="1"/>
  <c r="W29" i="6"/>
  <c r="X29" i="6" s="1"/>
  <c r="Y29" i="6" s="1"/>
  <c r="BK29" i="6" s="1"/>
  <c r="AC29" i="6"/>
  <c r="AD29" i="6" s="1"/>
  <c r="AE29" i="6" s="1"/>
  <c r="S29" i="6"/>
  <c r="AV29" i="6" s="1"/>
  <c r="BH29" i="6" s="1"/>
  <c r="P29" i="6"/>
  <c r="Z66" i="6"/>
  <c r="AA66" i="6" s="1"/>
  <c r="AB66" i="6" s="1"/>
  <c r="BJ66" i="6" s="1"/>
  <c r="AC37" i="6"/>
  <c r="AD37" i="6" s="1"/>
  <c r="AE37" i="6" s="1"/>
  <c r="S15" i="6"/>
  <c r="AV15" i="6" s="1"/>
  <c r="BH15" i="6" s="1"/>
  <c r="P15" i="6"/>
  <c r="Q15" i="6"/>
  <c r="R15" i="6" s="1"/>
  <c r="AG15" i="6" s="1"/>
  <c r="W15" i="6"/>
  <c r="X15" i="6" s="1"/>
  <c r="Y15" i="6" s="1"/>
  <c r="BK15" i="6" s="1"/>
  <c r="AC59" i="6"/>
  <c r="AD59" i="6" s="1"/>
  <c r="AE59" i="6" s="1"/>
  <c r="Z56" i="6"/>
  <c r="AA56" i="6" s="1"/>
  <c r="AB56" i="6" s="1"/>
  <c r="BJ56" i="6" s="1"/>
  <c r="S36" i="6"/>
  <c r="AV36" i="6" s="1"/>
  <c r="BH36" i="6" s="1"/>
  <c r="Q36" i="6"/>
  <c r="R36" i="6" s="1"/>
  <c r="AG36" i="6" s="1"/>
  <c r="P36" i="6"/>
  <c r="W36" i="6"/>
  <c r="X36" i="6" s="1"/>
  <c r="Y36" i="6" s="1"/>
  <c r="BK36" i="6" s="1"/>
  <c r="AC66" i="6"/>
  <c r="AD66" i="6" s="1"/>
  <c r="AE66" i="6" s="1"/>
  <c r="W30" i="6"/>
  <c r="X30" i="6" s="1"/>
  <c r="Y30" i="6" s="1"/>
  <c r="BK30" i="6" s="1"/>
  <c r="S30" i="6"/>
  <c r="AV30" i="6" s="1"/>
  <c r="BH30" i="6" s="1"/>
  <c r="Q30" i="6"/>
  <c r="R30" i="6" s="1"/>
  <c r="AG30" i="6" s="1"/>
  <c r="P30" i="6"/>
  <c r="T20" i="6"/>
  <c r="S62" i="6"/>
  <c r="AV62" i="6" s="1"/>
  <c r="BH62" i="6" s="1"/>
  <c r="P62" i="6"/>
  <c r="W62" i="6"/>
  <c r="X62" i="6" s="1"/>
  <c r="Y62" i="6" s="1"/>
  <c r="BK62" i="6" s="1"/>
  <c r="Q62" i="6"/>
  <c r="R62" i="6" s="1"/>
  <c r="AG62" i="6" s="1"/>
  <c r="AC56" i="6"/>
  <c r="AD56" i="6" s="1"/>
  <c r="AE56" i="6" s="1"/>
  <c r="P37" i="6"/>
  <c r="S37" i="6"/>
  <c r="AV37" i="6" s="1"/>
  <c r="BH37" i="6" s="1"/>
  <c r="Q37" i="6"/>
  <c r="R37" i="6" s="1"/>
  <c r="AG37" i="6" s="1"/>
  <c r="W37" i="6"/>
  <c r="X37" i="6" s="1"/>
  <c r="Y37" i="6" s="1"/>
  <c r="BK37" i="6" s="1"/>
  <c r="T21" i="6"/>
  <c r="W39" i="6"/>
  <c r="X39" i="6" s="1"/>
  <c r="Y39" i="6" s="1"/>
  <c r="BK39" i="6" s="1"/>
  <c r="P39" i="6"/>
  <c r="Z39" i="6"/>
  <c r="AA39" i="6" s="1"/>
  <c r="AB39" i="6" s="1"/>
  <c r="BJ39" i="6" s="1"/>
  <c r="Q39" i="6"/>
  <c r="R39" i="6" s="1"/>
  <c r="AG39" i="6" s="1"/>
  <c r="S39" i="6"/>
  <c r="AV39" i="6" s="1"/>
  <c r="BH39" i="6" s="1"/>
  <c r="AC43" i="6"/>
  <c r="AD43" i="6" s="1"/>
  <c r="AE43" i="6" s="1"/>
  <c r="AC46" i="6"/>
  <c r="AD46" i="6" s="1"/>
  <c r="AE46" i="6" s="1"/>
  <c r="Z47" i="6"/>
  <c r="AA47" i="6" s="1"/>
  <c r="AB47" i="6" s="1"/>
  <c r="BJ47" i="6" s="1"/>
  <c r="Z34" i="6"/>
  <c r="AA34" i="6" s="1"/>
  <c r="AB34" i="6" s="1"/>
  <c r="BJ34" i="6" s="1"/>
  <c r="Q34" i="6"/>
  <c r="R34" i="6" s="1"/>
  <c r="AG34" i="6" s="1"/>
  <c r="S34" i="6"/>
  <c r="AV34" i="6" s="1"/>
  <c r="BH34" i="6" s="1"/>
  <c r="P34" i="6"/>
  <c r="W34" i="6"/>
  <c r="X34" i="6" s="1"/>
  <c r="Y34" i="6" s="1"/>
  <c r="BK34" i="6" s="1"/>
  <c r="AC36" i="6"/>
  <c r="AD36" i="6" s="1"/>
  <c r="AE36" i="6" s="1"/>
  <c r="Z41" i="6"/>
  <c r="AA41" i="6" s="1"/>
  <c r="AB41" i="6" s="1"/>
  <c r="BJ41" i="6" s="1"/>
  <c r="W28" i="6"/>
  <c r="X28" i="6" s="1"/>
  <c r="Y28" i="6" s="1"/>
  <c r="BK28" i="6" s="1"/>
  <c r="AC28" i="6"/>
  <c r="AD28" i="6" s="1"/>
  <c r="AE28" i="6" s="1"/>
  <c r="P28" i="6"/>
  <c r="Q28" i="6"/>
  <c r="R28" i="6" s="1"/>
  <c r="AG28" i="6" s="1"/>
  <c r="S28" i="6"/>
  <c r="AV28" i="6" s="1"/>
  <c r="BH28" i="6" s="1"/>
  <c r="Z28" i="6"/>
  <c r="AA28" i="6" s="1"/>
  <c r="AB28" i="6" s="1"/>
  <c r="BJ28" i="6" s="1"/>
  <c r="Z33" i="6"/>
  <c r="AA33" i="6" s="1"/>
  <c r="AB33" i="6" s="1"/>
  <c r="BJ33" i="6" s="1"/>
  <c r="Z46" i="6"/>
  <c r="AA46" i="6" s="1"/>
  <c r="AB46" i="6" s="1"/>
  <c r="BJ46" i="6" s="1"/>
  <c r="S51" i="6"/>
  <c r="AV51" i="6" s="1"/>
  <c r="BH51" i="6" s="1"/>
  <c r="Q51" i="6"/>
  <c r="R51" i="6" s="1"/>
  <c r="AG51" i="6" s="1"/>
  <c r="P51" i="6"/>
  <c r="W51" i="6"/>
  <c r="X51" i="6" s="1"/>
  <c r="Y51" i="6" s="1"/>
  <c r="BK51" i="6" s="1"/>
  <c r="AC34" i="6"/>
  <c r="AD34" i="6" s="1"/>
  <c r="AE34" i="6" s="1"/>
  <c r="AC58" i="6"/>
  <c r="AD58" i="6" s="1"/>
  <c r="AE58" i="6" s="1"/>
  <c r="AC47" i="6"/>
  <c r="AD47" i="6" s="1"/>
  <c r="AE47" i="6" s="1"/>
  <c r="J71" i="6"/>
  <c r="O69" i="6"/>
  <c r="N70" i="6"/>
  <c r="X68" i="6"/>
  <c r="Y68" i="6" s="1"/>
  <c r="BK68" i="6" s="1"/>
  <c r="G65" i="1"/>
  <c r="C153" i="2"/>
  <c r="F153" i="2" s="1"/>
  <c r="G106" i="1" s="1"/>
  <c r="C108" i="2"/>
  <c r="F108" i="2" s="1"/>
  <c r="C107" i="2"/>
  <c r="C124" i="2"/>
  <c r="F124" i="2" s="1"/>
  <c r="J135" i="7" l="1"/>
  <c r="AH63" i="6"/>
  <c r="AO13" i="6"/>
  <c r="AH48" i="6"/>
  <c r="J24" i="7"/>
  <c r="AB24" i="7" s="1"/>
  <c r="J72" i="7"/>
  <c r="J98" i="7"/>
  <c r="AB98" i="7" s="1"/>
  <c r="J101" i="7"/>
  <c r="AB101" i="7" s="1"/>
  <c r="J37" i="7"/>
  <c r="I84" i="7"/>
  <c r="AA84" i="7" s="1"/>
  <c r="I75" i="7"/>
  <c r="AA75" i="7" s="1"/>
  <c r="J15" i="7"/>
  <c r="AB15" i="7" s="1"/>
  <c r="J79" i="7"/>
  <c r="J97" i="7"/>
  <c r="J32" i="7"/>
  <c r="J13" i="7"/>
  <c r="J50" i="7"/>
  <c r="AB50" i="7" s="1"/>
  <c r="I134" i="7"/>
  <c r="AA134" i="7" s="1"/>
  <c r="J27" i="7"/>
  <c r="AB27" i="7" s="1"/>
  <c r="I71" i="7"/>
  <c r="AA71" i="7" s="1"/>
  <c r="I92" i="7"/>
  <c r="AA92" i="7" s="1"/>
  <c r="I79" i="7"/>
  <c r="AA79" i="7" s="1"/>
  <c r="J23" i="7"/>
  <c r="AB23" i="7" s="1"/>
  <c r="J125" i="7"/>
  <c r="AB125" i="7" s="1"/>
  <c r="I77" i="7"/>
  <c r="AA77" i="7" s="1"/>
  <c r="I101" i="7"/>
  <c r="AA101" i="7" s="1"/>
  <c r="J35" i="7"/>
  <c r="AB35" i="7" s="1"/>
  <c r="I100" i="7"/>
  <c r="AA100" i="7" s="1"/>
  <c r="AH57" i="6"/>
  <c r="AH65" i="6"/>
  <c r="AH40" i="6"/>
  <c r="I95" i="7"/>
  <c r="AA95" i="7" s="1"/>
  <c r="J31" i="7"/>
  <c r="I126" i="7"/>
  <c r="AA126" i="7" s="1"/>
  <c r="I65" i="7"/>
  <c r="AA65" i="7" s="1"/>
  <c r="J105" i="7"/>
  <c r="J104" i="7"/>
  <c r="AB104" i="7" s="1"/>
  <c r="I25" i="7"/>
  <c r="AA25" i="7" s="1"/>
  <c r="J70" i="7"/>
  <c r="AB70" i="7" s="1"/>
  <c r="J121" i="7"/>
  <c r="AB121" i="7" s="1"/>
  <c r="J20" i="7"/>
  <c r="AB20" i="7" s="1"/>
  <c r="J51" i="7"/>
  <c r="AB51" i="7" s="1"/>
  <c r="J113" i="7"/>
  <c r="AB113" i="7" s="1"/>
  <c r="I46" i="7"/>
  <c r="AA46" i="7" s="1"/>
  <c r="I133" i="7"/>
  <c r="AA133" i="7" s="1"/>
  <c r="I112" i="7"/>
  <c r="AA112" i="7" s="1"/>
  <c r="J18" i="7"/>
  <c r="AB18" i="7" s="1"/>
  <c r="J85" i="7"/>
  <c r="J87" i="7"/>
  <c r="AB87" i="7" s="1"/>
  <c r="I82" i="7"/>
  <c r="AA82" i="7" s="1"/>
  <c r="J26" i="7"/>
  <c r="J93" i="7"/>
  <c r="AB93" i="7" s="1"/>
  <c r="J95" i="7"/>
  <c r="AB95" i="7" s="1"/>
  <c r="I106" i="7"/>
  <c r="AA106" i="7" s="1"/>
  <c r="I35" i="7"/>
  <c r="AA35" i="7" s="1"/>
  <c r="J103" i="7"/>
  <c r="AB103" i="7" s="1"/>
  <c r="J76" i="7"/>
  <c r="AB76" i="7" s="1"/>
  <c r="I118" i="7"/>
  <c r="AA118" i="7" s="1"/>
  <c r="I90" i="7"/>
  <c r="AA90" i="7" s="1"/>
  <c r="I23" i="7"/>
  <c r="AA23" i="7" s="1"/>
  <c r="I64" i="7"/>
  <c r="AA64" i="7" s="1"/>
  <c r="I14" i="7"/>
  <c r="AA14" i="7" s="1"/>
  <c r="I16" i="7"/>
  <c r="AA16" i="7" s="1"/>
  <c r="I17" i="7"/>
  <c r="AA17" i="7" s="1"/>
  <c r="J82" i="7"/>
  <c r="AB82" i="7" s="1"/>
  <c r="I22" i="7"/>
  <c r="AA22" i="7" s="1"/>
  <c r="I24" i="7"/>
  <c r="AA24" i="7" s="1"/>
  <c r="I74" i="7"/>
  <c r="AA74" i="7" s="1"/>
  <c r="J90" i="7"/>
  <c r="AB90" i="7" s="1"/>
  <c r="I30" i="7"/>
  <c r="AA30" i="7" s="1"/>
  <c r="I32" i="7"/>
  <c r="AA32" i="7" s="1"/>
  <c r="I89" i="7"/>
  <c r="AA89" i="7" s="1"/>
  <c r="I99" i="7"/>
  <c r="AA99" i="7" s="1"/>
  <c r="I40" i="7"/>
  <c r="AA40" i="7" s="1"/>
  <c r="I69" i="7"/>
  <c r="AA69" i="7" s="1"/>
  <c r="J86" i="7"/>
  <c r="AB86" i="7" s="1"/>
  <c r="I117" i="7"/>
  <c r="AA117" i="7" s="1"/>
  <c r="I120" i="7"/>
  <c r="AA120" i="7" s="1"/>
  <c r="J17" i="7"/>
  <c r="AB17" i="7" s="1"/>
  <c r="I78" i="7"/>
  <c r="AA78" i="7" s="1"/>
  <c r="I80" i="7"/>
  <c r="AA80" i="7" s="1"/>
  <c r="I33" i="7"/>
  <c r="AA33" i="7" s="1"/>
  <c r="I19" i="7"/>
  <c r="AA19" i="7" s="1"/>
  <c r="I86" i="7"/>
  <c r="AA86" i="7" s="1"/>
  <c r="I88" i="7"/>
  <c r="AA88" i="7" s="1"/>
  <c r="I114" i="7"/>
  <c r="AA114" i="7" s="1"/>
  <c r="I27" i="7"/>
  <c r="AA27" i="7" s="1"/>
  <c r="I94" i="7"/>
  <c r="AA94" i="7" s="1"/>
  <c r="I96" i="7"/>
  <c r="AA96" i="7" s="1"/>
  <c r="J84" i="7"/>
  <c r="J43" i="7"/>
  <c r="AB43" i="7" s="1"/>
  <c r="I104" i="7"/>
  <c r="AA104" i="7" s="1"/>
  <c r="J42" i="7"/>
  <c r="AB42" i="7" s="1"/>
  <c r="J111" i="7"/>
  <c r="AB111" i="7" s="1"/>
  <c r="J132" i="7"/>
  <c r="AB132" i="7" s="1"/>
  <c r="I136" i="7"/>
  <c r="AA136" i="7" s="1"/>
  <c r="I18" i="7"/>
  <c r="AA18" i="7" s="1"/>
  <c r="J138" i="7"/>
  <c r="AB138" i="7" s="1"/>
  <c r="J78" i="7"/>
  <c r="AB78" i="7" s="1"/>
  <c r="J33" i="7"/>
  <c r="AB33" i="7" s="1"/>
  <c r="I85" i="7"/>
  <c r="AA85" i="7" s="1"/>
  <c r="I83" i="7"/>
  <c r="AA83" i="7" s="1"/>
  <c r="J94" i="7"/>
  <c r="AB94" i="7" s="1"/>
  <c r="J41" i="7"/>
  <c r="AB41" i="7" s="1"/>
  <c r="I21" i="7"/>
  <c r="AA21" i="7" s="1"/>
  <c r="I91" i="7"/>
  <c r="AA91" i="7" s="1"/>
  <c r="J102" i="7"/>
  <c r="J49" i="7"/>
  <c r="AB49" i="7" s="1"/>
  <c r="I13" i="7"/>
  <c r="AA13" i="7" s="1"/>
  <c r="J107" i="7"/>
  <c r="AB107" i="7" s="1"/>
  <c r="J57" i="7"/>
  <c r="AB57" i="7" s="1"/>
  <c r="I107" i="7"/>
  <c r="AA107" i="7" s="1"/>
  <c r="I48" i="7"/>
  <c r="AA48" i="7" s="1"/>
  <c r="J68" i="7"/>
  <c r="I49" i="7"/>
  <c r="AA49" i="7" s="1"/>
  <c r="J44" i="7"/>
  <c r="AB44" i="7" s="1"/>
  <c r="J83" i="7"/>
  <c r="AB83" i="7" s="1"/>
  <c r="J38" i="7"/>
  <c r="AB38" i="7" s="1"/>
  <c r="I34" i="7"/>
  <c r="AA34" i="7" s="1"/>
  <c r="I93" i="7"/>
  <c r="AA93" i="7" s="1"/>
  <c r="J91" i="7"/>
  <c r="J46" i="7"/>
  <c r="AB46" i="7" s="1"/>
  <c r="I42" i="7"/>
  <c r="AA42" i="7" s="1"/>
  <c r="J69" i="7"/>
  <c r="AB69" i="7" s="1"/>
  <c r="J99" i="7"/>
  <c r="AB99" i="7" s="1"/>
  <c r="J54" i="7"/>
  <c r="AB54" i="7" s="1"/>
  <c r="I50" i="7"/>
  <c r="AA50" i="7" s="1"/>
  <c r="I125" i="7"/>
  <c r="AA125" i="7" s="1"/>
  <c r="I38" i="7"/>
  <c r="AA38" i="7" s="1"/>
  <c r="I138" i="7"/>
  <c r="AA138" i="7" s="1"/>
  <c r="J115" i="7"/>
  <c r="AB115" i="7" s="1"/>
  <c r="J65" i="7"/>
  <c r="AB65" i="7" s="1"/>
  <c r="J117" i="7"/>
  <c r="AB117" i="7" s="1"/>
  <c r="J40" i="7"/>
  <c r="AB40" i="7" s="1"/>
  <c r="I20" i="7"/>
  <c r="AA20" i="7" s="1"/>
  <c r="I31" i="7"/>
  <c r="AA31" i="7" s="1"/>
  <c r="I97" i="7"/>
  <c r="AA97" i="7" s="1"/>
  <c r="J92" i="7"/>
  <c r="AB92" i="7" s="1"/>
  <c r="I28" i="7"/>
  <c r="AA28" i="7" s="1"/>
  <c r="I47" i="7"/>
  <c r="AA47" i="7" s="1"/>
  <c r="I129" i="7"/>
  <c r="AA129" i="7" s="1"/>
  <c r="J61" i="7"/>
  <c r="I36" i="7"/>
  <c r="AA36" i="7" s="1"/>
  <c r="I63" i="7"/>
  <c r="AA63" i="7" s="1"/>
  <c r="I98" i="7"/>
  <c r="AA98" i="7" s="1"/>
  <c r="J34" i="7"/>
  <c r="I102" i="7"/>
  <c r="AA102" i="7" s="1"/>
  <c r="J112" i="7"/>
  <c r="AB112" i="7" s="1"/>
  <c r="J109" i="7"/>
  <c r="AB109" i="7" s="1"/>
  <c r="J129" i="7"/>
  <c r="I54" i="7"/>
  <c r="AA54" i="7" s="1"/>
  <c r="J58" i="7"/>
  <c r="AB58" i="7" s="1"/>
  <c r="J122" i="7"/>
  <c r="AB122" i="7" s="1"/>
  <c r="I59" i="7"/>
  <c r="AA59" i="7" s="1"/>
  <c r="J118" i="7"/>
  <c r="AB118" i="7" s="1"/>
  <c r="I58" i="7"/>
  <c r="AA58" i="7" s="1"/>
  <c r="J106" i="7"/>
  <c r="AB106" i="7" s="1"/>
  <c r="J134" i="7"/>
  <c r="AB134" i="7" s="1"/>
  <c r="I66" i="7"/>
  <c r="AA66" i="7" s="1"/>
  <c r="J114" i="7"/>
  <c r="AB114" i="7" s="1"/>
  <c r="J73" i="7"/>
  <c r="AB73" i="7" s="1"/>
  <c r="I123" i="7"/>
  <c r="AA123" i="7" s="1"/>
  <c r="I111" i="7"/>
  <c r="AA111" i="7" s="1"/>
  <c r="I41" i="7"/>
  <c r="AA41" i="7" s="1"/>
  <c r="I43" i="7"/>
  <c r="AA43" i="7" s="1"/>
  <c r="I127" i="7"/>
  <c r="AA127" i="7" s="1"/>
  <c r="I121" i="7"/>
  <c r="AA121" i="7" s="1"/>
  <c r="J59" i="7"/>
  <c r="AB59" i="7" s="1"/>
  <c r="J137" i="7"/>
  <c r="J67" i="7"/>
  <c r="AO67" i="7" s="1"/>
  <c r="I113" i="7"/>
  <c r="AA113" i="7" s="1"/>
  <c r="I51" i="7"/>
  <c r="AA51" i="7" s="1"/>
  <c r="J119" i="7"/>
  <c r="AB119" i="7" s="1"/>
  <c r="J45" i="7"/>
  <c r="AB45" i="7" s="1"/>
  <c r="I62" i="7"/>
  <c r="AA62" i="7" s="1"/>
  <c r="I115" i="7"/>
  <c r="AA115" i="7" s="1"/>
  <c r="I56" i="7"/>
  <c r="AA56" i="7" s="1"/>
  <c r="J60" i="7"/>
  <c r="J30" i="7"/>
  <c r="AB30" i="7" s="1"/>
  <c r="J14" i="7"/>
  <c r="AB14" i="7" s="1"/>
  <c r="J127" i="7"/>
  <c r="AB127" i="7" s="1"/>
  <c r="AN14" i="6"/>
  <c r="J130" i="7"/>
  <c r="AB130" i="7" s="1"/>
  <c r="I39" i="7"/>
  <c r="AA39" i="7" s="1"/>
  <c r="J81" i="7"/>
  <c r="AO81" i="7" s="1"/>
  <c r="J96" i="7"/>
  <c r="J123" i="7"/>
  <c r="AB123" i="7" s="1"/>
  <c r="J110" i="7"/>
  <c r="AB110" i="7" s="1"/>
  <c r="J56" i="7"/>
  <c r="J53" i="7"/>
  <c r="AB53" i="7" s="1"/>
  <c r="J131" i="7"/>
  <c r="AB131" i="7" s="1"/>
  <c r="J126" i="7"/>
  <c r="AO125" i="7" s="1"/>
  <c r="J120" i="7"/>
  <c r="AO12" i="6"/>
  <c r="I44" i="7"/>
  <c r="AA44" i="7" s="1"/>
  <c r="I87" i="7"/>
  <c r="AA87" i="7" s="1"/>
  <c r="I130" i="7"/>
  <c r="AA130" i="7" s="1"/>
  <c r="I61" i="7"/>
  <c r="AA61" i="7" s="1"/>
  <c r="I52" i="7"/>
  <c r="AA52" i="7" s="1"/>
  <c r="I103" i="7"/>
  <c r="AA103" i="7" s="1"/>
  <c r="J48" i="7"/>
  <c r="AB48" i="7" s="1"/>
  <c r="J124" i="7"/>
  <c r="I60" i="7"/>
  <c r="AA60" i="7" s="1"/>
  <c r="I119" i="7"/>
  <c r="AA119" i="7" s="1"/>
  <c r="I122" i="7"/>
  <c r="AA122" i="7" s="1"/>
  <c r="J116" i="7"/>
  <c r="AB116" i="7" s="1"/>
  <c r="I68" i="7"/>
  <c r="AA68" i="7" s="1"/>
  <c r="I135" i="7"/>
  <c r="AA135" i="7" s="1"/>
  <c r="J64" i="7"/>
  <c r="AB64" i="7" s="1"/>
  <c r="J136" i="7"/>
  <c r="AB136" i="7" s="1"/>
  <c r="I37" i="7"/>
  <c r="AA37" i="7" s="1"/>
  <c r="I108" i="7"/>
  <c r="AA108" i="7" s="1"/>
  <c r="J39" i="7"/>
  <c r="AB39" i="7" s="1"/>
  <c r="I73" i="7"/>
  <c r="AA73" i="7" s="1"/>
  <c r="J100" i="7"/>
  <c r="I116" i="7"/>
  <c r="AA116" i="7" s="1"/>
  <c r="J47" i="7"/>
  <c r="I105" i="7"/>
  <c r="AA105" i="7" s="1"/>
  <c r="J36" i="7"/>
  <c r="I124" i="7"/>
  <c r="AA124" i="7" s="1"/>
  <c r="J55" i="7"/>
  <c r="AB55" i="7" s="1"/>
  <c r="I137" i="7"/>
  <c r="AA137" i="7" s="1"/>
  <c r="J29" i="7"/>
  <c r="AB29" i="7" s="1"/>
  <c r="I132" i="7"/>
  <c r="AA132" i="7" s="1"/>
  <c r="J63" i="7"/>
  <c r="J88" i="7"/>
  <c r="AB88" i="7" s="1"/>
  <c r="AN13" i="6"/>
  <c r="J62" i="7"/>
  <c r="AB62" i="7" s="1"/>
  <c r="I55" i="7"/>
  <c r="AA55" i="7" s="1"/>
  <c r="J19" i="7"/>
  <c r="AB19" i="7" s="1"/>
  <c r="J22" i="7"/>
  <c r="AB22" i="7" s="1"/>
  <c r="J52" i="7"/>
  <c r="AB52" i="7" s="1"/>
  <c r="I45" i="7"/>
  <c r="AA45" i="7" s="1"/>
  <c r="I26" i="7"/>
  <c r="AA26" i="7" s="1"/>
  <c r="I70" i="7"/>
  <c r="AA70" i="7" s="1"/>
  <c r="J16" i="7"/>
  <c r="AB16" i="7" s="1"/>
  <c r="I72" i="7"/>
  <c r="AA72" i="7" s="1"/>
  <c r="I109" i="7"/>
  <c r="AA109" i="7" s="1"/>
  <c r="J12" i="7"/>
  <c r="AB12" i="7" s="1"/>
  <c r="J25" i="7"/>
  <c r="J21" i="7"/>
  <c r="AB21" i="7" s="1"/>
  <c r="I15" i="7"/>
  <c r="AA15" i="7" s="1"/>
  <c r="J28" i="7"/>
  <c r="I131" i="7"/>
  <c r="AA131" i="7" s="1"/>
  <c r="J89" i="7"/>
  <c r="AO89" i="7" s="1"/>
  <c r="J77" i="7"/>
  <c r="AB77" i="7" s="1"/>
  <c r="J133" i="7"/>
  <c r="AH35" i="6"/>
  <c r="AH44" i="6"/>
  <c r="AH64" i="6"/>
  <c r="AH46" i="6"/>
  <c r="AH61" i="6"/>
  <c r="AH67" i="6"/>
  <c r="AH47" i="6"/>
  <c r="AH56" i="6"/>
  <c r="AH59" i="6"/>
  <c r="AH49" i="6"/>
  <c r="AH66" i="6"/>
  <c r="AH52" i="6"/>
  <c r="AH68" i="6"/>
  <c r="AH37" i="6"/>
  <c r="AH41" i="6"/>
  <c r="AH38" i="6"/>
  <c r="AH50" i="6"/>
  <c r="AH62" i="6"/>
  <c r="AO15" i="6"/>
  <c r="AN21" i="6"/>
  <c r="AN19" i="6"/>
  <c r="AO19" i="6"/>
  <c r="AN16" i="6"/>
  <c r="J74" i="7"/>
  <c r="AB74" i="7" s="1"/>
  <c r="BB16" i="7"/>
  <c r="BD16" i="7" s="1"/>
  <c r="BH16" i="7" s="1"/>
  <c r="BB20" i="7"/>
  <c r="BD20" i="7" s="1"/>
  <c r="BH20" i="7" s="1"/>
  <c r="BB24" i="7"/>
  <c r="BD24" i="7" s="1"/>
  <c r="BH24" i="7" s="1"/>
  <c r="BB28" i="7"/>
  <c r="BD28" i="7" s="1"/>
  <c r="BH28" i="7" s="1"/>
  <c r="BB32" i="7"/>
  <c r="BD32" i="7" s="1"/>
  <c r="BH32" i="7" s="1"/>
  <c r="BB36" i="7"/>
  <c r="BD36" i="7" s="1"/>
  <c r="BH36" i="7" s="1"/>
  <c r="BB40" i="7"/>
  <c r="BD40" i="7" s="1"/>
  <c r="BH40" i="7" s="1"/>
  <c r="BB44" i="7"/>
  <c r="BD44" i="7" s="1"/>
  <c r="BH44" i="7" s="1"/>
  <c r="BB48" i="7"/>
  <c r="BD48" i="7" s="1"/>
  <c r="BH48" i="7" s="1"/>
  <c r="BB52" i="7"/>
  <c r="BD52" i="7" s="1"/>
  <c r="BH52" i="7" s="1"/>
  <c r="BB56" i="7"/>
  <c r="BD56" i="7" s="1"/>
  <c r="BH56" i="7" s="1"/>
  <c r="BB60" i="7"/>
  <c r="BD60" i="7" s="1"/>
  <c r="BH60" i="7" s="1"/>
  <c r="BB64" i="7"/>
  <c r="BD64" i="7" s="1"/>
  <c r="BH64" i="7" s="1"/>
  <c r="BC16" i="7"/>
  <c r="BE16" i="7" s="1"/>
  <c r="BC20" i="7"/>
  <c r="BE20" i="7" s="1"/>
  <c r="BC24" i="7"/>
  <c r="BE24" i="7" s="1"/>
  <c r="BC28" i="7"/>
  <c r="BE28" i="7" s="1"/>
  <c r="BC32" i="7"/>
  <c r="BE32" i="7" s="1"/>
  <c r="BC36" i="7"/>
  <c r="BE36" i="7" s="1"/>
  <c r="BC40" i="7"/>
  <c r="BE40" i="7" s="1"/>
  <c r="BC44" i="7"/>
  <c r="BE44" i="7" s="1"/>
  <c r="BC48" i="7"/>
  <c r="BE48" i="7" s="1"/>
  <c r="BC52" i="7"/>
  <c r="BE52" i="7" s="1"/>
  <c r="BC56" i="7"/>
  <c r="BE56" i="7" s="1"/>
  <c r="BC60" i="7"/>
  <c r="BE60" i="7" s="1"/>
  <c r="BC64" i="7"/>
  <c r="BE64" i="7" s="1"/>
  <c r="BC68" i="7"/>
  <c r="BE68" i="7" s="1"/>
  <c r="BC72" i="7"/>
  <c r="BE72" i="7" s="1"/>
  <c r="BC76" i="7"/>
  <c r="BE76" i="7" s="1"/>
  <c r="BC80" i="7"/>
  <c r="BE80" i="7" s="1"/>
  <c r="BC84" i="7"/>
  <c r="BE84" i="7" s="1"/>
  <c r="BC88" i="7"/>
  <c r="BE88" i="7" s="1"/>
  <c r="BC92" i="7"/>
  <c r="BE92" i="7" s="1"/>
  <c r="BB13" i="7"/>
  <c r="BD13" i="7" s="1"/>
  <c r="BH13" i="7" s="1"/>
  <c r="BB17" i="7"/>
  <c r="BD17" i="7" s="1"/>
  <c r="BH17" i="7" s="1"/>
  <c r="BB21" i="7"/>
  <c r="BD21" i="7" s="1"/>
  <c r="BH21" i="7" s="1"/>
  <c r="BB25" i="7"/>
  <c r="BD25" i="7" s="1"/>
  <c r="BH25" i="7" s="1"/>
  <c r="BB29" i="7"/>
  <c r="BD29" i="7" s="1"/>
  <c r="BH29" i="7" s="1"/>
  <c r="BX28" i="7" s="1"/>
  <c r="BB33" i="7"/>
  <c r="BD33" i="7" s="1"/>
  <c r="BH33" i="7" s="1"/>
  <c r="BX32" i="7" s="1"/>
  <c r="BB37" i="7"/>
  <c r="BD37" i="7" s="1"/>
  <c r="BH37" i="7" s="1"/>
  <c r="BX36" i="7" s="1"/>
  <c r="BB41" i="7"/>
  <c r="BD41" i="7" s="1"/>
  <c r="BH41" i="7" s="1"/>
  <c r="BB45" i="7"/>
  <c r="BD45" i="7" s="1"/>
  <c r="BH45" i="7" s="1"/>
  <c r="BB49" i="7"/>
  <c r="BD49" i="7" s="1"/>
  <c r="BH49" i="7" s="1"/>
  <c r="BX48" i="7" s="1"/>
  <c r="BB53" i="7"/>
  <c r="BD53" i="7" s="1"/>
  <c r="BH53" i="7" s="1"/>
  <c r="BX52" i="7" s="1"/>
  <c r="BB57" i="7"/>
  <c r="BD57" i="7" s="1"/>
  <c r="BH57" i="7" s="1"/>
  <c r="BX56" i="7" s="1"/>
  <c r="BB61" i="7"/>
  <c r="BD61" i="7" s="1"/>
  <c r="BH61" i="7" s="1"/>
  <c r="BB65" i="7"/>
  <c r="BD65" i="7" s="1"/>
  <c r="BH65" i="7" s="1"/>
  <c r="BB69" i="7"/>
  <c r="BD69" i="7" s="1"/>
  <c r="BH69" i="7" s="1"/>
  <c r="BB73" i="7"/>
  <c r="BD73" i="7" s="1"/>
  <c r="BH73" i="7" s="1"/>
  <c r="BB77" i="7"/>
  <c r="BD77" i="7" s="1"/>
  <c r="BH77" i="7" s="1"/>
  <c r="BB81" i="7"/>
  <c r="BD81" i="7" s="1"/>
  <c r="BH81" i="7" s="1"/>
  <c r="BB85" i="7"/>
  <c r="BD85" i="7" s="1"/>
  <c r="BH85" i="7" s="1"/>
  <c r="BX84" i="7" s="1"/>
  <c r="BB89" i="7"/>
  <c r="BD89" i="7" s="1"/>
  <c r="BH89" i="7" s="1"/>
  <c r="BB93" i="7"/>
  <c r="BD93" i="7" s="1"/>
  <c r="BH93" i="7" s="1"/>
  <c r="BB97" i="7"/>
  <c r="BD97" i="7" s="1"/>
  <c r="BH97" i="7" s="1"/>
  <c r="BC13" i="7"/>
  <c r="BE13" i="7" s="1"/>
  <c r="BC17" i="7"/>
  <c r="BE17" i="7" s="1"/>
  <c r="BC21" i="7"/>
  <c r="BE21" i="7" s="1"/>
  <c r="BC25" i="7"/>
  <c r="BE25" i="7" s="1"/>
  <c r="BC29" i="7"/>
  <c r="BE29" i="7" s="1"/>
  <c r="BC33" i="7"/>
  <c r="BE33" i="7" s="1"/>
  <c r="BC37" i="7"/>
  <c r="BE37" i="7" s="1"/>
  <c r="BC41" i="7"/>
  <c r="BE41" i="7" s="1"/>
  <c r="BC45" i="7"/>
  <c r="BE45" i="7" s="1"/>
  <c r="BC49" i="7"/>
  <c r="BE49" i="7" s="1"/>
  <c r="BC53" i="7"/>
  <c r="BE53" i="7" s="1"/>
  <c r="BC57" i="7"/>
  <c r="BE57" i="7" s="1"/>
  <c r="BC61" i="7"/>
  <c r="BE61" i="7" s="1"/>
  <c r="BC65" i="7"/>
  <c r="BE65" i="7" s="1"/>
  <c r="BC69" i="7"/>
  <c r="BE69" i="7" s="1"/>
  <c r="BC73" i="7"/>
  <c r="BE73" i="7" s="1"/>
  <c r="BC77" i="7"/>
  <c r="BE77" i="7" s="1"/>
  <c r="BC81" i="7"/>
  <c r="BE81" i="7" s="1"/>
  <c r="BC85" i="7"/>
  <c r="BE85" i="7" s="1"/>
  <c r="BC89" i="7"/>
  <c r="BE89" i="7" s="1"/>
  <c r="BC93" i="7"/>
  <c r="BE93" i="7" s="1"/>
  <c r="BB14" i="7"/>
  <c r="BD14" i="7" s="1"/>
  <c r="BH14" i="7" s="1"/>
  <c r="BC14" i="7"/>
  <c r="BE14" i="7" s="1"/>
  <c r="BC18" i="7"/>
  <c r="BE18" i="7" s="1"/>
  <c r="BC22" i="7"/>
  <c r="BE22" i="7" s="1"/>
  <c r="BC26" i="7"/>
  <c r="BE26" i="7" s="1"/>
  <c r="BC30" i="7"/>
  <c r="BE30" i="7" s="1"/>
  <c r="BC34" i="7"/>
  <c r="BE34" i="7" s="1"/>
  <c r="BC38" i="7"/>
  <c r="BE38" i="7" s="1"/>
  <c r="BC42" i="7"/>
  <c r="BE42" i="7" s="1"/>
  <c r="BC46" i="7"/>
  <c r="BE46" i="7" s="1"/>
  <c r="BC50" i="7"/>
  <c r="BE50" i="7" s="1"/>
  <c r="BC54" i="7"/>
  <c r="BE54" i="7" s="1"/>
  <c r="BC58" i="7"/>
  <c r="BE58" i="7" s="1"/>
  <c r="BC62" i="7"/>
  <c r="BE62" i="7" s="1"/>
  <c r="BC66" i="7"/>
  <c r="BE66" i="7" s="1"/>
  <c r="BC70" i="7"/>
  <c r="BE70" i="7" s="1"/>
  <c r="BC74" i="7"/>
  <c r="BE74" i="7" s="1"/>
  <c r="BC78" i="7"/>
  <c r="BE78" i="7" s="1"/>
  <c r="BC82" i="7"/>
  <c r="BE82" i="7" s="1"/>
  <c r="BC86" i="7"/>
  <c r="BE86" i="7" s="1"/>
  <c r="BC90" i="7"/>
  <c r="BE90" i="7" s="1"/>
  <c r="BB15" i="7"/>
  <c r="BD15" i="7" s="1"/>
  <c r="BH15" i="7" s="1"/>
  <c r="BB19" i="7"/>
  <c r="BD19" i="7" s="1"/>
  <c r="BH19" i="7" s="1"/>
  <c r="BB23" i="7"/>
  <c r="BD23" i="7" s="1"/>
  <c r="BH23" i="7" s="1"/>
  <c r="BB27" i="7"/>
  <c r="BD27" i="7" s="1"/>
  <c r="BH27" i="7" s="1"/>
  <c r="BB31" i="7"/>
  <c r="BD31" i="7" s="1"/>
  <c r="BH31" i="7" s="1"/>
  <c r="BX30" i="7" s="1"/>
  <c r="BB35" i="7"/>
  <c r="BD35" i="7" s="1"/>
  <c r="BH35" i="7" s="1"/>
  <c r="BB39" i="7"/>
  <c r="BD39" i="7" s="1"/>
  <c r="BH39" i="7" s="1"/>
  <c r="BB43" i="7"/>
  <c r="BD43" i="7" s="1"/>
  <c r="BH43" i="7" s="1"/>
  <c r="BB47" i="7"/>
  <c r="BD47" i="7" s="1"/>
  <c r="BH47" i="7" s="1"/>
  <c r="BX46" i="7" s="1"/>
  <c r="BB51" i="7"/>
  <c r="BD51" i="7" s="1"/>
  <c r="BH51" i="7" s="1"/>
  <c r="BB55" i="7"/>
  <c r="BD55" i="7" s="1"/>
  <c r="BH55" i="7" s="1"/>
  <c r="BB59" i="7"/>
  <c r="BD59" i="7" s="1"/>
  <c r="BH59" i="7" s="1"/>
  <c r="BB63" i="7"/>
  <c r="BD63" i="7" s="1"/>
  <c r="BH63" i="7" s="1"/>
  <c r="BB67" i="7"/>
  <c r="BD67" i="7" s="1"/>
  <c r="BH67" i="7" s="1"/>
  <c r="BB71" i="7"/>
  <c r="BD71" i="7" s="1"/>
  <c r="BH71" i="7" s="1"/>
  <c r="BX70" i="7" s="1"/>
  <c r="BB75" i="7"/>
  <c r="BD75" i="7" s="1"/>
  <c r="BH75" i="7" s="1"/>
  <c r="BB79" i="7"/>
  <c r="BD79" i="7" s="1"/>
  <c r="BH79" i="7" s="1"/>
  <c r="BB83" i="7"/>
  <c r="BD83" i="7" s="1"/>
  <c r="BH83" i="7" s="1"/>
  <c r="BB87" i="7"/>
  <c r="BD87" i="7" s="1"/>
  <c r="BH87" i="7" s="1"/>
  <c r="BB91" i="7"/>
  <c r="BD91" i="7" s="1"/>
  <c r="BH91" i="7" s="1"/>
  <c r="BB95" i="7"/>
  <c r="BD95" i="7" s="1"/>
  <c r="BH95" i="7" s="1"/>
  <c r="BB99" i="7"/>
  <c r="BD99" i="7" s="1"/>
  <c r="BH99" i="7" s="1"/>
  <c r="BC15" i="7"/>
  <c r="BE15" i="7" s="1"/>
  <c r="BC19" i="7"/>
  <c r="BE19" i="7" s="1"/>
  <c r="BC23" i="7"/>
  <c r="BE23" i="7" s="1"/>
  <c r="BC27" i="7"/>
  <c r="BE27" i="7" s="1"/>
  <c r="BC31" i="7"/>
  <c r="BE31" i="7" s="1"/>
  <c r="BC35" i="7"/>
  <c r="BE35" i="7" s="1"/>
  <c r="BC39" i="7"/>
  <c r="BE39" i="7" s="1"/>
  <c r="BC43" i="7"/>
  <c r="BE43" i="7" s="1"/>
  <c r="BC47" i="7"/>
  <c r="BE47" i="7" s="1"/>
  <c r="BC51" i="7"/>
  <c r="BE51" i="7" s="1"/>
  <c r="BC55" i="7"/>
  <c r="BE55" i="7" s="1"/>
  <c r="BC59" i="7"/>
  <c r="BE59" i="7" s="1"/>
  <c r="BC63" i="7"/>
  <c r="BE63" i="7" s="1"/>
  <c r="BC67" i="7"/>
  <c r="BE67" i="7" s="1"/>
  <c r="BC71" i="7"/>
  <c r="BE71" i="7" s="1"/>
  <c r="BC75" i="7"/>
  <c r="BE75" i="7" s="1"/>
  <c r="BC79" i="7"/>
  <c r="BE79" i="7" s="1"/>
  <c r="BC83" i="7"/>
  <c r="BE83" i="7" s="1"/>
  <c r="BC87" i="7"/>
  <c r="BE87" i="7" s="1"/>
  <c r="BB26" i="7"/>
  <c r="BD26" i="7" s="1"/>
  <c r="BH26" i="7" s="1"/>
  <c r="BB58" i="7"/>
  <c r="BD58" i="7" s="1"/>
  <c r="BH58" i="7" s="1"/>
  <c r="BB78" i="7"/>
  <c r="BD78" i="7" s="1"/>
  <c r="BH78" i="7" s="1"/>
  <c r="BB92" i="7"/>
  <c r="BD92" i="7" s="1"/>
  <c r="BH92" i="7" s="1"/>
  <c r="BC98" i="7"/>
  <c r="BE98" i="7" s="1"/>
  <c r="BB103" i="7"/>
  <c r="BD103" i="7" s="1"/>
  <c r="BH103" i="7" s="1"/>
  <c r="BB107" i="7"/>
  <c r="BD107" i="7" s="1"/>
  <c r="BH107" i="7" s="1"/>
  <c r="BB111" i="7"/>
  <c r="BD111" i="7" s="1"/>
  <c r="BH111" i="7" s="1"/>
  <c r="BB115" i="7"/>
  <c r="BD115" i="7" s="1"/>
  <c r="BH115" i="7" s="1"/>
  <c r="BB119" i="7"/>
  <c r="BD119" i="7" s="1"/>
  <c r="BH119" i="7" s="1"/>
  <c r="BB123" i="7"/>
  <c r="BD123" i="7" s="1"/>
  <c r="BH123" i="7" s="1"/>
  <c r="BB127" i="7"/>
  <c r="BD127" i="7" s="1"/>
  <c r="BH127" i="7" s="1"/>
  <c r="BB131" i="7"/>
  <c r="BD131" i="7" s="1"/>
  <c r="BH131" i="7" s="1"/>
  <c r="BB135" i="7"/>
  <c r="BD135" i="7" s="1"/>
  <c r="BH135" i="7" s="1"/>
  <c r="BB30" i="7"/>
  <c r="BD30" i="7" s="1"/>
  <c r="BH30" i="7" s="1"/>
  <c r="BB62" i="7"/>
  <c r="BD62" i="7" s="1"/>
  <c r="BH62" i="7" s="1"/>
  <c r="BB80" i="7"/>
  <c r="BD80" i="7" s="1"/>
  <c r="BH80" i="7" s="1"/>
  <c r="BB94" i="7"/>
  <c r="BD94" i="7" s="1"/>
  <c r="BH94" i="7" s="1"/>
  <c r="BC99" i="7"/>
  <c r="BE99" i="7" s="1"/>
  <c r="BC103" i="7"/>
  <c r="BE103" i="7" s="1"/>
  <c r="BC107" i="7"/>
  <c r="BE107" i="7" s="1"/>
  <c r="BC111" i="7"/>
  <c r="BE111" i="7" s="1"/>
  <c r="BC115" i="7"/>
  <c r="BE115" i="7" s="1"/>
  <c r="BC119" i="7"/>
  <c r="BE119" i="7" s="1"/>
  <c r="BC123" i="7"/>
  <c r="BE123" i="7" s="1"/>
  <c r="BC127" i="7"/>
  <c r="BE127" i="7" s="1"/>
  <c r="BC131" i="7"/>
  <c r="BE131" i="7" s="1"/>
  <c r="BC135" i="7"/>
  <c r="BE135" i="7" s="1"/>
  <c r="BB34" i="7"/>
  <c r="BD34" i="7" s="1"/>
  <c r="BH34" i="7" s="1"/>
  <c r="BB66" i="7"/>
  <c r="BD66" i="7" s="1"/>
  <c r="BH66" i="7" s="1"/>
  <c r="BB82" i="7"/>
  <c r="BD82" i="7" s="1"/>
  <c r="BH82" i="7" s="1"/>
  <c r="BC94" i="7"/>
  <c r="BE94" i="7" s="1"/>
  <c r="BB100" i="7"/>
  <c r="BD100" i="7" s="1"/>
  <c r="BH100" i="7" s="1"/>
  <c r="BB104" i="7"/>
  <c r="BD104" i="7" s="1"/>
  <c r="BH104" i="7" s="1"/>
  <c r="BB108" i="7"/>
  <c r="BD108" i="7" s="1"/>
  <c r="BH108" i="7" s="1"/>
  <c r="BB112" i="7"/>
  <c r="BD112" i="7" s="1"/>
  <c r="BH112" i="7" s="1"/>
  <c r="BB116" i="7"/>
  <c r="BD116" i="7" s="1"/>
  <c r="BH116" i="7" s="1"/>
  <c r="BB120" i="7"/>
  <c r="BD120" i="7" s="1"/>
  <c r="BH120" i="7" s="1"/>
  <c r="BB124" i="7"/>
  <c r="BD124" i="7" s="1"/>
  <c r="BH124" i="7" s="1"/>
  <c r="BB128" i="7"/>
  <c r="BD128" i="7" s="1"/>
  <c r="BH128" i="7" s="1"/>
  <c r="BB132" i="7"/>
  <c r="BD132" i="7" s="1"/>
  <c r="BH132" i="7" s="1"/>
  <c r="BB136" i="7"/>
  <c r="BD136" i="7" s="1"/>
  <c r="BH136" i="7" s="1"/>
  <c r="BB38" i="7"/>
  <c r="BD38" i="7" s="1"/>
  <c r="BH38" i="7" s="1"/>
  <c r="BB68" i="7"/>
  <c r="BD68" i="7" s="1"/>
  <c r="BH68" i="7" s="1"/>
  <c r="BB84" i="7"/>
  <c r="BD84" i="7" s="1"/>
  <c r="BH84" i="7" s="1"/>
  <c r="BC95" i="7"/>
  <c r="BE95" i="7" s="1"/>
  <c r="BC100" i="7"/>
  <c r="BE100" i="7" s="1"/>
  <c r="BC104" i="7"/>
  <c r="BE104" i="7" s="1"/>
  <c r="BC108" i="7"/>
  <c r="BE108" i="7" s="1"/>
  <c r="BC112" i="7"/>
  <c r="BE112" i="7" s="1"/>
  <c r="BC116" i="7"/>
  <c r="BE116" i="7" s="1"/>
  <c r="BC120" i="7"/>
  <c r="BE120" i="7" s="1"/>
  <c r="BC124" i="7"/>
  <c r="BE124" i="7" s="1"/>
  <c r="BC128" i="7"/>
  <c r="BE128" i="7" s="1"/>
  <c r="BC132" i="7"/>
  <c r="BE132" i="7" s="1"/>
  <c r="BC136" i="7"/>
  <c r="BE136" i="7" s="1"/>
  <c r="BB42" i="7"/>
  <c r="BD42" i="7" s="1"/>
  <c r="BH42" i="7" s="1"/>
  <c r="BB70" i="7"/>
  <c r="BD70" i="7" s="1"/>
  <c r="BH70" i="7" s="1"/>
  <c r="BB86" i="7"/>
  <c r="BD86" i="7" s="1"/>
  <c r="BH86" i="7" s="1"/>
  <c r="BB96" i="7"/>
  <c r="BD96" i="7" s="1"/>
  <c r="BH96" i="7" s="1"/>
  <c r="BL95" i="7" s="1"/>
  <c r="BB101" i="7"/>
  <c r="BD101" i="7" s="1"/>
  <c r="BH101" i="7" s="1"/>
  <c r="BB105" i="7"/>
  <c r="BD105" i="7" s="1"/>
  <c r="BH105" i="7" s="1"/>
  <c r="BB109" i="7"/>
  <c r="BD109" i="7" s="1"/>
  <c r="BH109" i="7" s="1"/>
  <c r="BB113" i="7"/>
  <c r="BD113" i="7" s="1"/>
  <c r="BH113" i="7" s="1"/>
  <c r="BB117" i="7"/>
  <c r="BD117" i="7" s="1"/>
  <c r="BH117" i="7" s="1"/>
  <c r="BB121" i="7"/>
  <c r="BD121" i="7" s="1"/>
  <c r="BH121" i="7" s="1"/>
  <c r="BB125" i="7"/>
  <c r="BD125" i="7" s="1"/>
  <c r="BH125" i="7" s="1"/>
  <c r="BB129" i="7"/>
  <c r="BD129" i="7" s="1"/>
  <c r="BH129" i="7" s="1"/>
  <c r="BB133" i="7"/>
  <c r="BD133" i="7" s="1"/>
  <c r="BH133" i="7" s="1"/>
  <c r="BB137" i="7"/>
  <c r="BD137" i="7" s="1"/>
  <c r="BH137" i="7" s="1"/>
  <c r="BB46" i="7"/>
  <c r="BD46" i="7" s="1"/>
  <c r="BH46" i="7" s="1"/>
  <c r="BB72" i="7"/>
  <c r="BD72" i="7" s="1"/>
  <c r="BH72" i="7" s="1"/>
  <c r="BB88" i="7"/>
  <c r="BD88" i="7" s="1"/>
  <c r="BH88" i="7" s="1"/>
  <c r="BC96" i="7"/>
  <c r="BE96" i="7" s="1"/>
  <c r="BC101" i="7"/>
  <c r="BE101" i="7" s="1"/>
  <c r="BC105" i="7"/>
  <c r="BE105" i="7" s="1"/>
  <c r="BC109" i="7"/>
  <c r="BE109" i="7" s="1"/>
  <c r="BC113" i="7"/>
  <c r="BE113" i="7" s="1"/>
  <c r="BC117" i="7"/>
  <c r="BE117" i="7" s="1"/>
  <c r="BC121" i="7"/>
  <c r="BE121" i="7" s="1"/>
  <c r="BC125" i="7"/>
  <c r="BE125" i="7" s="1"/>
  <c r="BC129" i="7"/>
  <c r="BE129" i="7" s="1"/>
  <c r="BC133" i="7"/>
  <c r="BE133" i="7" s="1"/>
  <c r="BC137" i="7"/>
  <c r="BE137" i="7" s="1"/>
  <c r="BB18" i="7"/>
  <c r="BD18" i="7" s="1"/>
  <c r="BH18" i="7" s="1"/>
  <c r="BB50" i="7"/>
  <c r="BD50" i="7" s="1"/>
  <c r="BH50" i="7" s="1"/>
  <c r="BB74" i="7"/>
  <c r="BD74" i="7" s="1"/>
  <c r="BH74" i="7" s="1"/>
  <c r="BB90" i="7"/>
  <c r="BD90" i="7" s="1"/>
  <c r="BH90" i="7" s="1"/>
  <c r="BC97" i="7"/>
  <c r="BE97" i="7" s="1"/>
  <c r="BB102" i="7"/>
  <c r="BD102" i="7" s="1"/>
  <c r="BH102" i="7" s="1"/>
  <c r="BB106" i="7"/>
  <c r="BD106" i="7" s="1"/>
  <c r="BH106" i="7" s="1"/>
  <c r="BB110" i="7"/>
  <c r="BD110" i="7" s="1"/>
  <c r="BH110" i="7" s="1"/>
  <c r="BB114" i="7"/>
  <c r="BD114" i="7" s="1"/>
  <c r="BH114" i="7" s="1"/>
  <c r="BB118" i="7"/>
  <c r="BD118" i="7" s="1"/>
  <c r="BH118" i="7" s="1"/>
  <c r="BB122" i="7"/>
  <c r="BD122" i="7" s="1"/>
  <c r="BH122" i="7" s="1"/>
  <c r="BB126" i="7"/>
  <c r="BD126" i="7" s="1"/>
  <c r="BH126" i="7" s="1"/>
  <c r="BB130" i="7"/>
  <c r="BD130" i="7" s="1"/>
  <c r="BH130" i="7" s="1"/>
  <c r="BB134" i="7"/>
  <c r="BD134" i="7" s="1"/>
  <c r="BH134" i="7" s="1"/>
  <c r="BB138" i="7"/>
  <c r="BD138" i="7" s="1"/>
  <c r="BH138" i="7" s="1"/>
  <c r="BB22" i="7"/>
  <c r="BD22" i="7" s="1"/>
  <c r="BH22" i="7" s="1"/>
  <c r="BB54" i="7"/>
  <c r="BD54" i="7" s="1"/>
  <c r="BH54" i="7" s="1"/>
  <c r="BX53" i="7" s="1"/>
  <c r="BB76" i="7"/>
  <c r="BD76" i="7" s="1"/>
  <c r="BH76" i="7" s="1"/>
  <c r="BC91" i="7"/>
  <c r="BE91" i="7" s="1"/>
  <c r="BB98" i="7"/>
  <c r="BD98" i="7" s="1"/>
  <c r="BH98" i="7" s="1"/>
  <c r="BC102" i="7"/>
  <c r="BE102" i="7" s="1"/>
  <c r="BC106" i="7"/>
  <c r="BE106" i="7" s="1"/>
  <c r="BC110" i="7"/>
  <c r="BE110" i="7" s="1"/>
  <c r="BC114" i="7"/>
  <c r="BE114" i="7" s="1"/>
  <c r="BC118" i="7"/>
  <c r="BE118" i="7" s="1"/>
  <c r="BC122" i="7"/>
  <c r="BE122" i="7" s="1"/>
  <c r="BC126" i="7"/>
  <c r="BE126" i="7" s="1"/>
  <c r="BC130" i="7"/>
  <c r="BE130" i="7" s="1"/>
  <c r="BC134" i="7"/>
  <c r="BE134" i="7" s="1"/>
  <c r="BC138" i="7"/>
  <c r="BE138" i="7" s="1"/>
  <c r="AN17" i="6"/>
  <c r="J108" i="7"/>
  <c r="I76" i="7"/>
  <c r="AA76" i="7" s="1"/>
  <c r="I53" i="7"/>
  <c r="AA53" i="7" s="1"/>
  <c r="I67" i="7"/>
  <c r="AA67" i="7" s="1"/>
  <c r="J75" i="7"/>
  <c r="AO75" i="7" s="1"/>
  <c r="I128" i="7"/>
  <c r="AA128" i="7" s="1"/>
  <c r="I29" i="7"/>
  <c r="AA29" i="7" s="1"/>
  <c r="J66" i="7"/>
  <c r="AO65" i="7" s="1"/>
  <c r="J128" i="7"/>
  <c r="J80" i="7"/>
  <c r="AB80" i="7" s="1"/>
  <c r="I110" i="7"/>
  <c r="AA110" i="7" s="1"/>
  <c r="I12" i="7"/>
  <c r="AA12" i="7" s="1"/>
  <c r="J71" i="7"/>
  <c r="BB12" i="7"/>
  <c r="BD12" i="7" s="1"/>
  <c r="BH12" i="7" s="1"/>
  <c r="I57" i="7"/>
  <c r="AA57" i="7" s="1"/>
  <c r="I81" i="7"/>
  <c r="AA81" i="7" s="1"/>
  <c r="BC12" i="7"/>
  <c r="BE12" i="7" s="1"/>
  <c r="BI12" i="7" s="1"/>
  <c r="AB97" i="7"/>
  <c r="AB105" i="7"/>
  <c r="AB135" i="7"/>
  <c r="AB37" i="7"/>
  <c r="AB72" i="7"/>
  <c r="AB79" i="7"/>
  <c r="R19" i="6"/>
  <c r="AG19" i="6" s="1"/>
  <c r="AF19" i="6"/>
  <c r="U19" i="6"/>
  <c r="U27" i="6"/>
  <c r="U49" i="6"/>
  <c r="AH32" i="6"/>
  <c r="AH21" i="6"/>
  <c r="AF21" i="6"/>
  <c r="U21" i="6"/>
  <c r="V21" i="6" s="1"/>
  <c r="BD21" i="6" s="1"/>
  <c r="T19" i="6"/>
  <c r="AN68" i="6"/>
  <c r="U68" i="6"/>
  <c r="AH27" i="6"/>
  <c r="AH20" i="6"/>
  <c r="AH23" i="6"/>
  <c r="AH26" i="6"/>
  <c r="AF13" i="6"/>
  <c r="U13" i="6"/>
  <c r="V13" i="6" s="1"/>
  <c r="BD13" i="6" s="1"/>
  <c r="AO21" i="6"/>
  <c r="AO49" i="6"/>
  <c r="AH13" i="6"/>
  <c r="T68" i="6"/>
  <c r="AN49" i="6"/>
  <c r="T49" i="6"/>
  <c r="AF68" i="6"/>
  <c r="AF53" i="6"/>
  <c r="AF49" i="6"/>
  <c r="AO68" i="6"/>
  <c r="AF61" i="6"/>
  <c r="T48" i="6"/>
  <c r="AO61" i="6"/>
  <c r="AN61" i="6"/>
  <c r="U61" i="6"/>
  <c r="V61" i="6" s="1"/>
  <c r="BD61" i="6" s="1"/>
  <c r="AF27" i="6"/>
  <c r="T35" i="6"/>
  <c r="AV35" i="6"/>
  <c r="BH35" i="6" s="1"/>
  <c r="U20" i="6"/>
  <c r="V20" i="6" s="1"/>
  <c r="BD20" i="6" s="1"/>
  <c r="U17" i="6"/>
  <c r="AF20" i="6"/>
  <c r="AV64" i="6"/>
  <c r="BH64" i="6" s="1"/>
  <c r="AV24" i="6"/>
  <c r="BH24" i="6" s="1"/>
  <c r="T23" i="6"/>
  <c r="AV23" i="6"/>
  <c r="BH23" i="6" s="1"/>
  <c r="T60" i="6"/>
  <c r="AV60" i="6"/>
  <c r="BH60" i="6" s="1"/>
  <c r="T22" i="6"/>
  <c r="AV22" i="6"/>
  <c r="BH22" i="6" s="1"/>
  <c r="AV18" i="6"/>
  <c r="BH18" i="6" s="1"/>
  <c r="AO20" i="6"/>
  <c r="AF17" i="6"/>
  <c r="T40" i="6"/>
  <c r="AV40" i="6"/>
  <c r="BH40" i="6" s="1"/>
  <c r="T63" i="6"/>
  <c r="T27" i="6"/>
  <c r="AV27" i="6"/>
  <c r="BH27" i="6" s="1"/>
  <c r="U53" i="6"/>
  <c r="R17" i="6"/>
  <c r="AG17" i="6" s="1"/>
  <c r="T31" i="6"/>
  <c r="AV31" i="6"/>
  <c r="BH31" i="6" s="1"/>
  <c r="T14" i="6"/>
  <c r="AV14" i="6"/>
  <c r="BH14" i="6" s="1"/>
  <c r="T17" i="6"/>
  <c r="AV17" i="6"/>
  <c r="BH17" i="6" s="1"/>
  <c r="T55" i="6"/>
  <c r="V55" i="6" s="1"/>
  <c r="BD55" i="6" s="1"/>
  <c r="AV55" i="6"/>
  <c r="BH55" i="6" s="1"/>
  <c r="AV65" i="6"/>
  <c r="BH65" i="6" s="1"/>
  <c r="AV26" i="6"/>
  <c r="BH26" i="6" s="1"/>
  <c r="T44" i="6"/>
  <c r="AV44" i="6"/>
  <c r="BH44" i="6" s="1"/>
  <c r="AN20" i="6"/>
  <c r="AV13" i="6"/>
  <c r="BH13" i="6" s="1"/>
  <c r="AV12" i="6"/>
  <c r="BH12" i="6" s="1"/>
  <c r="AN63" i="6"/>
  <c r="AO40" i="6"/>
  <c r="AF63" i="6"/>
  <c r="AJ63" i="6" s="1"/>
  <c r="AO65" i="6"/>
  <c r="U63" i="6"/>
  <c r="AO27" i="6"/>
  <c r="AO34" i="6"/>
  <c r="AO57" i="6"/>
  <c r="AO30" i="6"/>
  <c r="AO39" i="6"/>
  <c r="AO55" i="6"/>
  <c r="AP55" i="6" s="1"/>
  <c r="AU55" i="6" s="1"/>
  <c r="AO59" i="6"/>
  <c r="AO31" i="6"/>
  <c r="AO50" i="6"/>
  <c r="AF64" i="6"/>
  <c r="AO28" i="6"/>
  <c r="AO25" i="6"/>
  <c r="AO56" i="6"/>
  <c r="AO14" i="6"/>
  <c r="AO23" i="6"/>
  <c r="AO58" i="6"/>
  <c r="T64" i="6"/>
  <c r="AO16" i="6"/>
  <c r="AO67" i="6"/>
  <c r="AO52" i="6"/>
  <c r="AO45" i="6"/>
  <c r="AO41" i="6"/>
  <c r="AO60" i="6"/>
  <c r="AO46" i="6"/>
  <c r="AO35" i="6"/>
  <c r="AO51" i="6"/>
  <c r="AO54" i="6"/>
  <c r="AO47" i="6"/>
  <c r="AO38" i="6"/>
  <c r="AO53" i="6"/>
  <c r="U64" i="6"/>
  <c r="AO48" i="6"/>
  <c r="AO17" i="6"/>
  <c r="AO36" i="6"/>
  <c r="AO22" i="6"/>
  <c r="AO24" i="6"/>
  <c r="AO42" i="6"/>
  <c r="AN23" i="6"/>
  <c r="AO63" i="6"/>
  <c r="AO18" i="6"/>
  <c r="AO44" i="6"/>
  <c r="AO33" i="6"/>
  <c r="AO29" i="6"/>
  <c r="AO37" i="6"/>
  <c r="AO43" i="6"/>
  <c r="AO66" i="6"/>
  <c r="AN64" i="6"/>
  <c r="AO26" i="6"/>
  <c r="AO62" i="6"/>
  <c r="AO32" i="6"/>
  <c r="AO64" i="6"/>
  <c r="T18" i="6"/>
  <c r="U40" i="6"/>
  <c r="AF55" i="6"/>
  <c r="AJ55" i="6" s="1"/>
  <c r="U23" i="6"/>
  <c r="R57" i="6"/>
  <c r="AG57" i="6" s="1"/>
  <c r="AF23" i="6"/>
  <c r="AN31" i="6"/>
  <c r="AN24" i="6"/>
  <c r="AN30" i="6"/>
  <c r="AN29" i="6"/>
  <c r="AN26" i="6"/>
  <c r="AF57" i="6"/>
  <c r="U14" i="6"/>
  <c r="AF32" i="6"/>
  <c r="U24" i="6"/>
  <c r="AN57" i="6"/>
  <c r="AH14" i="6"/>
  <c r="AH24" i="6"/>
  <c r="AF24" i="6"/>
  <c r="AH18" i="6"/>
  <c r="T12" i="6"/>
  <c r="AF14" i="6"/>
  <c r="L79" i="6"/>
  <c r="T26" i="6"/>
  <c r="AN60" i="6"/>
  <c r="AN44" i="6"/>
  <c r="U60" i="6"/>
  <c r="AF60" i="6"/>
  <c r="T65" i="6"/>
  <c r="AN40" i="6"/>
  <c r="AF44" i="6"/>
  <c r="U44" i="6"/>
  <c r="U35" i="6"/>
  <c r="AF26" i="6"/>
  <c r="AF48" i="6"/>
  <c r="AJ48" i="6" s="1"/>
  <c r="K79" i="6"/>
  <c r="U65" i="6"/>
  <c r="AN48" i="6"/>
  <c r="U48" i="6"/>
  <c r="AN32" i="6"/>
  <c r="AH31" i="6"/>
  <c r="AF31" i="6"/>
  <c r="U31" i="6"/>
  <c r="AN35" i="6"/>
  <c r="AF12" i="6"/>
  <c r="AH43" i="6"/>
  <c r="AH58" i="6"/>
  <c r="AH51" i="6"/>
  <c r="AH34" i="6"/>
  <c r="U26" i="6"/>
  <c r="U18" i="6"/>
  <c r="AF16" i="6"/>
  <c r="AH33" i="6"/>
  <c r="AH39" i="6"/>
  <c r="U32" i="6"/>
  <c r="AH42" i="6"/>
  <c r="AH45" i="6"/>
  <c r="AF40" i="6"/>
  <c r="AN18" i="6"/>
  <c r="AH54" i="6"/>
  <c r="AH36" i="6"/>
  <c r="T57" i="6"/>
  <c r="V57" i="6" s="1"/>
  <c r="BD57" i="6" s="1"/>
  <c r="AF65" i="6"/>
  <c r="T24" i="6"/>
  <c r="AN65" i="6"/>
  <c r="AF52" i="6"/>
  <c r="U25" i="6"/>
  <c r="AF50" i="6"/>
  <c r="U12" i="6"/>
  <c r="AN12" i="6"/>
  <c r="AN67" i="6"/>
  <c r="AF67" i="6"/>
  <c r="AF15" i="6"/>
  <c r="AN51" i="6"/>
  <c r="AF51" i="6"/>
  <c r="AF42" i="6"/>
  <c r="AF25" i="6"/>
  <c r="AF35" i="6"/>
  <c r="AN27" i="6"/>
  <c r="AF28" i="6"/>
  <c r="AN39" i="6"/>
  <c r="AF22" i="6"/>
  <c r="U67" i="6"/>
  <c r="AN46" i="6"/>
  <c r="AN15" i="6"/>
  <c r="AN22" i="6"/>
  <c r="AN34" i="6"/>
  <c r="AH22" i="6"/>
  <c r="AH30" i="6"/>
  <c r="AH15" i="6"/>
  <c r="AH29" i="6"/>
  <c r="AN54" i="6"/>
  <c r="AN52" i="6"/>
  <c r="AN53" i="6"/>
  <c r="AK69" i="6"/>
  <c r="AL69" i="6" s="1"/>
  <c r="AM69" i="6" s="1"/>
  <c r="T16" i="6"/>
  <c r="AN47" i="6"/>
  <c r="AH16" i="6"/>
  <c r="AF66" i="6"/>
  <c r="AF18" i="6"/>
  <c r="T32" i="6"/>
  <c r="AN66" i="6"/>
  <c r="AN50" i="6"/>
  <c r="AN28" i="6"/>
  <c r="T25" i="6"/>
  <c r="U22" i="6"/>
  <c r="AN41" i="6"/>
  <c r="AH28" i="6"/>
  <c r="U16" i="6"/>
  <c r="T53" i="6"/>
  <c r="AN56" i="6"/>
  <c r="T67" i="6"/>
  <c r="O70" i="6"/>
  <c r="AN58" i="6"/>
  <c r="AN37" i="6"/>
  <c r="AN42" i="6"/>
  <c r="AN59" i="6"/>
  <c r="AN38" i="6"/>
  <c r="AN43" i="6"/>
  <c r="AH12" i="6"/>
  <c r="AN36" i="6"/>
  <c r="AH25" i="6"/>
  <c r="AN33" i="6"/>
  <c r="AN62" i="6"/>
  <c r="AN25" i="6"/>
  <c r="AN45" i="6"/>
  <c r="AF37" i="6"/>
  <c r="AF34" i="6"/>
  <c r="AF33" i="6"/>
  <c r="AF54" i="6"/>
  <c r="AF46" i="6"/>
  <c r="AF45" i="6"/>
  <c r="AF38" i="6"/>
  <c r="AF39" i="6"/>
  <c r="AF30" i="6"/>
  <c r="AF59" i="6"/>
  <c r="AF47" i="6"/>
  <c r="AF43" i="6"/>
  <c r="AF62" i="6"/>
  <c r="AF29" i="6"/>
  <c r="AF56" i="6"/>
  <c r="AF58" i="6"/>
  <c r="AF41" i="6"/>
  <c r="AF36" i="6"/>
  <c r="U41" i="6"/>
  <c r="U45" i="6"/>
  <c r="U46" i="6"/>
  <c r="U28" i="6"/>
  <c r="U66" i="6"/>
  <c r="U36" i="6"/>
  <c r="U38" i="6"/>
  <c r="U51" i="6"/>
  <c r="U42" i="6"/>
  <c r="U62" i="6"/>
  <c r="U58" i="6"/>
  <c r="T38" i="6"/>
  <c r="U39" i="6"/>
  <c r="U56" i="6"/>
  <c r="U43" i="6"/>
  <c r="U34" i="6"/>
  <c r="T62" i="6"/>
  <c r="U29" i="6"/>
  <c r="U30" i="6"/>
  <c r="T59" i="6"/>
  <c r="T52" i="6"/>
  <c r="T33" i="6"/>
  <c r="T43" i="6"/>
  <c r="T30" i="6"/>
  <c r="T29" i="6"/>
  <c r="U59" i="6"/>
  <c r="T46" i="6"/>
  <c r="T50" i="6"/>
  <c r="T66" i="6"/>
  <c r="U33" i="6"/>
  <c r="T42" i="6"/>
  <c r="T45" i="6"/>
  <c r="T28" i="6"/>
  <c r="T39" i="6"/>
  <c r="U37" i="6"/>
  <c r="T15" i="6"/>
  <c r="T58" i="6"/>
  <c r="U47" i="6"/>
  <c r="U54" i="6"/>
  <c r="T37" i="6"/>
  <c r="T51" i="6"/>
  <c r="T36" i="6"/>
  <c r="U15" i="6"/>
  <c r="T56" i="6"/>
  <c r="T47" i="6"/>
  <c r="U50" i="6"/>
  <c r="T41" i="6"/>
  <c r="AC69" i="6"/>
  <c r="AD69" i="6" s="1"/>
  <c r="AE69" i="6" s="1"/>
  <c r="T34" i="6"/>
  <c r="U52" i="6"/>
  <c r="T54" i="6"/>
  <c r="J72" i="6"/>
  <c r="N71" i="6"/>
  <c r="Q69" i="6"/>
  <c r="R69" i="6" s="1"/>
  <c r="AG69" i="6" s="1"/>
  <c r="P69" i="6"/>
  <c r="S69" i="6"/>
  <c r="AV69" i="6" s="1"/>
  <c r="BH69" i="6" s="1"/>
  <c r="W69" i="6"/>
  <c r="Z69" i="6"/>
  <c r="AA69" i="6" s="1"/>
  <c r="AB69" i="6" s="1"/>
  <c r="BJ69" i="6" s="1"/>
  <c r="C155" i="2"/>
  <c r="F155" i="2" s="1"/>
  <c r="G108" i="1" s="1"/>
  <c r="C154" i="2"/>
  <c r="F154" i="2" s="1"/>
  <c r="C125" i="2"/>
  <c r="F125" i="2" s="1"/>
  <c r="G80" i="1"/>
  <c r="C126" i="2"/>
  <c r="F126" i="2" s="1"/>
  <c r="G82" i="1" s="1"/>
  <c r="F107" i="2"/>
  <c r="G67" i="1" s="1"/>
  <c r="C109" i="2"/>
  <c r="F109" i="2" s="1"/>
  <c r="AO35" i="7" l="1"/>
  <c r="AP13" i="6"/>
  <c r="AU13" i="6" s="1"/>
  <c r="BG13" i="6" s="1"/>
  <c r="BL33" i="7"/>
  <c r="AO132" i="7"/>
  <c r="BL73" i="7"/>
  <c r="AO101" i="7"/>
  <c r="BX17" i="7"/>
  <c r="BX12" i="7"/>
  <c r="AO26" i="7"/>
  <c r="BX71" i="7"/>
  <c r="AO97" i="7"/>
  <c r="AJ61" i="6"/>
  <c r="BF61" i="6" s="1"/>
  <c r="AO15" i="7"/>
  <c r="AO14" i="7"/>
  <c r="BX44" i="7"/>
  <c r="AO32" i="7"/>
  <c r="AB32" i="7"/>
  <c r="AM32" i="7" s="1"/>
  <c r="AO13" i="7"/>
  <c r="AB13" i="7"/>
  <c r="AN13" i="7" s="1"/>
  <c r="AO31" i="7"/>
  <c r="BX86" i="7"/>
  <c r="AB31" i="7"/>
  <c r="AO49" i="7"/>
  <c r="AB36" i="7"/>
  <c r="AB102" i="7"/>
  <c r="AM102" i="7" s="1"/>
  <c r="AB26" i="7"/>
  <c r="AM26" i="7" s="1"/>
  <c r="AJ65" i="6"/>
  <c r="BF65" i="6" s="1"/>
  <c r="AO23" i="7"/>
  <c r="AO109" i="7"/>
  <c r="AO43" i="7"/>
  <c r="AO99" i="7"/>
  <c r="AO118" i="7"/>
  <c r="AO36" i="7"/>
  <c r="BR35" i="7" s="1"/>
  <c r="AO42" i="7"/>
  <c r="AO112" i="7"/>
  <c r="AO34" i="7"/>
  <c r="BR34" i="7" s="1"/>
  <c r="AO30" i="7"/>
  <c r="AO78" i="7"/>
  <c r="AO25" i="7"/>
  <c r="AJ40" i="6"/>
  <c r="BF40" i="6" s="1"/>
  <c r="AO50" i="7"/>
  <c r="AO117" i="7"/>
  <c r="AO105" i="7"/>
  <c r="AO98" i="7"/>
  <c r="AO95" i="7"/>
  <c r="AO90" i="7"/>
  <c r="BR89" i="7" s="1"/>
  <c r="AO104" i="7"/>
  <c r="AO69" i="7"/>
  <c r="AO70" i="7"/>
  <c r="BX69" i="7"/>
  <c r="AO37" i="7"/>
  <c r="BX61" i="7"/>
  <c r="AB100" i="7"/>
  <c r="AM100" i="7" s="1"/>
  <c r="AO94" i="7"/>
  <c r="AO29" i="7"/>
  <c r="AO93" i="7"/>
  <c r="AO22" i="7"/>
  <c r="AO17" i="7"/>
  <c r="AB133" i="7"/>
  <c r="AM132" i="7" s="1"/>
  <c r="AO12" i="7"/>
  <c r="AO100" i="7"/>
  <c r="BR100" i="7" s="1"/>
  <c r="AO85" i="7"/>
  <c r="AO131" i="7"/>
  <c r="AB85" i="7"/>
  <c r="AM85" i="7" s="1"/>
  <c r="AO103" i="7"/>
  <c r="AO56" i="7"/>
  <c r="AO57" i="7"/>
  <c r="AO41" i="7"/>
  <c r="AB126" i="7"/>
  <c r="AM126" i="7" s="1"/>
  <c r="AO102" i="7"/>
  <c r="AO130" i="7"/>
  <c r="AO16" i="7"/>
  <c r="AO84" i="7"/>
  <c r="AO122" i="7"/>
  <c r="AB91" i="7"/>
  <c r="AM91" i="7" s="1"/>
  <c r="AO86" i="7"/>
  <c r="AO82" i="7"/>
  <c r="BR81" i="7" s="1"/>
  <c r="AO68" i="7"/>
  <c r="BR67" i="7" s="1"/>
  <c r="AO64" i="7"/>
  <c r="BR64" i="7" s="1"/>
  <c r="AO121" i="7"/>
  <c r="AO123" i="7"/>
  <c r="AO91" i="7"/>
  <c r="AO83" i="7"/>
  <c r="AO92" i="7"/>
  <c r="AB84" i="7"/>
  <c r="AO46" i="7"/>
  <c r="AO119" i="7"/>
  <c r="AO137" i="7"/>
  <c r="AO33" i="7"/>
  <c r="AO138" i="7"/>
  <c r="BR138" i="7" s="1"/>
  <c r="AB34" i="7"/>
  <c r="AB96" i="7"/>
  <c r="AN95" i="7" s="1"/>
  <c r="AB68" i="7"/>
  <c r="AM68" i="7" s="1"/>
  <c r="AO133" i="7"/>
  <c r="BR132" i="7" s="1"/>
  <c r="AO129" i="7"/>
  <c r="AO61" i="7"/>
  <c r="AP19" i="6"/>
  <c r="AU19" i="6" s="1"/>
  <c r="BG19" i="6" s="1"/>
  <c r="AO116" i="7"/>
  <c r="AO134" i="7"/>
  <c r="AO19" i="7"/>
  <c r="AO77" i="7"/>
  <c r="AO128" i="7"/>
  <c r="AO107" i="7"/>
  <c r="AO115" i="7"/>
  <c r="AO44" i="7"/>
  <c r="AO40" i="7"/>
  <c r="AP14" i="6"/>
  <c r="AU14" i="6" s="1"/>
  <c r="BG14" i="6" s="1"/>
  <c r="AB61" i="7"/>
  <c r="AM61" i="7" s="1"/>
  <c r="AO106" i="7"/>
  <c r="AO45" i="7"/>
  <c r="AB129" i="7"/>
  <c r="AN129" i="7" s="1"/>
  <c r="AO60" i="7"/>
  <c r="AO110" i="7"/>
  <c r="AO111" i="7"/>
  <c r="AO53" i="7"/>
  <c r="AO76" i="7"/>
  <c r="BR75" i="7" s="1"/>
  <c r="AO18" i="7"/>
  <c r="AO24" i="7"/>
  <c r="AO62" i="7"/>
  <c r="AB137" i="7"/>
  <c r="AM137" i="7" s="1"/>
  <c r="AB47" i="7"/>
  <c r="AM47" i="7" s="1"/>
  <c r="AO47" i="7"/>
  <c r="AB81" i="7"/>
  <c r="AM81" i="7" s="1"/>
  <c r="AB63" i="7"/>
  <c r="AM62" i="7" s="1"/>
  <c r="AO72" i="7"/>
  <c r="AO114" i="7"/>
  <c r="AO113" i="7"/>
  <c r="AO126" i="7"/>
  <c r="BR125" i="7" s="1"/>
  <c r="AO58" i="7"/>
  <c r="AB124" i="7"/>
  <c r="AN123" i="7" s="1"/>
  <c r="AB67" i="7"/>
  <c r="AO59" i="7"/>
  <c r="AO96" i="7"/>
  <c r="AO63" i="7"/>
  <c r="AO124" i="7"/>
  <c r="BR124" i="7" s="1"/>
  <c r="AB25" i="7"/>
  <c r="AO52" i="7"/>
  <c r="AB60" i="7"/>
  <c r="AM59" i="7" s="1"/>
  <c r="AO87" i="7"/>
  <c r="AO51" i="7"/>
  <c r="AO136" i="7"/>
  <c r="AO135" i="7"/>
  <c r="AP12" i="6"/>
  <c r="AU12" i="6" s="1"/>
  <c r="BG12" i="6" s="1"/>
  <c r="AO28" i="7"/>
  <c r="AO120" i="7"/>
  <c r="AO48" i="7"/>
  <c r="AB120" i="7"/>
  <c r="AM119" i="7" s="1"/>
  <c r="AO21" i="7"/>
  <c r="AO39" i="7"/>
  <c r="AO55" i="7"/>
  <c r="AO54" i="7"/>
  <c r="AO38" i="7"/>
  <c r="AB56" i="7"/>
  <c r="AM55" i="7" s="1"/>
  <c r="AJ64" i="6"/>
  <c r="BF64" i="6" s="1"/>
  <c r="AJ52" i="6"/>
  <c r="BF52" i="6" s="1"/>
  <c r="AP21" i="6"/>
  <c r="AU21" i="6" s="1"/>
  <c r="BG21" i="6" s="1"/>
  <c r="AO27" i="7"/>
  <c r="AB28" i="7"/>
  <c r="AO20" i="7"/>
  <c r="BX68" i="7"/>
  <c r="AB89" i="7"/>
  <c r="AM88" i="7" s="1"/>
  <c r="AO88" i="7"/>
  <c r="BR88" i="7" s="1"/>
  <c r="BX31" i="7"/>
  <c r="BX66" i="7"/>
  <c r="BX72" i="7"/>
  <c r="BL21" i="7"/>
  <c r="BL17" i="7"/>
  <c r="BL85" i="7"/>
  <c r="BX85" i="7"/>
  <c r="BX67" i="7"/>
  <c r="BL49" i="7"/>
  <c r="BX49" i="7"/>
  <c r="BL53" i="7"/>
  <c r="AJ44" i="6"/>
  <c r="BF44" i="6" s="1"/>
  <c r="AJ68" i="6"/>
  <c r="BF68" i="6" s="1"/>
  <c r="AB66" i="7"/>
  <c r="AM65" i="7" s="1"/>
  <c r="BL81" i="7"/>
  <c r="BL32" i="7"/>
  <c r="BL28" i="7"/>
  <c r="BL57" i="7"/>
  <c r="BL87" i="7"/>
  <c r="BL25" i="7"/>
  <c r="BL89" i="7"/>
  <c r="BL136" i="7"/>
  <c r="BL104" i="7"/>
  <c r="AJ67" i="6"/>
  <c r="BF67" i="6" s="1"/>
  <c r="AJ37" i="6"/>
  <c r="AP16" i="6"/>
  <c r="AU16" i="6" s="1"/>
  <c r="BG16" i="6" s="1"/>
  <c r="BL65" i="7"/>
  <c r="BL119" i="7"/>
  <c r="BL97" i="7"/>
  <c r="AJ41" i="6"/>
  <c r="BF41" i="6" s="1"/>
  <c r="BL40" i="7"/>
  <c r="BL125" i="7"/>
  <c r="BL14" i="7"/>
  <c r="AH69" i="6"/>
  <c r="BL123" i="7"/>
  <c r="BL64" i="7"/>
  <c r="BL91" i="7"/>
  <c r="BL60" i="7"/>
  <c r="AM73" i="7"/>
  <c r="BL71" i="7"/>
  <c r="BL44" i="7"/>
  <c r="AO73" i="7"/>
  <c r="BL37" i="7"/>
  <c r="BL120" i="7"/>
  <c r="BL69" i="7"/>
  <c r="BL135" i="7"/>
  <c r="BL103" i="7"/>
  <c r="BL67" i="7"/>
  <c r="BL99" i="7"/>
  <c r="AP17" i="6"/>
  <c r="AU17" i="6" s="1"/>
  <c r="BG17" i="6" s="1"/>
  <c r="BL121" i="7"/>
  <c r="BL108" i="7"/>
  <c r="BL41" i="7"/>
  <c r="BL75" i="7"/>
  <c r="BL45" i="7"/>
  <c r="BL113" i="7"/>
  <c r="BL128" i="7"/>
  <c r="BL111" i="7"/>
  <c r="BL77" i="7"/>
  <c r="BL13" i="7"/>
  <c r="AO80" i="7"/>
  <c r="AO79" i="7"/>
  <c r="BL133" i="7"/>
  <c r="BL101" i="7"/>
  <c r="BL52" i="7"/>
  <c r="BL20" i="7"/>
  <c r="BL116" i="7"/>
  <c r="BL131" i="7"/>
  <c r="BL79" i="7"/>
  <c r="BL48" i="7"/>
  <c r="BL16" i="7"/>
  <c r="AO74" i="7"/>
  <c r="BR74" i="7" s="1"/>
  <c r="BL109" i="7"/>
  <c r="BL126" i="7"/>
  <c r="BL94" i="7"/>
  <c r="BL62" i="7"/>
  <c r="BL30" i="7"/>
  <c r="BL35" i="7"/>
  <c r="BL124" i="7"/>
  <c r="BL107" i="7"/>
  <c r="AB71" i="7"/>
  <c r="AO71" i="7"/>
  <c r="AO66" i="7"/>
  <c r="BR66" i="7" s="1"/>
  <c r="AB75" i="7"/>
  <c r="AB108" i="7"/>
  <c r="AN108" i="7" s="1"/>
  <c r="BL117" i="7"/>
  <c r="BL83" i="7"/>
  <c r="BQ119" i="7"/>
  <c r="BP119" i="7"/>
  <c r="BI120" i="7"/>
  <c r="BQ102" i="7"/>
  <c r="BP102" i="7"/>
  <c r="BI103" i="7"/>
  <c r="BQ70" i="7"/>
  <c r="BP70" i="7"/>
  <c r="BI71" i="7"/>
  <c r="BQ38" i="7"/>
  <c r="BP38" i="7"/>
  <c r="BI39" i="7"/>
  <c r="BQ77" i="7"/>
  <c r="BP77" i="7"/>
  <c r="BI78" i="7"/>
  <c r="BQ45" i="7"/>
  <c r="BP45" i="7"/>
  <c r="BI46" i="7"/>
  <c r="BQ13" i="7"/>
  <c r="BP13" i="7"/>
  <c r="BI14" i="7"/>
  <c r="BQ68" i="7"/>
  <c r="BP68" i="7"/>
  <c r="BI69" i="7"/>
  <c r="BQ36" i="7"/>
  <c r="BP36" i="7"/>
  <c r="BI37" i="7"/>
  <c r="BL92" i="7"/>
  <c r="BQ79" i="7"/>
  <c r="BP79" i="7"/>
  <c r="BI80" i="7"/>
  <c r="BQ47" i="7"/>
  <c r="BP47" i="7"/>
  <c r="BI48" i="7"/>
  <c r="BQ15" i="7"/>
  <c r="BP15" i="7"/>
  <c r="BI16" i="7"/>
  <c r="BQ104" i="7"/>
  <c r="BP104" i="7"/>
  <c r="BI105" i="7"/>
  <c r="BQ134" i="7"/>
  <c r="BP134" i="7"/>
  <c r="BI135" i="7"/>
  <c r="AO127" i="7"/>
  <c r="BQ109" i="7"/>
  <c r="BP109" i="7"/>
  <c r="BI110" i="7"/>
  <c r="BL137" i="7"/>
  <c r="BL138" i="7"/>
  <c r="BL105" i="7"/>
  <c r="BQ132" i="7"/>
  <c r="BP132" i="7"/>
  <c r="BI133" i="7"/>
  <c r="BQ100" i="7"/>
  <c r="BP100" i="7"/>
  <c r="BI101" i="7"/>
  <c r="BQ115" i="7"/>
  <c r="BP115" i="7"/>
  <c r="BI116" i="7"/>
  <c r="BQ130" i="7"/>
  <c r="BP130" i="7"/>
  <c r="BI131" i="7"/>
  <c r="BQ98" i="7"/>
  <c r="BP98" i="7"/>
  <c r="BI99" i="7"/>
  <c r="BL122" i="7"/>
  <c r="BQ66" i="7"/>
  <c r="BP66" i="7"/>
  <c r="BI67" i="7"/>
  <c r="BQ34" i="7"/>
  <c r="BP34" i="7"/>
  <c r="BI35" i="7"/>
  <c r="BL90" i="7"/>
  <c r="BL58" i="7"/>
  <c r="BL26" i="7"/>
  <c r="BQ73" i="7"/>
  <c r="BP73" i="7"/>
  <c r="BI74" i="7"/>
  <c r="BQ41" i="7"/>
  <c r="BP41" i="7"/>
  <c r="BI42" i="7"/>
  <c r="BQ64" i="7"/>
  <c r="BP64" i="7"/>
  <c r="BI65" i="7"/>
  <c r="BQ32" i="7"/>
  <c r="BP32" i="7"/>
  <c r="BI33" i="7"/>
  <c r="BL88" i="7"/>
  <c r="BL56" i="7"/>
  <c r="BL24" i="7"/>
  <c r="BQ75" i="7"/>
  <c r="BP75" i="7"/>
  <c r="BI76" i="7"/>
  <c r="BQ43" i="7"/>
  <c r="BP43" i="7"/>
  <c r="BI44" i="7"/>
  <c r="BL63" i="7"/>
  <c r="BL31" i="7"/>
  <c r="BQ136" i="7"/>
  <c r="BP136" i="7"/>
  <c r="BI137" i="7"/>
  <c r="AB128" i="7"/>
  <c r="BQ137" i="7"/>
  <c r="BQ138" i="7"/>
  <c r="BP137" i="7"/>
  <c r="BP138" i="7"/>
  <c r="BI138" i="7"/>
  <c r="BQ105" i="7"/>
  <c r="BP105" i="7"/>
  <c r="BI106" i="7"/>
  <c r="BQ128" i="7"/>
  <c r="BP128" i="7"/>
  <c r="BI129" i="7"/>
  <c r="BQ95" i="7"/>
  <c r="BP95" i="7"/>
  <c r="BI96" i="7"/>
  <c r="BQ111" i="7"/>
  <c r="BP111" i="7"/>
  <c r="BI112" i="7"/>
  <c r="BQ126" i="7"/>
  <c r="BP126" i="7"/>
  <c r="BI127" i="7"/>
  <c r="BL93" i="7"/>
  <c r="BL118" i="7"/>
  <c r="BQ62" i="7"/>
  <c r="BP62" i="7"/>
  <c r="BI63" i="7"/>
  <c r="BQ30" i="7"/>
  <c r="BP30" i="7"/>
  <c r="BI31" i="7"/>
  <c r="BL86" i="7"/>
  <c r="BL54" i="7"/>
  <c r="BL22" i="7"/>
  <c r="BQ69" i="7"/>
  <c r="BP69" i="7"/>
  <c r="BI70" i="7"/>
  <c r="BQ37" i="7"/>
  <c r="BP37" i="7"/>
  <c r="BI38" i="7"/>
  <c r="BQ92" i="7"/>
  <c r="BP92" i="7"/>
  <c r="BI93" i="7"/>
  <c r="BQ60" i="7"/>
  <c r="BP60" i="7"/>
  <c r="BI61" i="7"/>
  <c r="BQ28" i="7"/>
  <c r="BP28" i="7"/>
  <c r="BI29" i="7"/>
  <c r="BL84" i="7"/>
  <c r="BQ71" i="7"/>
  <c r="BP71" i="7"/>
  <c r="BI72" i="7"/>
  <c r="BQ39" i="7"/>
  <c r="BP39" i="7"/>
  <c r="BI40" i="7"/>
  <c r="BL59" i="7"/>
  <c r="BL27" i="7"/>
  <c r="BQ101" i="7"/>
  <c r="BP101" i="7"/>
  <c r="BI102" i="7"/>
  <c r="BL129" i="7"/>
  <c r="BQ96" i="7"/>
  <c r="BP96" i="7"/>
  <c r="BI97" i="7"/>
  <c r="BQ124" i="7"/>
  <c r="BP124" i="7"/>
  <c r="BI125" i="7"/>
  <c r="BQ107" i="7"/>
  <c r="BP107" i="7"/>
  <c r="BI108" i="7"/>
  <c r="BQ122" i="7"/>
  <c r="BP122" i="7"/>
  <c r="BI123" i="7"/>
  <c r="BL114" i="7"/>
  <c r="BQ58" i="7"/>
  <c r="BP58" i="7"/>
  <c r="BI59" i="7"/>
  <c r="BQ26" i="7"/>
  <c r="BP26" i="7"/>
  <c r="BI27" i="7"/>
  <c r="BL82" i="7"/>
  <c r="BL50" i="7"/>
  <c r="BL18" i="7"/>
  <c r="BQ65" i="7"/>
  <c r="BP65" i="7"/>
  <c r="BI66" i="7"/>
  <c r="BQ33" i="7"/>
  <c r="BP33" i="7"/>
  <c r="BI34" i="7"/>
  <c r="BQ88" i="7"/>
  <c r="BP88" i="7"/>
  <c r="BI89" i="7"/>
  <c r="BQ56" i="7"/>
  <c r="BP56" i="7"/>
  <c r="BI57" i="7"/>
  <c r="BQ24" i="7"/>
  <c r="BP24" i="7"/>
  <c r="BI25" i="7"/>
  <c r="BL80" i="7"/>
  <c r="BQ67" i="7"/>
  <c r="BP67" i="7"/>
  <c r="BI68" i="7"/>
  <c r="BQ35" i="7"/>
  <c r="BP35" i="7"/>
  <c r="BI36" i="7"/>
  <c r="BL55" i="7"/>
  <c r="BL23" i="7"/>
  <c r="BQ133" i="7"/>
  <c r="BP133" i="7"/>
  <c r="BI134" i="7"/>
  <c r="BQ129" i="7"/>
  <c r="BP129" i="7"/>
  <c r="BI130" i="7"/>
  <c r="BQ120" i="7"/>
  <c r="BP120" i="7"/>
  <c r="BI121" i="7"/>
  <c r="BL112" i="7"/>
  <c r="BQ135" i="7"/>
  <c r="BP135" i="7"/>
  <c r="BI136" i="7"/>
  <c r="BQ103" i="7"/>
  <c r="BP103" i="7"/>
  <c r="BI104" i="7"/>
  <c r="BL127" i="7"/>
  <c r="BQ93" i="7"/>
  <c r="BP93" i="7"/>
  <c r="BI94" i="7"/>
  <c r="BQ118" i="7"/>
  <c r="BP118" i="7"/>
  <c r="BI119" i="7"/>
  <c r="BL61" i="7"/>
  <c r="BL110" i="7"/>
  <c r="BQ86" i="7"/>
  <c r="BP86" i="7"/>
  <c r="BI87" i="7"/>
  <c r="BQ54" i="7"/>
  <c r="BP54" i="7"/>
  <c r="BI55" i="7"/>
  <c r="BQ22" i="7"/>
  <c r="BP22" i="7"/>
  <c r="BI23" i="7"/>
  <c r="BL78" i="7"/>
  <c r="BL46" i="7"/>
  <c r="BQ61" i="7"/>
  <c r="BP61" i="7"/>
  <c r="BI62" i="7"/>
  <c r="BQ29" i="7"/>
  <c r="BP29" i="7"/>
  <c r="BI30" i="7"/>
  <c r="BQ84" i="7"/>
  <c r="BP84" i="7"/>
  <c r="BI85" i="7"/>
  <c r="BQ52" i="7"/>
  <c r="BP52" i="7"/>
  <c r="BI53" i="7"/>
  <c r="BQ20" i="7"/>
  <c r="BP20" i="7"/>
  <c r="BI21" i="7"/>
  <c r="BL76" i="7"/>
  <c r="BL12" i="7"/>
  <c r="BQ63" i="7"/>
  <c r="BP63" i="7"/>
  <c r="BI64" i="7"/>
  <c r="BQ31" i="7"/>
  <c r="BP31" i="7"/>
  <c r="BI32" i="7"/>
  <c r="BL51" i="7"/>
  <c r="BL19" i="7"/>
  <c r="AO108" i="7"/>
  <c r="BQ125" i="7"/>
  <c r="BP125" i="7"/>
  <c r="BI126" i="7"/>
  <c r="BQ90" i="7"/>
  <c r="BP90" i="7"/>
  <c r="BI91" i="7"/>
  <c r="BQ116" i="7"/>
  <c r="BP116" i="7"/>
  <c r="BI117" i="7"/>
  <c r="BQ131" i="7"/>
  <c r="BP131" i="7"/>
  <c r="BI132" i="7"/>
  <c r="BQ99" i="7"/>
  <c r="BP99" i="7"/>
  <c r="BI100" i="7"/>
  <c r="BQ114" i="7"/>
  <c r="BP114" i="7"/>
  <c r="BI115" i="7"/>
  <c r="BL29" i="7"/>
  <c r="BL106" i="7"/>
  <c r="BQ82" i="7"/>
  <c r="BP82" i="7"/>
  <c r="BI83" i="7"/>
  <c r="BQ50" i="7"/>
  <c r="BP50" i="7"/>
  <c r="BI51" i="7"/>
  <c r="BQ18" i="7"/>
  <c r="BP18" i="7"/>
  <c r="BI19" i="7"/>
  <c r="BL74" i="7"/>
  <c r="BL42" i="7"/>
  <c r="BQ89" i="7"/>
  <c r="BP89" i="7"/>
  <c r="BI90" i="7"/>
  <c r="BQ57" i="7"/>
  <c r="BP57" i="7"/>
  <c r="BI58" i="7"/>
  <c r="BQ25" i="7"/>
  <c r="BP25" i="7"/>
  <c r="BI26" i="7"/>
  <c r="BQ80" i="7"/>
  <c r="BP80" i="7"/>
  <c r="BI81" i="7"/>
  <c r="BQ48" i="7"/>
  <c r="BP48" i="7"/>
  <c r="BI49" i="7"/>
  <c r="BQ16" i="7"/>
  <c r="BP16" i="7"/>
  <c r="BI17" i="7"/>
  <c r="BL72" i="7"/>
  <c r="BQ91" i="7"/>
  <c r="BP91" i="7"/>
  <c r="BI92" i="7"/>
  <c r="BQ59" i="7"/>
  <c r="BP59" i="7"/>
  <c r="BI60" i="7"/>
  <c r="BQ27" i="7"/>
  <c r="BP27" i="7"/>
  <c r="BI28" i="7"/>
  <c r="BL47" i="7"/>
  <c r="BL15" i="7"/>
  <c r="BQ112" i="7"/>
  <c r="BP112" i="7"/>
  <c r="BI113" i="7"/>
  <c r="BQ127" i="7"/>
  <c r="BP127" i="7"/>
  <c r="BI128" i="7"/>
  <c r="BQ94" i="7"/>
  <c r="BP94" i="7"/>
  <c r="BI95" i="7"/>
  <c r="BQ110" i="7"/>
  <c r="BP110" i="7"/>
  <c r="BI111" i="7"/>
  <c r="BL134" i="7"/>
  <c r="BL102" i="7"/>
  <c r="BQ78" i="7"/>
  <c r="BP78" i="7"/>
  <c r="BI79" i="7"/>
  <c r="BQ46" i="7"/>
  <c r="BP46" i="7"/>
  <c r="BI47" i="7"/>
  <c r="BQ14" i="7"/>
  <c r="BP14" i="7"/>
  <c r="BI15" i="7"/>
  <c r="BL70" i="7"/>
  <c r="BL38" i="7"/>
  <c r="BQ85" i="7"/>
  <c r="BP85" i="7"/>
  <c r="BI86" i="7"/>
  <c r="BQ53" i="7"/>
  <c r="BP53" i="7"/>
  <c r="BI54" i="7"/>
  <c r="BQ21" i="7"/>
  <c r="BP21" i="7"/>
  <c r="BI22" i="7"/>
  <c r="BQ76" i="7"/>
  <c r="BP76" i="7"/>
  <c r="BI77" i="7"/>
  <c r="BQ44" i="7"/>
  <c r="BP44" i="7"/>
  <c r="BI45" i="7"/>
  <c r="BQ12" i="7"/>
  <c r="BP12" i="7"/>
  <c r="BI13" i="7"/>
  <c r="BN12" i="7" s="1"/>
  <c r="BL68" i="7"/>
  <c r="BL36" i="7"/>
  <c r="BQ87" i="7"/>
  <c r="BP87" i="7"/>
  <c r="BI88" i="7"/>
  <c r="BQ55" i="7"/>
  <c r="BP55" i="7"/>
  <c r="BI56" i="7"/>
  <c r="BQ23" i="7"/>
  <c r="BP23" i="7"/>
  <c r="BI24" i="7"/>
  <c r="BL43" i="7"/>
  <c r="BQ113" i="7"/>
  <c r="BP113" i="7"/>
  <c r="BI114" i="7"/>
  <c r="BQ121" i="7"/>
  <c r="BP121" i="7"/>
  <c r="BI122" i="7"/>
  <c r="BQ117" i="7"/>
  <c r="BP117" i="7"/>
  <c r="BI118" i="7"/>
  <c r="BQ108" i="7"/>
  <c r="BP108" i="7"/>
  <c r="BI109" i="7"/>
  <c r="BL132" i="7"/>
  <c r="BL100" i="7"/>
  <c r="BQ123" i="7"/>
  <c r="BP123" i="7"/>
  <c r="BI124" i="7"/>
  <c r="BL115" i="7"/>
  <c r="BQ106" i="7"/>
  <c r="BP106" i="7"/>
  <c r="BI107" i="7"/>
  <c r="BL130" i="7"/>
  <c r="BQ97" i="7"/>
  <c r="BP97" i="7"/>
  <c r="BI98" i="7"/>
  <c r="BQ74" i="7"/>
  <c r="BP74" i="7"/>
  <c r="BI75" i="7"/>
  <c r="BQ42" i="7"/>
  <c r="BP42" i="7"/>
  <c r="BI43" i="7"/>
  <c r="BL98" i="7"/>
  <c r="BL66" i="7"/>
  <c r="BL34" i="7"/>
  <c r="BQ81" i="7"/>
  <c r="BP81" i="7"/>
  <c r="BI82" i="7"/>
  <c r="BQ49" i="7"/>
  <c r="BP49" i="7"/>
  <c r="BI50" i="7"/>
  <c r="BQ17" i="7"/>
  <c r="BP17" i="7"/>
  <c r="BI18" i="7"/>
  <c r="BQ72" i="7"/>
  <c r="BP72" i="7"/>
  <c r="BI73" i="7"/>
  <c r="BQ40" i="7"/>
  <c r="BP40" i="7"/>
  <c r="BI41" i="7"/>
  <c r="BL96" i="7"/>
  <c r="BQ83" i="7"/>
  <c r="BP83" i="7"/>
  <c r="BI84" i="7"/>
  <c r="BQ51" i="7"/>
  <c r="BP51" i="7"/>
  <c r="BI52" i="7"/>
  <c r="BQ19" i="7"/>
  <c r="BP19" i="7"/>
  <c r="BI20" i="7"/>
  <c r="BL39" i="7"/>
  <c r="AN29" i="7"/>
  <c r="AM29" i="7"/>
  <c r="AM15" i="7"/>
  <c r="AN15" i="7"/>
  <c r="AM118" i="7"/>
  <c r="AN118" i="7"/>
  <c r="AM14" i="7"/>
  <c r="AN14" i="7"/>
  <c r="AM134" i="7"/>
  <c r="AN134" i="7"/>
  <c r="AM53" i="7"/>
  <c r="AM42" i="7"/>
  <c r="AN42" i="7"/>
  <c r="AM113" i="7"/>
  <c r="AN113" i="7"/>
  <c r="AM48" i="7"/>
  <c r="AM72" i="7"/>
  <c r="AN72" i="7"/>
  <c r="AM39" i="7"/>
  <c r="AN116" i="7"/>
  <c r="AM116" i="7"/>
  <c r="AM41" i="7"/>
  <c r="AN41" i="7"/>
  <c r="AN20" i="7"/>
  <c r="AM20" i="7"/>
  <c r="AN21" i="7"/>
  <c r="AM21" i="7"/>
  <c r="AN109" i="7"/>
  <c r="AM109" i="7"/>
  <c r="AM114" i="7"/>
  <c r="AN114" i="7"/>
  <c r="AM98" i="7"/>
  <c r="AN98" i="7"/>
  <c r="AM37" i="7"/>
  <c r="AM50" i="7"/>
  <c r="AM112" i="7"/>
  <c r="AN112" i="7"/>
  <c r="AN43" i="7"/>
  <c r="AM43" i="7"/>
  <c r="AM17" i="7"/>
  <c r="AN17" i="7"/>
  <c r="AN93" i="7"/>
  <c r="AM93" i="7"/>
  <c r="AM103" i="7"/>
  <c r="AM86" i="7"/>
  <c r="AM78" i="7"/>
  <c r="AM64" i="7"/>
  <c r="AN64" i="7"/>
  <c r="AM117" i="7"/>
  <c r="AM77" i="7"/>
  <c r="AN18" i="7"/>
  <c r="AM18" i="7"/>
  <c r="AM111" i="7"/>
  <c r="AN111" i="7"/>
  <c r="AN92" i="7"/>
  <c r="AM92" i="7"/>
  <c r="AM44" i="7"/>
  <c r="AM49" i="7"/>
  <c r="AN49" i="7"/>
  <c r="AM54" i="7"/>
  <c r="AM38" i="7"/>
  <c r="AM22" i="7"/>
  <c r="AN22" i="7"/>
  <c r="AM79" i="7"/>
  <c r="AM115" i="7"/>
  <c r="AN115" i="7"/>
  <c r="AM130" i="7"/>
  <c r="AN130" i="7"/>
  <c r="AM122" i="7"/>
  <c r="AN122" i="7"/>
  <c r="AM69" i="7"/>
  <c r="AM82" i="7"/>
  <c r="AM58" i="7"/>
  <c r="AN19" i="7"/>
  <c r="AM19" i="7"/>
  <c r="AM94" i="7"/>
  <c r="AN94" i="7"/>
  <c r="AM23" i="7"/>
  <c r="AN23" i="7"/>
  <c r="AM40" i="7"/>
  <c r="AM121" i="7"/>
  <c r="AN121" i="7"/>
  <c r="AM16" i="7"/>
  <c r="AN16" i="7"/>
  <c r="AM57" i="7"/>
  <c r="AM110" i="7"/>
  <c r="AN110" i="7"/>
  <c r="AM87" i="7"/>
  <c r="AN87" i="7"/>
  <c r="AM135" i="7"/>
  <c r="AN135" i="7"/>
  <c r="AM105" i="7"/>
  <c r="AN105" i="7"/>
  <c r="AM51" i="7"/>
  <c r="AM52" i="7"/>
  <c r="AM106" i="7"/>
  <c r="AN106" i="7"/>
  <c r="AN45" i="7"/>
  <c r="AM45" i="7"/>
  <c r="AM97" i="7"/>
  <c r="AN97" i="7"/>
  <c r="AM131" i="7"/>
  <c r="AN131" i="7"/>
  <c r="AM104" i="7"/>
  <c r="AM76" i="7"/>
  <c r="AM138" i="7"/>
  <c r="AN138" i="7"/>
  <c r="AJ19" i="6"/>
  <c r="BF19" i="6" s="1"/>
  <c r="V19" i="6"/>
  <c r="BD19" i="6" s="1"/>
  <c r="AJ16" i="6"/>
  <c r="AJ15" i="6"/>
  <c r="AJ17" i="6"/>
  <c r="BF17" i="6" s="1"/>
  <c r="AJ25" i="6"/>
  <c r="AJ12" i="6"/>
  <c r="BF12" i="6" s="1"/>
  <c r="AJ39" i="6"/>
  <c r="BF39" i="6" s="1"/>
  <c r="AJ43" i="6"/>
  <c r="BF43" i="6" s="1"/>
  <c r="AJ21" i="6"/>
  <c r="BF21" i="6" s="1"/>
  <c r="AJ57" i="6"/>
  <c r="AJ13" i="6"/>
  <c r="BF13" i="6" s="1"/>
  <c r="BE13" i="6" s="1"/>
  <c r="AJ24" i="6"/>
  <c r="BF24" i="6" s="1"/>
  <c r="AJ22" i="6"/>
  <c r="AJ42" i="6"/>
  <c r="AJ51" i="6"/>
  <c r="AJ23" i="6"/>
  <c r="BF23" i="6" s="1"/>
  <c r="AJ28" i="6"/>
  <c r="BF28" i="6" s="1"/>
  <c r="AJ36" i="6"/>
  <c r="BF36" i="6" s="1"/>
  <c r="AJ33" i="6"/>
  <c r="BF33" i="6" s="1"/>
  <c r="AJ20" i="6"/>
  <c r="BF20" i="6" s="1"/>
  <c r="AJ54" i="6"/>
  <c r="BF54" i="6" s="1"/>
  <c r="AJ18" i="6"/>
  <c r="AJ27" i="6"/>
  <c r="BF27" i="6" s="1"/>
  <c r="AJ32" i="6"/>
  <c r="BF32" i="6" s="1"/>
  <c r="AJ46" i="6"/>
  <c r="BF46" i="6" s="1"/>
  <c r="AJ50" i="6"/>
  <c r="BF50" i="6" s="1"/>
  <c r="AJ29" i="6"/>
  <c r="BF29" i="6" s="1"/>
  <c r="BF48" i="6"/>
  <c r="BF55" i="6"/>
  <c r="AJ60" i="6"/>
  <c r="BF60" i="6" s="1"/>
  <c r="AJ49" i="6"/>
  <c r="BF49" i="6" s="1"/>
  <c r="AJ66" i="6"/>
  <c r="BF66" i="6" s="1"/>
  <c r="AJ62" i="6"/>
  <c r="BF62" i="6" s="1"/>
  <c r="AJ30" i="6"/>
  <c r="AJ45" i="6"/>
  <c r="AJ34" i="6"/>
  <c r="AJ31" i="6"/>
  <c r="AJ14" i="6"/>
  <c r="BF14" i="6" s="1"/>
  <c r="AJ38" i="6"/>
  <c r="BF38" i="6" s="1"/>
  <c r="AJ47" i="6"/>
  <c r="BF47" i="6" s="1"/>
  <c r="AJ53" i="6"/>
  <c r="BF53" i="6" s="1"/>
  <c r="AJ58" i="6"/>
  <c r="BF58" i="6" s="1"/>
  <c r="V49" i="6"/>
  <c r="BD49" i="6" s="1"/>
  <c r="AJ26" i="6"/>
  <c r="BF26" i="6" s="1"/>
  <c r="AJ56" i="6"/>
  <c r="BF56" i="6" s="1"/>
  <c r="AJ35" i="6"/>
  <c r="BF35" i="6" s="1"/>
  <c r="AJ59" i="6"/>
  <c r="BF59" i="6" s="1"/>
  <c r="V27" i="6"/>
  <c r="BD27" i="6" s="1"/>
  <c r="AP68" i="6"/>
  <c r="V68" i="6"/>
  <c r="BD68" i="6" s="1"/>
  <c r="AP52" i="6"/>
  <c r="AU52" i="6" s="1"/>
  <c r="AP49" i="6"/>
  <c r="V48" i="6"/>
  <c r="BD48" i="6" s="1"/>
  <c r="AP22" i="6"/>
  <c r="AU22" i="6" s="1"/>
  <c r="AP33" i="6"/>
  <c r="AU33" i="6" s="1"/>
  <c r="AP27" i="6"/>
  <c r="AU27" i="6" s="1"/>
  <c r="V17" i="6"/>
  <c r="BD17" i="6" s="1"/>
  <c r="AP41" i="6"/>
  <c r="AU41" i="6" s="1"/>
  <c r="AP61" i="6"/>
  <c r="V18" i="6"/>
  <c r="BD18" i="6" s="1"/>
  <c r="AP50" i="6"/>
  <c r="AU50" i="6" s="1"/>
  <c r="AP60" i="6"/>
  <c r="AP28" i="6"/>
  <c r="AU28" i="6" s="1"/>
  <c r="AP39" i="6"/>
  <c r="AU39" i="6" s="1"/>
  <c r="AP43" i="6"/>
  <c r="AU43" i="6" s="1"/>
  <c r="AP29" i="6"/>
  <c r="AU29" i="6" s="1"/>
  <c r="V40" i="6"/>
  <c r="BD40" i="6" s="1"/>
  <c r="AP25" i="6"/>
  <c r="AU25" i="6" s="1"/>
  <c r="AP63" i="6"/>
  <c r="V60" i="6"/>
  <c r="BD60" i="6" s="1"/>
  <c r="AP38" i="6"/>
  <c r="AU38" i="6" s="1"/>
  <c r="AP66" i="6"/>
  <c r="AU66" i="6" s="1"/>
  <c r="V44" i="6"/>
  <c r="BD44" i="6" s="1"/>
  <c r="V35" i="6"/>
  <c r="BD35" i="6" s="1"/>
  <c r="V23" i="6"/>
  <c r="BD23" i="6" s="1"/>
  <c r="AP62" i="6"/>
  <c r="AU62" i="6" s="1"/>
  <c r="AP48" i="6"/>
  <c r="AU48" i="6" s="1"/>
  <c r="V31" i="6"/>
  <c r="BD31" i="6" s="1"/>
  <c r="AP42" i="6"/>
  <c r="AU42" i="6" s="1"/>
  <c r="AP35" i="6"/>
  <c r="AU35" i="6" s="1"/>
  <c r="V64" i="6"/>
  <c r="BD64" i="6" s="1"/>
  <c r="V53" i="6"/>
  <c r="BD53" i="6" s="1"/>
  <c r="AP34" i="6"/>
  <c r="V63" i="6"/>
  <c r="BD63" i="6" s="1"/>
  <c r="BF63" i="6"/>
  <c r="BG55" i="6"/>
  <c r="AP20" i="6"/>
  <c r="AU20" i="6" s="1"/>
  <c r="AP58" i="6"/>
  <c r="AU58" i="6" s="1"/>
  <c r="AP40" i="6"/>
  <c r="AU40" i="6" s="1"/>
  <c r="AP57" i="6"/>
  <c r="AZ55" i="6"/>
  <c r="BB55" i="6" s="1"/>
  <c r="BC55" i="6" s="1"/>
  <c r="V22" i="6"/>
  <c r="BD22" i="6" s="1"/>
  <c r="AP18" i="6"/>
  <c r="AU18" i="6" s="1"/>
  <c r="AP24" i="6"/>
  <c r="AU24" i="6" s="1"/>
  <c r="V14" i="6"/>
  <c r="BD14" i="6" s="1"/>
  <c r="AP46" i="6"/>
  <c r="AU46" i="6" s="1"/>
  <c r="AP59" i="6"/>
  <c r="AU59" i="6" s="1"/>
  <c r="AP37" i="6"/>
  <c r="AP26" i="6"/>
  <c r="AU26" i="6" s="1"/>
  <c r="AP23" i="6"/>
  <c r="AP47" i="6"/>
  <c r="AU47" i="6" s="1"/>
  <c r="V12" i="6"/>
  <c r="AP31" i="6"/>
  <c r="AU31" i="6" s="1"/>
  <c r="AP54" i="6"/>
  <c r="AP36" i="6"/>
  <c r="AU36" i="6" s="1"/>
  <c r="AK70" i="6"/>
  <c r="AL70" i="6" s="1"/>
  <c r="AM70" i="6" s="1"/>
  <c r="AP32" i="6"/>
  <c r="AU32" i="6" s="1"/>
  <c r="AP44" i="6"/>
  <c r="AU44" i="6" s="1"/>
  <c r="AP15" i="6"/>
  <c r="AU15" i="6" s="1"/>
  <c r="AP51" i="6"/>
  <c r="AU51" i="6" s="1"/>
  <c r="AP64" i="6"/>
  <c r="AO69" i="6"/>
  <c r="AP67" i="6"/>
  <c r="AP45" i="6"/>
  <c r="AU45" i="6" s="1"/>
  <c r="AP65" i="6"/>
  <c r="AP56" i="6"/>
  <c r="AU56" i="6" s="1"/>
  <c r="AP53" i="6"/>
  <c r="AU53" i="6" s="1"/>
  <c r="AP30" i="6"/>
  <c r="AU30" i="6" s="1"/>
  <c r="V24" i="6"/>
  <c r="BD24" i="6" s="1"/>
  <c r="V65" i="6"/>
  <c r="BD65" i="6" s="1"/>
  <c r="V26" i="6"/>
  <c r="BD26" i="6" s="1"/>
  <c r="L80" i="6"/>
  <c r="V32" i="6"/>
  <c r="K80" i="6"/>
  <c r="W70" i="6"/>
  <c r="X70" i="6" s="1"/>
  <c r="Y70" i="6" s="1"/>
  <c r="BK70" i="6" s="1"/>
  <c r="Q70" i="6"/>
  <c r="R70" i="6" s="1"/>
  <c r="AG70" i="6" s="1"/>
  <c r="V67" i="6"/>
  <c r="BD67" i="6" s="1"/>
  <c r="AC70" i="6"/>
  <c r="AD70" i="6" s="1"/>
  <c r="AE70" i="6" s="1"/>
  <c r="P70" i="6"/>
  <c r="V36" i="6"/>
  <c r="Z70" i="6"/>
  <c r="AA70" i="6" s="1"/>
  <c r="AB70" i="6" s="1"/>
  <c r="BJ70" i="6" s="1"/>
  <c r="S70" i="6"/>
  <c r="V39" i="6"/>
  <c r="BD39" i="6" s="1"/>
  <c r="V25" i="6"/>
  <c r="BD25" i="6" s="1"/>
  <c r="V16" i="6"/>
  <c r="BD16" i="6" s="1"/>
  <c r="V51" i="6"/>
  <c r="V42" i="6"/>
  <c r="BD42" i="6" s="1"/>
  <c r="O71" i="6"/>
  <c r="V56" i="6"/>
  <c r="BD56" i="6" s="1"/>
  <c r="V15" i="6"/>
  <c r="BD15" i="6" s="1"/>
  <c r="V66" i="6"/>
  <c r="V58" i="6"/>
  <c r="BD58" i="6" s="1"/>
  <c r="V41" i="6"/>
  <c r="V45" i="6"/>
  <c r="BD45" i="6" s="1"/>
  <c r="AN69" i="6"/>
  <c r="AF69" i="6"/>
  <c r="V46" i="6"/>
  <c r="BD46" i="6" s="1"/>
  <c r="V33" i="6"/>
  <c r="BD33" i="6" s="1"/>
  <c r="V43" i="6"/>
  <c r="BD43" i="6" s="1"/>
  <c r="V28" i="6"/>
  <c r="V62" i="6"/>
  <c r="BD62" i="6" s="1"/>
  <c r="V38" i="6"/>
  <c r="V30" i="6"/>
  <c r="V52" i="6"/>
  <c r="V29" i="6"/>
  <c r="BD29" i="6" s="1"/>
  <c r="V50" i="6"/>
  <c r="V54" i="6"/>
  <c r="BD54" i="6" s="1"/>
  <c r="V47" i="6"/>
  <c r="V37" i="6"/>
  <c r="V59" i="6"/>
  <c r="V34" i="6"/>
  <c r="X69" i="6"/>
  <c r="Y69" i="6" s="1"/>
  <c r="BK69" i="6" s="1"/>
  <c r="T69" i="6"/>
  <c r="N72" i="6"/>
  <c r="O72" i="6" s="1"/>
  <c r="U69" i="6"/>
  <c r="J73" i="6"/>
  <c r="G81" i="1"/>
  <c r="C127" i="2"/>
  <c r="F127" i="2" s="1"/>
  <c r="G83" i="1" s="1"/>
  <c r="G107" i="1"/>
  <c r="C156" i="2"/>
  <c r="F156" i="2" s="1"/>
  <c r="G109" i="1" s="1"/>
  <c r="C128" i="2"/>
  <c r="F128" i="2" s="1"/>
  <c r="G84" i="1" s="1"/>
  <c r="BR101" i="7" l="1"/>
  <c r="BR116" i="7"/>
  <c r="BR131" i="7"/>
  <c r="BR26" i="7"/>
  <c r="BR30" i="7"/>
  <c r="BR95" i="7"/>
  <c r="BR25" i="7"/>
  <c r="BR14" i="7"/>
  <c r="BR15" i="7"/>
  <c r="BR31" i="7"/>
  <c r="BR13" i="7"/>
  <c r="AN12" i="7"/>
  <c r="AM13" i="7"/>
  <c r="AM12" i="7"/>
  <c r="AN90" i="7"/>
  <c r="BX8" i="7"/>
  <c r="BR12" i="7"/>
  <c r="AO8" i="7"/>
  <c r="G78" i="1" s="1"/>
  <c r="BP8" i="7"/>
  <c r="BQ8" i="7"/>
  <c r="BL8" i="7"/>
  <c r="BM7" i="7" s="1"/>
  <c r="AM31" i="7"/>
  <c r="BR118" i="7"/>
  <c r="AM36" i="7"/>
  <c r="AM35" i="7"/>
  <c r="AM30" i="7"/>
  <c r="BR49" i="7"/>
  <c r="AM101" i="7"/>
  <c r="BR48" i="7"/>
  <c r="AN101" i="7"/>
  <c r="BR117" i="7"/>
  <c r="BR22" i="7"/>
  <c r="AM25" i="7"/>
  <c r="BR23" i="7"/>
  <c r="AN132" i="7"/>
  <c r="BR29" i="7"/>
  <c r="BR42" i="7"/>
  <c r="BR78" i="7"/>
  <c r="BR109" i="7"/>
  <c r="BR77" i="7"/>
  <c r="BR50" i="7"/>
  <c r="AH70" i="6"/>
  <c r="BR36" i="7"/>
  <c r="BR104" i="7"/>
  <c r="AN91" i="7"/>
  <c r="AM90" i="7"/>
  <c r="BR37" i="7"/>
  <c r="BR111" i="7"/>
  <c r="BR112" i="7"/>
  <c r="AN133" i="7"/>
  <c r="AM133" i="7"/>
  <c r="BR41" i="7"/>
  <c r="BR98" i="7"/>
  <c r="BR33" i="7"/>
  <c r="BR129" i="7"/>
  <c r="BR130" i="7"/>
  <c r="BR68" i="7"/>
  <c r="AN100" i="7"/>
  <c r="AN99" i="7"/>
  <c r="BR99" i="7"/>
  <c r="BR24" i="7"/>
  <c r="BR103" i="7"/>
  <c r="BR94" i="7"/>
  <c r="AM99" i="7"/>
  <c r="BR97" i="7"/>
  <c r="AN125" i="7"/>
  <c r="BN96" i="7"/>
  <c r="BR69" i="7"/>
  <c r="BR90" i="7"/>
  <c r="BR63" i="7"/>
  <c r="BR56" i="7"/>
  <c r="AM129" i="7"/>
  <c r="BR84" i="7"/>
  <c r="BR28" i="7"/>
  <c r="BR93" i="7"/>
  <c r="BR121" i="7"/>
  <c r="BR21" i="7"/>
  <c r="BR47" i="7"/>
  <c r="BR92" i="7"/>
  <c r="BR85" i="7"/>
  <c r="BR55" i="7"/>
  <c r="AN61" i="7"/>
  <c r="BR83" i="7"/>
  <c r="AM84" i="7"/>
  <c r="AM125" i="7"/>
  <c r="BR102" i="7"/>
  <c r="BR45" i="7"/>
  <c r="AM95" i="7"/>
  <c r="BR86" i="7"/>
  <c r="BR40" i="7"/>
  <c r="BR57" i="7"/>
  <c r="AM96" i="7"/>
  <c r="AM63" i="7"/>
  <c r="AM83" i="7"/>
  <c r="BR82" i="7"/>
  <c r="AN126" i="7"/>
  <c r="BR122" i="7"/>
  <c r="BR114" i="7"/>
  <c r="BR60" i="7"/>
  <c r="BR62" i="7"/>
  <c r="AN137" i="7"/>
  <c r="BR126" i="7"/>
  <c r="AN136" i="7"/>
  <c r="AM136" i="7"/>
  <c r="BR16" i="7"/>
  <c r="BR32" i="7"/>
  <c r="AM123" i="7"/>
  <c r="BR123" i="7"/>
  <c r="BR137" i="7"/>
  <c r="BR91" i="7"/>
  <c r="AM67" i="7"/>
  <c r="BR61" i="7"/>
  <c r="BR46" i="7"/>
  <c r="BR44" i="7"/>
  <c r="BR53" i="7"/>
  <c r="BR113" i="7"/>
  <c r="AN60" i="7"/>
  <c r="BR134" i="7"/>
  <c r="AM80" i="7"/>
  <c r="AM124" i="7"/>
  <c r="AM60" i="7"/>
  <c r="BR107" i="7"/>
  <c r="BR115" i="7"/>
  <c r="BR119" i="7"/>
  <c r="AN124" i="7"/>
  <c r="AM33" i="7"/>
  <c r="BR128" i="7"/>
  <c r="AN80" i="7"/>
  <c r="AN120" i="7"/>
  <c r="AM34" i="7"/>
  <c r="AM128" i="7"/>
  <c r="BR133" i="7"/>
  <c r="AM120" i="7"/>
  <c r="AN81" i="7"/>
  <c r="AN119" i="7"/>
  <c r="BR39" i="7"/>
  <c r="BR18" i="7"/>
  <c r="BR106" i="7"/>
  <c r="BR87" i="7"/>
  <c r="BR96" i="7"/>
  <c r="BR72" i="7"/>
  <c r="BR105" i="7"/>
  <c r="BR76" i="7"/>
  <c r="BR52" i="7"/>
  <c r="BR17" i="7"/>
  <c r="BR19" i="7"/>
  <c r="AM46" i="7"/>
  <c r="BR43" i="7"/>
  <c r="BR135" i="7"/>
  <c r="BR110" i="7"/>
  <c r="BR59" i="7"/>
  <c r="BR71" i="7"/>
  <c r="AN89" i="7"/>
  <c r="AN24" i="7"/>
  <c r="BR120" i="7"/>
  <c r="AM24" i="7"/>
  <c r="AM56" i="7"/>
  <c r="BR58" i="7"/>
  <c r="BR136" i="7"/>
  <c r="BR20" i="7"/>
  <c r="AM89" i="7"/>
  <c r="AN88" i="7"/>
  <c r="BN17" i="7"/>
  <c r="BR51" i="7"/>
  <c r="BR27" i="7"/>
  <c r="AM66" i="7"/>
  <c r="AM127" i="7"/>
  <c r="AM28" i="7"/>
  <c r="AN28" i="7"/>
  <c r="AM27" i="7"/>
  <c r="BR38" i="7"/>
  <c r="BR54" i="7"/>
  <c r="AN65" i="7"/>
  <c r="BN48" i="7"/>
  <c r="BR70" i="7"/>
  <c r="BN76" i="7"/>
  <c r="BN39" i="7"/>
  <c r="BN135" i="7"/>
  <c r="BN40" i="7"/>
  <c r="BN44" i="7"/>
  <c r="BN80" i="7"/>
  <c r="BN71" i="7"/>
  <c r="BN94" i="7"/>
  <c r="BR73" i="7"/>
  <c r="BN83" i="7"/>
  <c r="AM71" i="7"/>
  <c r="BN103" i="7"/>
  <c r="BN117" i="7"/>
  <c r="AN127" i="7"/>
  <c r="BN57" i="7"/>
  <c r="BN65" i="7"/>
  <c r="AM70" i="7"/>
  <c r="BN106" i="7"/>
  <c r="BN74" i="7"/>
  <c r="AM74" i="7"/>
  <c r="BN67" i="7"/>
  <c r="BR65" i="7"/>
  <c r="AM75" i="7"/>
  <c r="BN97" i="7"/>
  <c r="BR79" i="7"/>
  <c r="BN42" i="7"/>
  <c r="BN72" i="7"/>
  <c r="BN89" i="7"/>
  <c r="BN21" i="7"/>
  <c r="BN99" i="7"/>
  <c r="BR80" i="7"/>
  <c r="BN101" i="7"/>
  <c r="BN69" i="7"/>
  <c r="BN105" i="7"/>
  <c r="BN23" i="7"/>
  <c r="BN125" i="7"/>
  <c r="BN35" i="7"/>
  <c r="BN19" i="7"/>
  <c r="BN112" i="7"/>
  <c r="BN85" i="7"/>
  <c r="BN16" i="7"/>
  <c r="BN116" i="7"/>
  <c r="BN37" i="7"/>
  <c r="BN51" i="7"/>
  <c r="BN113" i="7"/>
  <c r="BN31" i="7"/>
  <c r="BN133" i="7"/>
  <c r="BN29" i="7"/>
  <c r="BN55" i="7"/>
  <c r="BN14" i="7"/>
  <c r="BN120" i="7"/>
  <c r="BN108" i="7"/>
  <c r="BN127" i="7"/>
  <c r="BN27" i="7"/>
  <c r="BN123" i="7"/>
  <c r="BN53" i="7"/>
  <c r="BN131" i="7"/>
  <c r="BN87" i="7"/>
  <c r="BN91" i="7"/>
  <c r="AM107" i="7"/>
  <c r="AN107" i="7"/>
  <c r="AM108" i="7"/>
  <c r="BN46" i="7"/>
  <c r="BN61" i="7"/>
  <c r="BN59" i="7"/>
  <c r="BR108" i="7"/>
  <c r="BN129" i="7"/>
  <c r="BN49" i="7"/>
  <c r="BN22" i="7"/>
  <c r="BN62" i="7"/>
  <c r="BN92" i="7"/>
  <c r="BN32" i="7"/>
  <c r="BN79" i="7"/>
  <c r="BN77" i="7"/>
  <c r="BN24" i="7"/>
  <c r="BN109" i="7"/>
  <c r="BN121" i="7"/>
  <c r="BN50" i="7"/>
  <c r="BN114" i="7"/>
  <c r="BN63" i="7"/>
  <c r="BN52" i="7"/>
  <c r="BN33" i="7"/>
  <c r="BN122" i="7"/>
  <c r="BN73" i="7"/>
  <c r="BN130" i="7"/>
  <c r="BN102" i="7"/>
  <c r="AN128" i="7"/>
  <c r="BN110" i="7"/>
  <c r="BN54" i="7"/>
  <c r="BN118" i="7"/>
  <c r="BN26" i="7"/>
  <c r="BN28" i="7"/>
  <c r="BN95" i="7"/>
  <c r="BN136" i="7"/>
  <c r="BN75" i="7"/>
  <c r="BN66" i="7"/>
  <c r="BN132" i="7"/>
  <c r="BN15" i="7"/>
  <c r="BN13" i="7"/>
  <c r="BN25" i="7"/>
  <c r="BN56" i="7"/>
  <c r="BN137" i="7"/>
  <c r="BN138" i="7"/>
  <c r="BN64" i="7"/>
  <c r="BN38" i="7"/>
  <c r="BN82" i="7"/>
  <c r="BN84" i="7"/>
  <c r="BN107" i="7"/>
  <c r="BN30" i="7"/>
  <c r="BN126" i="7"/>
  <c r="BN115" i="7"/>
  <c r="BN134" i="7"/>
  <c r="BN36" i="7"/>
  <c r="BN119" i="7"/>
  <c r="BN78" i="7"/>
  <c r="BN90" i="7"/>
  <c r="BN86" i="7"/>
  <c r="BN93" i="7"/>
  <c r="BN58" i="7"/>
  <c r="BN60" i="7"/>
  <c r="BN128" i="7"/>
  <c r="BN47" i="7"/>
  <c r="BN45" i="7"/>
  <c r="BN18" i="7"/>
  <c r="BN20" i="7"/>
  <c r="BN88" i="7"/>
  <c r="BN41" i="7"/>
  <c r="BN98" i="7"/>
  <c r="BN70" i="7"/>
  <c r="BN81" i="7"/>
  <c r="BN124" i="7"/>
  <c r="BN111" i="7"/>
  <c r="BN43" i="7"/>
  <c r="BN34" i="7"/>
  <c r="BN100" i="7"/>
  <c r="BN104" i="7"/>
  <c r="BN68" i="7"/>
  <c r="BR127" i="7"/>
  <c r="AZ19" i="6"/>
  <c r="BB19" i="6" s="1"/>
  <c r="BC19" i="6" s="1"/>
  <c r="BE12" i="6"/>
  <c r="AZ21" i="6"/>
  <c r="BB21" i="6" s="1"/>
  <c r="BC21" i="6" s="1"/>
  <c r="AU23" i="6"/>
  <c r="BG23" i="6" s="1"/>
  <c r="AU65" i="6"/>
  <c r="BG65" i="6" s="1"/>
  <c r="BE55" i="6"/>
  <c r="AU60" i="6"/>
  <c r="AZ60" i="6" s="1"/>
  <c r="BB60" i="6" s="1"/>
  <c r="BC60" i="6" s="1"/>
  <c r="AU34" i="6"/>
  <c r="BG34" i="6" s="1"/>
  <c r="AU63" i="6"/>
  <c r="BG63" i="6" s="1"/>
  <c r="AU68" i="6"/>
  <c r="AZ68" i="6" s="1"/>
  <c r="BB68" i="6" s="1"/>
  <c r="BC68" i="6" s="1"/>
  <c r="AU67" i="6"/>
  <c r="BG67" i="6" s="1"/>
  <c r="BE67" i="6" s="1"/>
  <c r="AU37" i="6"/>
  <c r="BG37" i="6" s="1"/>
  <c r="AU49" i="6"/>
  <c r="BG49" i="6" s="1"/>
  <c r="AU54" i="6"/>
  <c r="BG54" i="6" s="1"/>
  <c r="AU57" i="6"/>
  <c r="BG57" i="6" s="1"/>
  <c r="AU61" i="6"/>
  <c r="AZ61" i="6" s="1"/>
  <c r="BB61" i="6" s="1"/>
  <c r="BC61" i="6" s="1"/>
  <c r="AU64" i="6"/>
  <c r="AZ64" i="6" s="1"/>
  <c r="BB64" i="6" s="1"/>
  <c r="BC64" i="6" s="1"/>
  <c r="AJ69" i="6"/>
  <c r="BF69" i="6" s="1"/>
  <c r="AZ20" i="6"/>
  <c r="BB20" i="6" s="1"/>
  <c r="BC20" i="6" s="1"/>
  <c r="BL13" i="6"/>
  <c r="BG20" i="6"/>
  <c r="BL20" i="6" s="1"/>
  <c r="AZ13" i="6"/>
  <c r="BB13" i="6" s="1"/>
  <c r="BC13" i="6" s="1"/>
  <c r="BL17" i="6"/>
  <c r="AZ44" i="6"/>
  <c r="BB44" i="6" s="1"/>
  <c r="BC44" i="6" s="1"/>
  <c r="AZ17" i="6"/>
  <c r="BB17" i="6" s="1"/>
  <c r="BC17" i="6" s="1"/>
  <c r="BE17" i="6"/>
  <c r="BL19" i="6"/>
  <c r="BL21" i="6"/>
  <c r="BL55" i="6"/>
  <c r="BL14" i="6"/>
  <c r="BE14" i="6"/>
  <c r="AZ41" i="6"/>
  <c r="BB41" i="6" s="1"/>
  <c r="BC41" i="6" s="1"/>
  <c r="BD41" i="6"/>
  <c r="BD34" i="6"/>
  <c r="AZ52" i="6"/>
  <c r="BB52" i="6" s="1"/>
  <c r="BC52" i="6" s="1"/>
  <c r="BD52" i="6"/>
  <c r="BF31" i="6"/>
  <c r="BF42" i="6"/>
  <c r="BG62" i="6"/>
  <c r="BE62" i="6" s="1"/>
  <c r="BG46" i="6"/>
  <c r="BE46" i="6" s="1"/>
  <c r="BG58" i="6"/>
  <c r="BE58" i="6" s="1"/>
  <c r="BG33" i="6"/>
  <c r="BE33" i="6" s="1"/>
  <c r="AZ27" i="6"/>
  <c r="BB27" i="6" s="1"/>
  <c r="BC27" i="6" s="1"/>
  <c r="BG27" i="6"/>
  <c r="BL27" i="6" s="1"/>
  <c r="BG15" i="6"/>
  <c r="BE21" i="6"/>
  <c r="BG66" i="6"/>
  <c r="BE66" i="6" s="1"/>
  <c r="BF25" i="6"/>
  <c r="AZ30" i="6"/>
  <c r="BB30" i="6" s="1"/>
  <c r="BC30" i="6" s="1"/>
  <c r="BD30" i="6"/>
  <c r="AZ66" i="6"/>
  <c r="BB66" i="6" s="1"/>
  <c r="BC66" i="6" s="1"/>
  <c r="BD66" i="6"/>
  <c r="BF18" i="6"/>
  <c r="BG22" i="6"/>
  <c r="BG29" i="6"/>
  <c r="BE29" i="6" s="1"/>
  <c r="BG24" i="6"/>
  <c r="BG38" i="6"/>
  <c r="BE38" i="6" s="1"/>
  <c r="BG42" i="6"/>
  <c r="BG30" i="6"/>
  <c r="BG31" i="6"/>
  <c r="AZ40" i="6"/>
  <c r="BB40" i="6" s="1"/>
  <c r="BC40" i="6" s="1"/>
  <c r="AZ59" i="6"/>
  <c r="BB59" i="6" s="1"/>
  <c r="BC59" i="6" s="1"/>
  <c r="BD59" i="6"/>
  <c r="AZ38" i="6"/>
  <c r="BB38" i="6" s="1"/>
  <c r="BC38" i="6" s="1"/>
  <c r="BD38" i="6"/>
  <c r="BF45" i="6"/>
  <c r="BG45" i="6"/>
  <c r="BG39" i="6"/>
  <c r="BL39" i="6" s="1"/>
  <c r="BG43" i="6"/>
  <c r="BE43" i="6" s="1"/>
  <c r="BG59" i="6"/>
  <c r="BE59" i="6" s="1"/>
  <c r="AZ50" i="6"/>
  <c r="BB50" i="6" s="1"/>
  <c r="BC50" i="6" s="1"/>
  <c r="BD50" i="6"/>
  <c r="BF22" i="6"/>
  <c r="BF37" i="6"/>
  <c r="BG28" i="6"/>
  <c r="BE28" i="6" s="1"/>
  <c r="BG41" i="6"/>
  <c r="BE41" i="6" s="1"/>
  <c r="BG25" i="6"/>
  <c r="AZ53" i="6"/>
  <c r="BB53" i="6" s="1"/>
  <c r="BC53" i="6" s="1"/>
  <c r="BG53" i="6"/>
  <c r="BE53" i="6" s="1"/>
  <c r="BF34" i="6"/>
  <c r="BG40" i="6"/>
  <c r="AZ51" i="6"/>
  <c r="BB51" i="6" s="1"/>
  <c r="BC51" i="6" s="1"/>
  <c r="BD51" i="6"/>
  <c r="AZ36" i="6"/>
  <c r="BB36" i="6" s="1"/>
  <c r="BC36" i="6" s="1"/>
  <c r="BD36" i="6"/>
  <c r="BF15" i="6"/>
  <c r="BG26" i="6"/>
  <c r="BE26" i="6" s="1"/>
  <c r="BG18" i="6"/>
  <c r="BG44" i="6"/>
  <c r="BL44" i="6" s="1"/>
  <c r="BG32" i="6"/>
  <c r="BE32" i="6" s="1"/>
  <c r="BE19" i="6"/>
  <c r="BF51" i="6"/>
  <c r="BF16" i="6"/>
  <c r="BE16" i="6" s="1"/>
  <c r="BG50" i="6"/>
  <c r="BE50" i="6" s="1"/>
  <c r="BG48" i="6"/>
  <c r="BL48" i="6" s="1"/>
  <c r="BG56" i="6"/>
  <c r="BE56" i="6" s="1"/>
  <c r="BG36" i="6"/>
  <c r="BD37" i="6"/>
  <c r="AZ47" i="6"/>
  <c r="BB47" i="6" s="1"/>
  <c r="BC47" i="6" s="1"/>
  <c r="BD47" i="6"/>
  <c r="AZ28" i="6"/>
  <c r="BB28" i="6" s="1"/>
  <c r="BC28" i="6" s="1"/>
  <c r="BD28" i="6"/>
  <c r="AZ32" i="6"/>
  <c r="BB32" i="6" s="1"/>
  <c r="BC32" i="6" s="1"/>
  <c r="BD32" i="6"/>
  <c r="BF30" i="6"/>
  <c r="BG51" i="6"/>
  <c r="BG47" i="6"/>
  <c r="BE47" i="6" s="1"/>
  <c r="BG52" i="6"/>
  <c r="BE52" i="6" s="1"/>
  <c r="BG35" i="6"/>
  <c r="BF57" i="6"/>
  <c r="AZ46" i="6"/>
  <c r="BB46" i="6" s="1"/>
  <c r="BC46" i="6" s="1"/>
  <c r="AZ45" i="6"/>
  <c r="BB45" i="6" s="1"/>
  <c r="BC45" i="6" s="1"/>
  <c r="AZ16" i="6"/>
  <c r="BB16" i="6" s="1"/>
  <c r="BC16" i="6" s="1"/>
  <c r="AZ25" i="6"/>
  <c r="BB25" i="6" s="1"/>
  <c r="BC25" i="6" s="1"/>
  <c r="AZ22" i="6"/>
  <c r="BB22" i="6" s="1"/>
  <c r="BC22" i="6" s="1"/>
  <c r="AZ62" i="6"/>
  <c r="BB62" i="6" s="1"/>
  <c r="AZ58" i="6"/>
  <c r="BB58" i="6" s="1"/>
  <c r="BC58" i="6" s="1"/>
  <c r="AZ42" i="6"/>
  <c r="BB42" i="6" s="1"/>
  <c r="BC42" i="6" s="1"/>
  <c r="AZ39" i="6"/>
  <c r="BB39" i="6" s="1"/>
  <c r="BC39" i="6" s="1"/>
  <c r="AZ14" i="6"/>
  <c r="BB14" i="6" s="1"/>
  <c r="BC14" i="6" s="1"/>
  <c r="AZ31" i="6"/>
  <c r="BB31" i="6" s="1"/>
  <c r="BC31" i="6" s="1"/>
  <c r="AZ48" i="6"/>
  <c r="BB48" i="6" s="1"/>
  <c r="BC48" i="6" s="1"/>
  <c r="AZ26" i="6"/>
  <c r="BB26" i="6" s="1"/>
  <c r="BC26" i="6" s="1"/>
  <c r="AZ24" i="6"/>
  <c r="BB24" i="6" s="1"/>
  <c r="BC24" i="6" s="1"/>
  <c r="AZ18" i="6"/>
  <c r="BB18" i="6" s="1"/>
  <c r="BC18" i="6" s="1"/>
  <c r="AZ29" i="6"/>
  <c r="BB29" i="6" s="1"/>
  <c r="BC29" i="6" s="1"/>
  <c r="AZ43" i="6"/>
  <c r="BB43" i="6" s="1"/>
  <c r="BC43" i="6" s="1"/>
  <c r="AZ15" i="6"/>
  <c r="BB15" i="6" s="1"/>
  <c r="BC15" i="6" s="1"/>
  <c r="AZ33" i="6"/>
  <c r="BB33" i="6" s="1"/>
  <c r="BC33" i="6" s="1"/>
  <c r="AZ56" i="6"/>
  <c r="BB56" i="6" s="1"/>
  <c r="BC56" i="6" s="1"/>
  <c r="T70" i="6"/>
  <c r="AV70" i="6"/>
  <c r="BH70" i="6" s="1"/>
  <c r="AZ35" i="6"/>
  <c r="BB35" i="6" s="1"/>
  <c r="BC35" i="6" s="1"/>
  <c r="BD12" i="6"/>
  <c r="BL12" i="6" s="1"/>
  <c r="AZ12" i="6"/>
  <c r="BB12" i="6" s="1"/>
  <c r="BC12" i="6" s="1"/>
  <c r="AO70" i="6"/>
  <c r="AP69" i="6"/>
  <c r="AU69" i="6" s="1"/>
  <c r="AK71" i="6"/>
  <c r="AL71" i="6" s="1"/>
  <c r="AM71" i="6" s="1"/>
  <c r="U70" i="6"/>
  <c r="Q71" i="6"/>
  <c r="R71" i="6" s="1"/>
  <c r="AG71" i="6" s="1"/>
  <c r="L81" i="6"/>
  <c r="Z71" i="6"/>
  <c r="AA71" i="6" s="1"/>
  <c r="AB71" i="6" s="1"/>
  <c r="BJ71" i="6" s="1"/>
  <c r="S71" i="6"/>
  <c r="AC71" i="6"/>
  <c r="AD71" i="6" s="1"/>
  <c r="AE71" i="6" s="1"/>
  <c r="K81" i="6"/>
  <c r="W71" i="6"/>
  <c r="X71" i="6" s="1"/>
  <c r="Y71" i="6" s="1"/>
  <c r="BK71" i="6" s="1"/>
  <c r="AF70" i="6"/>
  <c r="AN70" i="6"/>
  <c r="P71" i="6"/>
  <c r="AK72" i="6"/>
  <c r="AL72" i="6" s="1"/>
  <c r="AM72" i="6" s="1"/>
  <c r="N73" i="6"/>
  <c r="O73" i="6" s="1"/>
  <c r="AC72" i="6"/>
  <c r="AD72" i="6" s="1"/>
  <c r="AE72" i="6" s="1"/>
  <c r="Z72" i="6"/>
  <c r="AA72" i="6" s="1"/>
  <c r="AB72" i="6" s="1"/>
  <c r="BJ72" i="6" s="1"/>
  <c r="Q72" i="6"/>
  <c r="R72" i="6" s="1"/>
  <c r="AG72" i="6" s="1"/>
  <c r="S72" i="6"/>
  <c r="AV72" i="6" s="1"/>
  <c r="BH72" i="6" s="1"/>
  <c r="P72" i="6"/>
  <c r="W72" i="6"/>
  <c r="J74" i="6"/>
  <c r="V69" i="6"/>
  <c r="F117" i="2"/>
  <c r="AM8" i="7" l="1"/>
  <c r="G77" i="1" s="1"/>
  <c r="BN8" i="7"/>
  <c r="BO7" i="7" s="1"/>
  <c r="BO14" i="7" s="1"/>
  <c r="BR8" i="7"/>
  <c r="AJ70" i="6"/>
  <c r="AH71" i="6"/>
  <c r="AZ37" i="6"/>
  <c r="BB37" i="6" s="1"/>
  <c r="BC37" i="6" s="1"/>
  <c r="AH72" i="6"/>
  <c r="BM16" i="7"/>
  <c r="BM24" i="7"/>
  <c r="BM32" i="7"/>
  <c r="BM40" i="7"/>
  <c r="BM48" i="7"/>
  <c r="BM56" i="7"/>
  <c r="BM64" i="7"/>
  <c r="BM72" i="7"/>
  <c r="BM80" i="7"/>
  <c r="BM88" i="7"/>
  <c r="BM96" i="7"/>
  <c r="BM104" i="7"/>
  <c r="BM112" i="7"/>
  <c r="BM120" i="7"/>
  <c r="BM128" i="7"/>
  <c r="BM136" i="7"/>
  <c r="BM17" i="7"/>
  <c r="BM25" i="7"/>
  <c r="BM33" i="7"/>
  <c r="BM41" i="7"/>
  <c r="BM49" i="7"/>
  <c r="BM57" i="7"/>
  <c r="BM65" i="7"/>
  <c r="BM73" i="7"/>
  <c r="BM81" i="7"/>
  <c r="BM89" i="7"/>
  <c r="BM97" i="7"/>
  <c r="BM105" i="7"/>
  <c r="BM113" i="7"/>
  <c r="BM121" i="7"/>
  <c r="BM129" i="7"/>
  <c r="BM137" i="7"/>
  <c r="BM18" i="7"/>
  <c r="BM26" i="7"/>
  <c r="BM34" i="7"/>
  <c r="BM42" i="7"/>
  <c r="BM50" i="7"/>
  <c r="BM58" i="7"/>
  <c r="BM66" i="7"/>
  <c r="BM74" i="7"/>
  <c r="BM82" i="7"/>
  <c r="BM90" i="7"/>
  <c r="BM98" i="7"/>
  <c r="BM106" i="7"/>
  <c r="BM114" i="7"/>
  <c r="BM122" i="7"/>
  <c r="BM130" i="7"/>
  <c r="BM138" i="7"/>
  <c r="BM19" i="7"/>
  <c r="BM27" i="7"/>
  <c r="BM35" i="7"/>
  <c r="BM43" i="7"/>
  <c r="BM51" i="7"/>
  <c r="BM59" i="7"/>
  <c r="BM67" i="7"/>
  <c r="BM75" i="7"/>
  <c r="BM83" i="7"/>
  <c r="BM91" i="7"/>
  <c r="BM99" i="7"/>
  <c r="BM107" i="7"/>
  <c r="BM115" i="7"/>
  <c r="BM123" i="7"/>
  <c r="BM131" i="7"/>
  <c r="BM12" i="7"/>
  <c r="BM20" i="7"/>
  <c r="BM28" i="7"/>
  <c r="BM36" i="7"/>
  <c r="BM44" i="7"/>
  <c r="BM52" i="7"/>
  <c r="BM60" i="7"/>
  <c r="BM68" i="7"/>
  <c r="BM76" i="7"/>
  <c r="BM84" i="7"/>
  <c r="BM92" i="7"/>
  <c r="BM100" i="7"/>
  <c r="BM108" i="7"/>
  <c r="BM116" i="7"/>
  <c r="BM124" i="7"/>
  <c r="BM132" i="7"/>
  <c r="BM13" i="7"/>
  <c r="BM21" i="7"/>
  <c r="BM29" i="7"/>
  <c r="BM37" i="7"/>
  <c r="BM45" i="7"/>
  <c r="BM53" i="7"/>
  <c r="BM61" i="7"/>
  <c r="BM69" i="7"/>
  <c r="BM77" i="7"/>
  <c r="BM85" i="7"/>
  <c r="BM93" i="7"/>
  <c r="BM101" i="7"/>
  <c r="BM109" i="7"/>
  <c r="BM117" i="7"/>
  <c r="BM125" i="7"/>
  <c r="BM133" i="7"/>
  <c r="BM14" i="7"/>
  <c r="BM22" i="7"/>
  <c r="BM30" i="7"/>
  <c r="BM38" i="7"/>
  <c r="BM46" i="7"/>
  <c r="BM54" i="7"/>
  <c r="BM62" i="7"/>
  <c r="BM70" i="7"/>
  <c r="BM78" i="7"/>
  <c r="BM86" i="7"/>
  <c r="BM94" i="7"/>
  <c r="BM102" i="7"/>
  <c r="BM110" i="7"/>
  <c r="BM118" i="7"/>
  <c r="BM126" i="7"/>
  <c r="BM134" i="7"/>
  <c r="BM31" i="7"/>
  <c r="BM95" i="7"/>
  <c r="BM39" i="7"/>
  <c r="BM111" i="7"/>
  <c r="BM127" i="7"/>
  <c r="BM79" i="7"/>
  <c r="BM87" i="7"/>
  <c r="BM103" i="7"/>
  <c r="BM55" i="7"/>
  <c r="BM63" i="7"/>
  <c r="BM71" i="7"/>
  <c r="BM23" i="7"/>
  <c r="BM47" i="7"/>
  <c r="BM119" i="7"/>
  <c r="BM135" i="7"/>
  <c r="BM15" i="7"/>
  <c r="AZ54" i="6"/>
  <c r="BB54" i="6" s="1"/>
  <c r="BC54" i="6" s="1"/>
  <c r="AZ65" i="6"/>
  <c r="BB65" i="6" s="1"/>
  <c r="BC65" i="6" s="1"/>
  <c r="AZ57" i="6"/>
  <c r="BB57" i="6" s="1"/>
  <c r="BC57" i="6" s="1"/>
  <c r="AZ23" i="6"/>
  <c r="BB23" i="6" s="1"/>
  <c r="BC23" i="6" s="1"/>
  <c r="G73" i="1"/>
  <c r="K13" i="7"/>
  <c r="K21" i="7"/>
  <c r="K29" i="7"/>
  <c r="K37" i="7"/>
  <c r="K45" i="7"/>
  <c r="K53" i="7"/>
  <c r="K61" i="7"/>
  <c r="K69" i="7"/>
  <c r="K77" i="7"/>
  <c r="K85" i="7"/>
  <c r="K93" i="7"/>
  <c r="K101" i="7"/>
  <c r="K109" i="7"/>
  <c r="K117" i="7"/>
  <c r="K125" i="7"/>
  <c r="K133" i="7"/>
  <c r="K52" i="7"/>
  <c r="K92" i="7"/>
  <c r="K14" i="7"/>
  <c r="K22" i="7"/>
  <c r="K30" i="7"/>
  <c r="K38" i="7"/>
  <c r="K46" i="7"/>
  <c r="K54" i="7"/>
  <c r="K62" i="7"/>
  <c r="K70" i="7"/>
  <c r="K78" i="7"/>
  <c r="K86" i="7"/>
  <c r="K94" i="7"/>
  <c r="K102" i="7"/>
  <c r="K110" i="7"/>
  <c r="K118" i="7"/>
  <c r="K126" i="7"/>
  <c r="K134" i="7"/>
  <c r="K20" i="7"/>
  <c r="K100" i="7"/>
  <c r="K15" i="7"/>
  <c r="K23" i="7"/>
  <c r="K31" i="7"/>
  <c r="K39" i="7"/>
  <c r="K47" i="7"/>
  <c r="K55" i="7"/>
  <c r="K63" i="7"/>
  <c r="K71" i="7"/>
  <c r="K79" i="7"/>
  <c r="K87" i="7"/>
  <c r="K95" i="7"/>
  <c r="K103" i="7"/>
  <c r="K111" i="7"/>
  <c r="K119" i="7"/>
  <c r="K127" i="7"/>
  <c r="K135" i="7"/>
  <c r="K44" i="7"/>
  <c r="K84" i="7"/>
  <c r="K16" i="7"/>
  <c r="K24" i="7"/>
  <c r="K32" i="7"/>
  <c r="K40" i="7"/>
  <c r="K48" i="7"/>
  <c r="K56" i="7"/>
  <c r="K64" i="7"/>
  <c r="K72" i="7"/>
  <c r="K80" i="7"/>
  <c r="K88" i="7"/>
  <c r="K96" i="7"/>
  <c r="K104" i="7"/>
  <c r="K112" i="7"/>
  <c r="K120" i="7"/>
  <c r="K128" i="7"/>
  <c r="K136" i="7"/>
  <c r="K28" i="7"/>
  <c r="K108" i="7"/>
  <c r="K17" i="7"/>
  <c r="K25" i="7"/>
  <c r="K33" i="7"/>
  <c r="K41" i="7"/>
  <c r="K49" i="7"/>
  <c r="K57" i="7"/>
  <c r="K65" i="7"/>
  <c r="K73" i="7"/>
  <c r="K81" i="7"/>
  <c r="K89" i="7"/>
  <c r="K97" i="7"/>
  <c r="K105" i="7"/>
  <c r="K113" i="7"/>
  <c r="K121" i="7"/>
  <c r="K129" i="7"/>
  <c r="K137" i="7"/>
  <c r="K68" i="7"/>
  <c r="K124" i="7"/>
  <c r="K18" i="7"/>
  <c r="K26" i="7"/>
  <c r="K34" i="7"/>
  <c r="K42" i="7"/>
  <c r="K50" i="7"/>
  <c r="K58" i="7"/>
  <c r="K66" i="7"/>
  <c r="K74" i="7"/>
  <c r="K82" i="7"/>
  <c r="K90" i="7"/>
  <c r="K98" i="7"/>
  <c r="K106" i="7"/>
  <c r="K114" i="7"/>
  <c r="K122" i="7"/>
  <c r="K130" i="7"/>
  <c r="K138" i="7"/>
  <c r="K60" i="7"/>
  <c r="K116" i="7"/>
  <c r="K19" i="7"/>
  <c r="K27" i="7"/>
  <c r="K35" i="7"/>
  <c r="K43" i="7"/>
  <c r="K51" i="7"/>
  <c r="K59" i="7"/>
  <c r="K67" i="7"/>
  <c r="K75" i="7"/>
  <c r="K83" i="7"/>
  <c r="K91" i="7"/>
  <c r="K99" i="7"/>
  <c r="K107" i="7"/>
  <c r="K115" i="7"/>
  <c r="K123" i="7"/>
  <c r="K131" i="7"/>
  <c r="K12" i="7"/>
  <c r="K36" i="7"/>
  <c r="K76" i="7"/>
  <c r="K132" i="7"/>
  <c r="AZ34" i="6"/>
  <c r="BB34" i="6" s="1"/>
  <c r="BC34" i="6" s="1"/>
  <c r="AZ63" i="6"/>
  <c r="BB63" i="6" s="1"/>
  <c r="BC63" i="6" s="1"/>
  <c r="AZ67" i="6"/>
  <c r="BB67" i="6" s="1"/>
  <c r="BC67" i="6" s="1"/>
  <c r="BG61" i="6"/>
  <c r="BL61" i="6" s="1"/>
  <c r="BE54" i="6"/>
  <c r="BL54" i="6"/>
  <c r="BG68" i="6"/>
  <c r="AZ49" i="6"/>
  <c r="BB49" i="6" s="1"/>
  <c r="BC49" i="6" s="1"/>
  <c r="BL63" i="6"/>
  <c r="BE63" i="6"/>
  <c r="BE49" i="6"/>
  <c r="BL49" i="6"/>
  <c r="BE65" i="6"/>
  <c r="BL65" i="6"/>
  <c r="BL23" i="6"/>
  <c r="BE23" i="6"/>
  <c r="BG60" i="6"/>
  <c r="BL67" i="6"/>
  <c r="BG64" i="6"/>
  <c r="BE37" i="6"/>
  <c r="BL57" i="6"/>
  <c r="BE34" i="6"/>
  <c r="BE20" i="6"/>
  <c r="BL32" i="6"/>
  <c r="BL38" i="6"/>
  <c r="BL15" i="6"/>
  <c r="BE27" i="6"/>
  <c r="BL41" i="6"/>
  <c r="BL25" i="6"/>
  <c r="BL18" i="6"/>
  <c r="BL36" i="6"/>
  <c r="BL24" i="6"/>
  <c r="BL46" i="6"/>
  <c r="BL50" i="6"/>
  <c r="BL37" i="6"/>
  <c r="BE39" i="6"/>
  <c r="BL66" i="6"/>
  <c r="BL42" i="6"/>
  <c r="BE40" i="6"/>
  <c r="BE24" i="6"/>
  <c r="BL22" i="6"/>
  <c r="BL45" i="6"/>
  <c r="BL31" i="6"/>
  <c r="BL16" i="6"/>
  <c r="BL51" i="6"/>
  <c r="BL30" i="6"/>
  <c r="BL52" i="6"/>
  <c r="BL62" i="6"/>
  <c r="BL26" i="6"/>
  <c r="BL58" i="6"/>
  <c r="BL59" i="6"/>
  <c r="BL33" i="6"/>
  <c r="BL35" i="6"/>
  <c r="BL28" i="6"/>
  <c r="BL34" i="6"/>
  <c r="BL53" i="6"/>
  <c r="BL56" i="6"/>
  <c r="BL43" i="6"/>
  <c r="BL47" i="6"/>
  <c r="BL29" i="6"/>
  <c r="BL40" i="6"/>
  <c r="BE57" i="6"/>
  <c r="BE35" i="6"/>
  <c r="BE36" i="6"/>
  <c r="BE48" i="6"/>
  <c r="BE44" i="6"/>
  <c r="AP70" i="6"/>
  <c r="AU70" i="6" s="1"/>
  <c r="BC62" i="6"/>
  <c r="BE30" i="6"/>
  <c r="BE51" i="6"/>
  <c r="BE25" i="6"/>
  <c r="BE45" i="6"/>
  <c r="BE18" i="6"/>
  <c r="BE22" i="6"/>
  <c r="BE42" i="6"/>
  <c r="AZ69" i="6"/>
  <c r="BB69" i="6" s="1"/>
  <c r="BC69" i="6" s="1"/>
  <c r="BD69" i="6"/>
  <c r="V70" i="6"/>
  <c r="BD70" i="6" s="1"/>
  <c r="BE15" i="6"/>
  <c r="BG69" i="6"/>
  <c r="BE69" i="6" s="1"/>
  <c r="BE31" i="6"/>
  <c r="T71" i="6"/>
  <c r="AV71" i="6"/>
  <c r="BH71" i="6" s="1"/>
  <c r="AO71" i="6"/>
  <c r="AO72" i="6"/>
  <c r="AF71" i="6"/>
  <c r="U71" i="6"/>
  <c r="AN71" i="6"/>
  <c r="L82" i="6"/>
  <c r="K82" i="6"/>
  <c r="AF72" i="6"/>
  <c r="AK73" i="6"/>
  <c r="AL73" i="6" s="1"/>
  <c r="AM73" i="6" s="1"/>
  <c r="AN72" i="6"/>
  <c r="U72" i="6"/>
  <c r="X72" i="6"/>
  <c r="Y72" i="6" s="1"/>
  <c r="BK72" i="6" s="1"/>
  <c r="S73" i="6"/>
  <c r="AV73" i="6" s="1"/>
  <c r="BH73" i="6" s="1"/>
  <c r="P73" i="6"/>
  <c r="Q73" i="6"/>
  <c r="R73" i="6" s="1"/>
  <c r="AG73" i="6" s="1"/>
  <c r="W73" i="6"/>
  <c r="N74" i="6"/>
  <c r="T72" i="6"/>
  <c r="J75" i="6"/>
  <c r="Z73" i="6"/>
  <c r="AA73" i="6" s="1"/>
  <c r="AB73" i="6" s="1"/>
  <c r="BJ73" i="6" s="1"/>
  <c r="AC73" i="6"/>
  <c r="AD73" i="6" s="1"/>
  <c r="AE73" i="6" s="1"/>
  <c r="AJ72" i="6" l="1"/>
  <c r="BM8" i="7"/>
  <c r="BM3" i="7" s="1"/>
  <c r="BO124" i="7"/>
  <c r="BO116" i="7"/>
  <c r="BO52" i="7"/>
  <c r="BO58" i="7"/>
  <c r="BO101" i="7"/>
  <c r="BO59" i="7"/>
  <c r="BO125" i="7"/>
  <c r="BO130" i="7"/>
  <c r="BO34" i="7"/>
  <c r="BO92" i="7"/>
  <c r="BO91" i="7"/>
  <c r="BO51" i="7"/>
  <c r="BO105" i="7"/>
  <c r="BO77" i="7"/>
  <c r="BO60" i="7"/>
  <c r="BO27" i="7"/>
  <c r="BO81" i="7"/>
  <c r="BO117" i="7"/>
  <c r="BO28" i="7"/>
  <c r="BO122" i="7"/>
  <c r="BO123" i="7"/>
  <c r="BO98" i="7"/>
  <c r="BO133" i="7"/>
  <c r="BO115" i="7"/>
  <c r="BO66" i="7"/>
  <c r="BO69" i="7"/>
  <c r="BO37" i="7"/>
  <c r="BO108" i="7"/>
  <c r="BO44" i="7"/>
  <c r="BO107" i="7"/>
  <c r="BO43" i="7"/>
  <c r="BO114" i="7"/>
  <c r="BO50" i="7"/>
  <c r="BO136" i="7"/>
  <c r="BO53" i="7"/>
  <c r="BO85" i="7"/>
  <c r="BO100" i="7"/>
  <c r="BO36" i="7"/>
  <c r="BO99" i="7"/>
  <c r="BO35" i="7"/>
  <c r="BO106" i="7"/>
  <c r="BO42" i="7"/>
  <c r="BO56" i="7"/>
  <c r="BO109" i="7"/>
  <c r="BO93" i="7"/>
  <c r="BO84" i="7"/>
  <c r="BO20" i="7"/>
  <c r="BO83" i="7"/>
  <c r="BO19" i="7"/>
  <c r="BO90" i="7"/>
  <c r="BO26" i="7"/>
  <c r="BO45" i="7"/>
  <c r="BO13" i="7"/>
  <c r="BO76" i="7"/>
  <c r="BO12" i="7"/>
  <c r="BO75" i="7"/>
  <c r="BO29" i="7"/>
  <c r="BO82" i="7"/>
  <c r="BO18" i="7"/>
  <c r="BO61" i="7"/>
  <c r="BO132" i="7"/>
  <c r="BO68" i="7"/>
  <c r="BO131" i="7"/>
  <c r="BO67" i="7"/>
  <c r="BO138" i="7"/>
  <c r="BO74" i="7"/>
  <c r="BO137" i="7"/>
  <c r="BO128" i="7"/>
  <c r="BO129" i="7"/>
  <c r="BO121" i="7"/>
  <c r="BO21" i="7"/>
  <c r="BO97" i="7"/>
  <c r="BO89" i="7"/>
  <c r="BO103" i="7"/>
  <c r="BO25" i="7"/>
  <c r="BO17" i="7"/>
  <c r="BO71" i="7"/>
  <c r="BO23" i="7"/>
  <c r="BO88" i="7"/>
  <c r="BO15" i="7"/>
  <c r="BO73" i="7"/>
  <c r="BO32" i="7"/>
  <c r="BO57" i="7"/>
  <c r="BO16" i="7"/>
  <c r="BO126" i="7"/>
  <c r="BO65" i="7"/>
  <c r="BO96" i="7"/>
  <c r="BO127" i="7"/>
  <c r="BO102" i="7"/>
  <c r="BO113" i="7"/>
  <c r="BO49" i="7"/>
  <c r="BO72" i="7"/>
  <c r="BO95" i="7"/>
  <c r="BO41" i="7"/>
  <c r="BO64" i="7"/>
  <c r="BO87" i="7"/>
  <c r="BO120" i="7"/>
  <c r="BO24" i="7"/>
  <c r="BO79" i="7"/>
  <c r="BO94" i="7"/>
  <c r="AH73" i="6"/>
  <c r="BO63" i="7"/>
  <c r="BO33" i="7"/>
  <c r="BO80" i="7"/>
  <c r="BO135" i="7"/>
  <c r="BO39" i="7"/>
  <c r="BO86" i="7"/>
  <c r="BO31" i="7"/>
  <c r="BO78" i="7"/>
  <c r="BO70" i="7"/>
  <c r="BO134" i="7"/>
  <c r="BO62" i="7"/>
  <c r="BO112" i="7"/>
  <c r="BO48" i="7"/>
  <c r="BO119" i="7"/>
  <c r="BO55" i="7"/>
  <c r="BO118" i="7"/>
  <c r="BO54" i="7"/>
  <c r="BO104" i="7"/>
  <c r="BO40" i="7"/>
  <c r="BO111" i="7"/>
  <c r="BO47" i="7"/>
  <c r="BO110" i="7"/>
  <c r="BO46" i="7"/>
  <c r="BO38" i="7"/>
  <c r="BO30" i="7"/>
  <c r="BO22" i="7"/>
  <c r="N82" i="7"/>
  <c r="AC82" i="7" s="1"/>
  <c r="AE82" i="7" s="1"/>
  <c r="O82" i="7"/>
  <c r="AD82" i="7" s="1"/>
  <c r="O127" i="7"/>
  <c r="AD127" i="7" s="1"/>
  <c r="N127" i="7"/>
  <c r="AC127" i="7" s="1"/>
  <c r="AE127" i="7" s="1"/>
  <c r="N51" i="7"/>
  <c r="AC51" i="7" s="1"/>
  <c r="AE51" i="7" s="1"/>
  <c r="O51" i="7"/>
  <c r="AD51" i="7" s="1"/>
  <c r="BE61" i="6"/>
  <c r="N132" i="7"/>
  <c r="AC132" i="7" s="1"/>
  <c r="AE132" i="7" s="1"/>
  <c r="O132" i="7"/>
  <c r="AD132" i="7" s="1"/>
  <c r="O99" i="7"/>
  <c r="AD99" i="7" s="1"/>
  <c r="N99" i="7"/>
  <c r="AC99" i="7" s="1"/>
  <c r="AE99" i="7" s="1"/>
  <c r="O35" i="7"/>
  <c r="AD35" i="7" s="1"/>
  <c r="N35" i="7"/>
  <c r="AC35" i="7" s="1"/>
  <c r="AE35" i="7" s="1"/>
  <c r="N114" i="7"/>
  <c r="AC114" i="7" s="1"/>
  <c r="AE114" i="7" s="1"/>
  <c r="O114" i="7"/>
  <c r="AD114" i="7" s="1"/>
  <c r="N50" i="7"/>
  <c r="AC50" i="7" s="1"/>
  <c r="AE50" i="7" s="1"/>
  <c r="O50" i="7"/>
  <c r="AD50" i="7" s="1"/>
  <c r="O129" i="7"/>
  <c r="AD129" i="7" s="1"/>
  <c r="N129" i="7"/>
  <c r="AC129" i="7" s="1"/>
  <c r="AE129" i="7" s="1"/>
  <c r="N65" i="7"/>
  <c r="AC65" i="7" s="1"/>
  <c r="AE65" i="7" s="1"/>
  <c r="O65" i="7"/>
  <c r="AD65" i="7" s="1"/>
  <c r="O28" i="7"/>
  <c r="AD28" i="7" s="1"/>
  <c r="N28" i="7"/>
  <c r="AC28" i="7" s="1"/>
  <c r="AE28" i="7" s="1"/>
  <c r="AN27" i="7" s="1"/>
  <c r="N80" i="7"/>
  <c r="AC80" i="7" s="1"/>
  <c r="AE80" i="7" s="1"/>
  <c r="AN79" i="7" s="1"/>
  <c r="O80" i="7"/>
  <c r="AD80" i="7" s="1"/>
  <c r="O16" i="7"/>
  <c r="AD16" i="7" s="1"/>
  <c r="N16" i="7"/>
  <c r="AC16" i="7" s="1"/>
  <c r="AE16" i="7" s="1"/>
  <c r="O95" i="7"/>
  <c r="AD95" i="7" s="1"/>
  <c r="N95" i="7"/>
  <c r="AC95" i="7" s="1"/>
  <c r="AE95" i="7" s="1"/>
  <c r="N31" i="7"/>
  <c r="AC31" i="7" s="1"/>
  <c r="AE31" i="7" s="1"/>
  <c r="O31" i="7"/>
  <c r="AD31" i="7" s="1"/>
  <c r="N110" i="7"/>
  <c r="AC110" i="7" s="1"/>
  <c r="AE110" i="7" s="1"/>
  <c r="O110" i="7"/>
  <c r="AD110" i="7" s="1"/>
  <c r="N46" i="7"/>
  <c r="AC46" i="7" s="1"/>
  <c r="AE46" i="7" s="1"/>
  <c r="O46" i="7"/>
  <c r="AD46" i="7" s="1"/>
  <c r="O125" i="7"/>
  <c r="AD125" i="7" s="1"/>
  <c r="N125" i="7"/>
  <c r="AC125" i="7" s="1"/>
  <c r="AE125" i="7" s="1"/>
  <c r="O61" i="7"/>
  <c r="AD61" i="7" s="1"/>
  <c r="N61" i="7"/>
  <c r="AC61" i="7" s="1"/>
  <c r="AE61" i="7" s="1"/>
  <c r="N75" i="7"/>
  <c r="AC75" i="7" s="1"/>
  <c r="AE75" i="7" s="1"/>
  <c r="O75" i="7"/>
  <c r="AD75" i="7" s="1"/>
  <c r="O67" i="7"/>
  <c r="AD67" i="7" s="1"/>
  <c r="N67" i="7"/>
  <c r="AC67" i="7" s="1"/>
  <c r="AE67" i="7" s="1"/>
  <c r="O112" i="7"/>
  <c r="AD112" i="7" s="1"/>
  <c r="N112" i="7"/>
  <c r="AC112" i="7" s="1"/>
  <c r="AE112" i="7" s="1"/>
  <c r="O130" i="7"/>
  <c r="AD130" i="7" s="1"/>
  <c r="N130" i="7"/>
  <c r="AC130" i="7" s="1"/>
  <c r="AE130" i="7" s="1"/>
  <c r="O76" i="7"/>
  <c r="AD76" i="7" s="1"/>
  <c r="N76" i="7"/>
  <c r="AC76" i="7" s="1"/>
  <c r="AE76" i="7" s="1"/>
  <c r="O91" i="7"/>
  <c r="AD91" i="7" s="1"/>
  <c r="N91" i="7"/>
  <c r="AC91" i="7" s="1"/>
  <c r="AE91" i="7" s="1"/>
  <c r="N27" i="7"/>
  <c r="AC27" i="7" s="1"/>
  <c r="AE27" i="7" s="1"/>
  <c r="O27" i="7"/>
  <c r="AD27" i="7" s="1"/>
  <c r="O106" i="7"/>
  <c r="AD106" i="7" s="1"/>
  <c r="N106" i="7"/>
  <c r="AC106" i="7" s="1"/>
  <c r="AE106" i="7" s="1"/>
  <c r="O42" i="7"/>
  <c r="AD42" i="7" s="1"/>
  <c r="N42" i="7"/>
  <c r="AC42" i="7" s="1"/>
  <c r="AE42" i="7" s="1"/>
  <c r="O121" i="7"/>
  <c r="AD121" i="7" s="1"/>
  <c r="N121" i="7"/>
  <c r="AC121" i="7" s="1"/>
  <c r="AE121" i="7" s="1"/>
  <c r="O57" i="7"/>
  <c r="AD57" i="7" s="1"/>
  <c r="N57" i="7"/>
  <c r="AC57" i="7" s="1"/>
  <c r="AE57" i="7" s="1"/>
  <c r="N136" i="7"/>
  <c r="AC136" i="7" s="1"/>
  <c r="AE136" i="7" s="1"/>
  <c r="O136" i="7"/>
  <c r="AD136" i="7" s="1"/>
  <c r="O72" i="7"/>
  <c r="AD72" i="7" s="1"/>
  <c r="N72" i="7"/>
  <c r="AC72" i="7" s="1"/>
  <c r="AE72" i="7" s="1"/>
  <c r="N84" i="7"/>
  <c r="AC84" i="7" s="1"/>
  <c r="AE84" i="7" s="1"/>
  <c r="O84" i="7"/>
  <c r="AD84" i="7" s="1"/>
  <c r="N87" i="7"/>
  <c r="AC87" i="7" s="1"/>
  <c r="AE87" i="7" s="1"/>
  <c r="O87" i="7"/>
  <c r="AD87" i="7" s="1"/>
  <c r="N23" i="7"/>
  <c r="AC23" i="7" s="1"/>
  <c r="AE23" i="7" s="1"/>
  <c r="O23" i="7"/>
  <c r="AD23" i="7" s="1"/>
  <c r="O102" i="7"/>
  <c r="AD102" i="7" s="1"/>
  <c r="N102" i="7"/>
  <c r="AC102" i="7" s="1"/>
  <c r="AE102" i="7" s="1"/>
  <c r="N38" i="7"/>
  <c r="AC38" i="7" s="1"/>
  <c r="AE38" i="7" s="1"/>
  <c r="O38" i="7"/>
  <c r="AD38" i="7" s="1"/>
  <c r="O117" i="7"/>
  <c r="AD117" i="7" s="1"/>
  <c r="N117" i="7"/>
  <c r="AC117" i="7" s="1"/>
  <c r="AE117" i="7" s="1"/>
  <c r="N53" i="7"/>
  <c r="AC53" i="7" s="1"/>
  <c r="AE53" i="7" s="1"/>
  <c r="O53" i="7"/>
  <c r="AD53" i="7" s="1"/>
  <c r="N116" i="7"/>
  <c r="AC116" i="7" s="1"/>
  <c r="AE116" i="7" s="1"/>
  <c r="O116" i="7"/>
  <c r="AD116" i="7" s="1"/>
  <c r="N18" i="7"/>
  <c r="AC18" i="7" s="1"/>
  <c r="AE18" i="7" s="1"/>
  <c r="O18" i="7"/>
  <c r="AD18" i="7" s="1"/>
  <c r="O63" i="7"/>
  <c r="AD63" i="7" s="1"/>
  <c r="N63" i="7"/>
  <c r="AC63" i="7" s="1"/>
  <c r="AE63" i="7" s="1"/>
  <c r="O36" i="7"/>
  <c r="AD36" i="7" s="1"/>
  <c r="N36" i="7"/>
  <c r="AC36" i="7" s="1"/>
  <c r="AE36" i="7" s="1"/>
  <c r="AN35" i="7" s="1"/>
  <c r="O83" i="7"/>
  <c r="AD83" i="7" s="1"/>
  <c r="N83" i="7"/>
  <c r="AC83" i="7" s="1"/>
  <c r="AE83" i="7" s="1"/>
  <c r="O19" i="7"/>
  <c r="AD19" i="7" s="1"/>
  <c r="N19" i="7"/>
  <c r="AC19" i="7" s="1"/>
  <c r="AE19" i="7" s="1"/>
  <c r="AQ18" i="7" s="1"/>
  <c r="N98" i="7"/>
  <c r="AC98" i="7" s="1"/>
  <c r="AE98" i="7" s="1"/>
  <c r="O98" i="7"/>
  <c r="AD98" i="7" s="1"/>
  <c r="N34" i="7"/>
  <c r="AC34" i="7" s="1"/>
  <c r="AE34" i="7" s="1"/>
  <c r="AN33" i="7" s="1"/>
  <c r="O34" i="7"/>
  <c r="AD34" i="7" s="1"/>
  <c r="N113" i="7"/>
  <c r="AC113" i="7" s="1"/>
  <c r="AE113" i="7" s="1"/>
  <c r="O113" i="7"/>
  <c r="AD113" i="7" s="1"/>
  <c r="O49" i="7"/>
  <c r="AD49" i="7" s="1"/>
  <c r="N49" i="7"/>
  <c r="AC49" i="7" s="1"/>
  <c r="AE49" i="7" s="1"/>
  <c r="O128" i="7"/>
  <c r="AD128" i="7" s="1"/>
  <c r="N128" i="7"/>
  <c r="AC128" i="7" s="1"/>
  <c r="AE128" i="7" s="1"/>
  <c r="N64" i="7"/>
  <c r="AC64" i="7" s="1"/>
  <c r="AE64" i="7" s="1"/>
  <c r="O64" i="7"/>
  <c r="AD64" i="7" s="1"/>
  <c r="N44" i="7"/>
  <c r="AC44" i="7" s="1"/>
  <c r="AE44" i="7" s="1"/>
  <c r="O44" i="7"/>
  <c r="AD44" i="7" s="1"/>
  <c r="O79" i="7"/>
  <c r="AD79" i="7" s="1"/>
  <c r="N79" i="7"/>
  <c r="AC79" i="7" s="1"/>
  <c r="AE79" i="7" s="1"/>
  <c r="N15" i="7"/>
  <c r="AC15" i="7" s="1"/>
  <c r="AE15" i="7" s="1"/>
  <c r="O15" i="7"/>
  <c r="AD15" i="7" s="1"/>
  <c r="O94" i="7"/>
  <c r="AD94" i="7" s="1"/>
  <c r="N94" i="7"/>
  <c r="AC94" i="7" s="1"/>
  <c r="AE94" i="7" s="1"/>
  <c r="O30" i="7"/>
  <c r="AD30" i="7" s="1"/>
  <c r="N30" i="7"/>
  <c r="AC30" i="7" s="1"/>
  <c r="AE30" i="7" s="1"/>
  <c r="N109" i="7"/>
  <c r="AC109" i="7" s="1"/>
  <c r="AE109" i="7" s="1"/>
  <c r="O109" i="7"/>
  <c r="AD109" i="7" s="1"/>
  <c r="N45" i="7"/>
  <c r="AC45" i="7" s="1"/>
  <c r="AE45" i="7" s="1"/>
  <c r="O45" i="7"/>
  <c r="AD45" i="7" s="1"/>
  <c r="O26" i="7"/>
  <c r="AD26" i="7" s="1"/>
  <c r="N26" i="7"/>
  <c r="AC26" i="7" s="1"/>
  <c r="AE26" i="7" s="1"/>
  <c r="AN25" i="7" s="1"/>
  <c r="N105" i="7"/>
  <c r="AC105" i="7" s="1"/>
  <c r="AE105" i="7" s="1"/>
  <c r="AN104" i="7" s="1"/>
  <c r="O105" i="7"/>
  <c r="AD105" i="7" s="1"/>
  <c r="O41" i="7"/>
  <c r="AD41" i="7" s="1"/>
  <c r="N41" i="7"/>
  <c r="AC41" i="7" s="1"/>
  <c r="AE41" i="7" s="1"/>
  <c r="O120" i="7"/>
  <c r="AD120" i="7" s="1"/>
  <c r="N120" i="7"/>
  <c r="AC120" i="7" s="1"/>
  <c r="AE120" i="7" s="1"/>
  <c r="O56" i="7"/>
  <c r="AD56" i="7" s="1"/>
  <c r="N56" i="7"/>
  <c r="AC56" i="7" s="1"/>
  <c r="AE56" i="7" s="1"/>
  <c r="O135" i="7"/>
  <c r="AD135" i="7" s="1"/>
  <c r="N135" i="7"/>
  <c r="AC135" i="7" s="1"/>
  <c r="AE135" i="7" s="1"/>
  <c r="O71" i="7"/>
  <c r="AD71" i="7" s="1"/>
  <c r="N71" i="7"/>
  <c r="AC71" i="7" s="1"/>
  <c r="AE71" i="7" s="1"/>
  <c r="O100" i="7"/>
  <c r="AD100" i="7" s="1"/>
  <c r="N100" i="7"/>
  <c r="AC100" i="7" s="1"/>
  <c r="AE100" i="7" s="1"/>
  <c r="N86" i="7"/>
  <c r="AC86" i="7" s="1"/>
  <c r="AE86" i="7" s="1"/>
  <c r="O86" i="7"/>
  <c r="AD86" i="7" s="1"/>
  <c r="O22" i="7"/>
  <c r="AD22" i="7" s="1"/>
  <c r="N22" i="7"/>
  <c r="AC22" i="7" s="1"/>
  <c r="AE22" i="7" s="1"/>
  <c r="O101" i="7"/>
  <c r="AD101" i="7" s="1"/>
  <c r="N101" i="7"/>
  <c r="AC101" i="7" s="1"/>
  <c r="AE101" i="7" s="1"/>
  <c r="O37" i="7"/>
  <c r="AD37" i="7" s="1"/>
  <c r="N37" i="7"/>
  <c r="AC37" i="7" s="1"/>
  <c r="AE37" i="7" s="1"/>
  <c r="O93" i="7"/>
  <c r="AD93" i="7" s="1"/>
  <c r="N93" i="7"/>
  <c r="AC93" i="7" s="1"/>
  <c r="AE93" i="7" s="1"/>
  <c r="O29" i="7"/>
  <c r="AD29" i="7" s="1"/>
  <c r="N29" i="7"/>
  <c r="AC29" i="7" s="1"/>
  <c r="AE29" i="7" s="1"/>
  <c r="N131" i="7"/>
  <c r="AC131" i="7" s="1"/>
  <c r="AE131" i="7" s="1"/>
  <c r="O131" i="7"/>
  <c r="AD131" i="7" s="1"/>
  <c r="N33" i="7"/>
  <c r="AC33" i="7" s="1"/>
  <c r="AE33" i="7" s="1"/>
  <c r="O33" i="7"/>
  <c r="AD33" i="7" s="1"/>
  <c r="N78" i="7"/>
  <c r="AC78" i="7" s="1"/>
  <c r="AE78" i="7" s="1"/>
  <c r="O78" i="7"/>
  <c r="AD78" i="7" s="1"/>
  <c r="N14" i="7"/>
  <c r="AC14" i="7" s="1"/>
  <c r="AE14" i="7" s="1"/>
  <c r="O14" i="7"/>
  <c r="AD14" i="7" s="1"/>
  <c r="O123" i="7"/>
  <c r="AD123" i="7" s="1"/>
  <c r="N123" i="7"/>
  <c r="AC123" i="7" s="1"/>
  <c r="AE123" i="7" s="1"/>
  <c r="O59" i="7"/>
  <c r="AD59" i="7" s="1"/>
  <c r="N59" i="7"/>
  <c r="AC59" i="7" s="1"/>
  <c r="AE59" i="7" s="1"/>
  <c r="AQ58" i="7" s="1"/>
  <c r="O138" i="7"/>
  <c r="AD138" i="7" s="1"/>
  <c r="N138" i="7"/>
  <c r="AC138" i="7" s="1"/>
  <c r="AE138" i="7" s="1"/>
  <c r="N74" i="7"/>
  <c r="AC74" i="7" s="1"/>
  <c r="AE74" i="7" s="1"/>
  <c r="AN73" i="7" s="1"/>
  <c r="O74" i="7"/>
  <c r="AD74" i="7" s="1"/>
  <c r="O124" i="7"/>
  <c r="AD124" i="7" s="1"/>
  <c r="N124" i="7"/>
  <c r="AC124" i="7" s="1"/>
  <c r="AE124" i="7" s="1"/>
  <c r="O89" i="7"/>
  <c r="AD89" i="7" s="1"/>
  <c r="N89" i="7"/>
  <c r="AC89" i="7" s="1"/>
  <c r="AE89" i="7" s="1"/>
  <c r="O25" i="7"/>
  <c r="AD25" i="7" s="1"/>
  <c r="N25" i="7"/>
  <c r="AC25" i="7" s="1"/>
  <c r="AE25" i="7" s="1"/>
  <c r="N104" i="7"/>
  <c r="AC104" i="7" s="1"/>
  <c r="AE104" i="7" s="1"/>
  <c r="O104" i="7"/>
  <c r="AD104" i="7" s="1"/>
  <c r="O40" i="7"/>
  <c r="AD40" i="7" s="1"/>
  <c r="N40" i="7"/>
  <c r="AC40" i="7" s="1"/>
  <c r="AE40" i="7" s="1"/>
  <c r="O119" i="7"/>
  <c r="AD119" i="7" s="1"/>
  <c r="N119" i="7"/>
  <c r="AC119" i="7" s="1"/>
  <c r="AE119" i="7" s="1"/>
  <c r="O55" i="7"/>
  <c r="AD55" i="7" s="1"/>
  <c r="N55" i="7"/>
  <c r="AC55" i="7" s="1"/>
  <c r="AE55" i="7" s="1"/>
  <c r="O134" i="7"/>
  <c r="AD134" i="7" s="1"/>
  <c r="N134" i="7"/>
  <c r="AC134" i="7" s="1"/>
  <c r="AE134" i="7" s="1"/>
  <c r="N70" i="7"/>
  <c r="AC70" i="7" s="1"/>
  <c r="AE70" i="7" s="1"/>
  <c r="O70" i="7"/>
  <c r="AD70" i="7" s="1"/>
  <c r="N92" i="7"/>
  <c r="AC92" i="7" s="1"/>
  <c r="AE92" i="7" s="1"/>
  <c r="O92" i="7"/>
  <c r="AD92" i="7" s="1"/>
  <c r="O85" i="7"/>
  <c r="AD85" i="7" s="1"/>
  <c r="N85" i="7"/>
  <c r="AC85" i="7" s="1"/>
  <c r="AE85" i="7" s="1"/>
  <c r="O21" i="7"/>
  <c r="AD21" i="7" s="1"/>
  <c r="N21" i="7"/>
  <c r="AC21" i="7" s="1"/>
  <c r="AE21" i="7" s="1"/>
  <c r="O90" i="7"/>
  <c r="AD90" i="7" s="1"/>
  <c r="N90" i="7"/>
  <c r="AC90" i="7" s="1"/>
  <c r="AE90" i="7" s="1"/>
  <c r="N97" i="7"/>
  <c r="AC97" i="7" s="1"/>
  <c r="AE97" i="7" s="1"/>
  <c r="O97" i="7"/>
  <c r="AD97" i="7" s="1"/>
  <c r="O20" i="7"/>
  <c r="AD20" i="7" s="1"/>
  <c r="N20" i="7"/>
  <c r="AC20" i="7" s="1"/>
  <c r="AE20" i="7" s="1"/>
  <c r="O66" i="7"/>
  <c r="AD66" i="7" s="1"/>
  <c r="N66" i="7"/>
  <c r="AC66" i="7" s="1"/>
  <c r="AE66" i="7" s="1"/>
  <c r="N68" i="7"/>
  <c r="AC68" i="7" s="1"/>
  <c r="AE68" i="7" s="1"/>
  <c r="O68" i="7"/>
  <c r="AD68" i="7" s="1"/>
  <c r="O81" i="7"/>
  <c r="AD81" i="7" s="1"/>
  <c r="N81" i="7"/>
  <c r="AC81" i="7" s="1"/>
  <c r="AE81" i="7" s="1"/>
  <c r="N17" i="7"/>
  <c r="AC17" i="7" s="1"/>
  <c r="AE17" i="7" s="1"/>
  <c r="O17" i="7"/>
  <c r="AD17" i="7" s="1"/>
  <c r="N96" i="7"/>
  <c r="AC96" i="7" s="1"/>
  <c r="AE96" i="7" s="1"/>
  <c r="O96" i="7"/>
  <c r="AD96" i="7" s="1"/>
  <c r="O32" i="7"/>
  <c r="AD32" i="7" s="1"/>
  <c r="N32" i="7"/>
  <c r="AC32" i="7" s="1"/>
  <c r="AE32" i="7" s="1"/>
  <c r="N111" i="7"/>
  <c r="AC111" i="7" s="1"/>
  <c r="AE111" i="7" s="1"/>
  <c r="O111" i="7"/>
  <c r="AD111" i="7" s="1"/>
  <c r="N47" i="7"/>
  <c r="AC47" i="7" s="1"/>
  <c r="AE47" i="7" s="1"/>
  <c r="AN46" i="7" s="1"/>
  <c r="O47" i="7"/>
  <c r="AD47" i="7" s="1"/>
  <c r="O126" i="7"/>
  <c r="AD126" i="7" s="1"/>
  <c r="N126" i="7"/>
  <c r="AC126" i="7" s="1"/>
  <c r="AE126" i="7" s="1"/>
  <c r="N62" i="7"/>
  <c r="AC62" i="7" s="1"/>
  <c r="AE62" i="7" s="1"/>
  <c r="O62" i="7"/>
  <c r="AD62" i="7" s="1"/>
  <c r="O52" i="7"/>
  <c r="AD52" i="7" s="1"/>
  <c r="N52" i="7"/>
  <c r="AC52" i="7" s="1"/>
  <c r="AE52" i="7" s="1"/>
  <c r="AN51" i="7" s="1"/>
  <c r="O77" i="7"/>
  <c r="AD77" i="7" s="1"/>
  <c r="N77" i="7"/>
  <c r="AC77" i="7" s="1"/>
  <c r="AE77" i="7" s="1"/>
  <c r="AN76" i="7" s="1"/>
  <c r="O13" i="7"/>
  <c r="AD13" i="7" s="1"/>
  <c r="N13" i="7"/>
  <c r="AC13" i="7" s="1"/>
  <c r="AE13" i="7" s="1"/>
  <c r="AQ12" i="7" s="1"/>
  <c r="O12" i="7"/>
  <c r="AD12" i="7" s="1"/>
  <c r="N12" i="7"/>
  <c r="AC12" i="7" s="1"/>
  <c r="AE12" i="7" s="1"/>
  <c r="N60" i="7"/>
  <c r="AC60" i="7" s="1"/>
  <c r="AE60" i="7" s="1"/>
  <c r="O60" i="7"/>
  <c r="AD60" i="7" s="1"/>
  <c r="O48" i="7"/>
  <c r="AD48" i="7" s="1"/>
  <c r="N48" i="7"/>
  <c r="AC48" i="7" s="1"/>
  <c r="AE48" i="7" s="1"/>
  <c r="AN47" i="7" s="1"/>
  <c r="O115" i="7"/>
  <c r="AD115" i="7" s="1"/>
  <c r="N115" i="7"/>
  <c r="AC115" i="7" s="1"/>
  <c r="AE115" i="7" s="1"/>
  <c r="O107" i="7"/>
  <c r="AD107" i="7" s="1"/>
  <c r="N107" i="7"/>
  <c r="AC107" i="7" s="1"/>
  <c r="AE107" i="7" s="1"/>
  <c r="N43" i="7"/>
  <c r="AC43" i="7" s="1"/>
  <c r="AE43" i="7" s="1"/>
  <c r="O43" i="7"/>
  <c r="AD43" i="7" s="1"/>
  <c r="O122" i="7"/>
  <c r="AD122" i="7" s="1"/>
  <c r="N122" i="7"/>
  <c r="AC122" i="7" s="1"/>
  <c r="AE122" i="7" s="1"/>
  <c r="N58" i="7"/>
  <c r="AC58" i="7" s="1"/>
  <c r="AE58" i="7" s="1"/>
  <c r="O58" i="7"/>
  <c r="AD58" i="7" s="1"/>
  <c r="N137" i="7"/>
  <c r="AC137" i="7" s="1"/>
  <c r="AE137" i="7" s="1"/>
  <c r="O137" i="7"/>
  <c r="AD137" i="7" s="1"/>
  <c r="O73" i="7"/>
  <c r="AD73" i="7" s="1"/>
  <c r="N73" i="7"/>
  <c r="AC73" i="7" s="1"/>
  <c r="AE73" i="7" s="1"/>
  <c r="AQ72" i="7" s="1"/>
  <c r="N108" i="7"/>
  <c r="AC108" i="7" s="1"/>
  <c r="AE108" i="7" s="1"/>
  <c r="O108" i="7"/>
  <c r="AD108" i="7" s="1"/>
  <c r="O88" i="7"/>
  <c r="AD88" i="7" s="1"/>
  <c r="N88" i="7"/>
  <c r="AC88" i="7" s="1"/>
  <c r="AE88" i="7" s="1"/>
  <c r="AQ87" i="7" s="1"/>
  <c r="O24" i="7"/>
  <c r="AD24" i="7" s="1"/>
  <c r="N24" i="7"/>
  <c r="AC24" i="7" s="1"/>
  <c r="AE24" i="7" s="1"/>
  <c r="N103" i="7"/>
  <c r="AC103" i="7" s="1"/>
  <c r="AE103" i="7" s="1"/>
  <c r="AN102" i="7" s="1"/>
  <c r="O103" i="7"/>
  <c r="AD103" i="7" s="1"/>
  <c r="O39" i="7"/>
  <c r="AD39" i="7" s="1"/>
  <c r="N39" i="7"/>
  <c r="AC39" i="7" s="1"/>
  <c r="AE39" i="7" s="1"/>
  <c r="AN38" i="7" s="1"/>
  <c r="O118" i="7"/>
  <c r="AD118" i="7" s="1"/>
  <c r="N118" i="7"/>
  <c r="AC118" i="7" s="1"/>
  <c r="AE118" i="7" s="1"/>
  <c r="O54" i="7"/>
  <c r="AD54" i="7" s="1"/>
  <c r="N54" i="7"/>
  <c r="AC54" i="7" s="1"/>
  <c r="AE54" i="7" s="1"/>
  <c r="O133" i="7"/>
  <c r="AD133" i="7" s="1"/>
  <c r="N133" i="7"/>
  <c r="AC133" i="7" s="1"/>
  <c r="AE133" i="7" s="1"/>
  <c r="O69" i="7"/>
  <c r="AD69" i="7" s="1"/>
  <c r="N69" i="7"/>
  <c r="AC69" i="7" s="1"/>
  <c r="AE69" i="7" s="1"/>
  <c r="BE68" i="6"/>
  <c r="BL68" i="6"/>
  <c r="BL60" i="6"/>
  <c r="BE60" i="6"/>
  <c r="BL64" i="6"/>
  <c r="BE64" i="6"/>
  <c r="AJ71" i="6"/>
  <c r="BF71" i="6" s="1"/>
  <c r="BL69" i="6"/>
  <c r="V71" i="6"/>
  <c r="BD71" i="6" s="1"/>
  <c r="BF70" i="6"/>
  <c r="BG70" i="6"/>
  <c r="AP71" i="6"/>
  <c r="AU71" i="6" s="1"/>
  <c r="AZ70" i="6"/>
  <c r="BB70" i="6" s="1"/>
  <c r="BC70" i="6" s="1"/>
  <c r="AP72" i="6"/>
  <c r="AU72" i="6" s="1"/>
  <c r="AO73" i="6"/>
  <c r="L83" i="6"/>
  <c r="K83" i="6"/>
  <c r="AF73" i="6"/>
  <c r="AN73" i="6"/>
  <c r="V72" i="6"/>
  <c r="X73" i="6"/>
  <c r="Y73" i="6" s="1"/>
  <c r="BK73" i="6" s="1"/>
  <c r="N75" i="6"/>
  <c r="T73" i="6"/>
  <c r="O74" i="6"/>
  <c r="J76" i="6"/>
  <c r="U73" i="6"/>
  <c r="AN71" i="7" l="1"/>
  <c r="AQ71" i="7"/>
  <c r="AN82" i="7"/>
  <c r="AQ68" i="7"/>
  <c r="AI82" i="7"/>
  <c r="AI123" i="7"/>
  <c r="AN74" i="7"/>
  <c r="AN62" i="7"/>
  <c r="AQ62" i="7"/>
  <c r="AN36" i="7"/>
  <c r="AQ31" i="7"/>
  <c r="AQ32" i="7"/>
  <c r="AQ34" i="7"/>
  <c r="AQ40" i="7"/>
  <c r="AN32" i="7"/>
  <c r="AQ22" i="7"/>
  <c r="AN54" i="7"/>
  <c r="AN57" i="7"/>
  <c r="AQ57" i="7"/>
  <c r="AQ63" i="7"/>
  <c r="AN63" i="7"/>
  <c r="AQ26" i="7"/>
  <c r="AQ15" i="7"/>
  <c r="AN83" i="7"/>
  <c r="AQ83" i="7"/>
  <c r="AN58" i="7"/>
  <c r="AN34" i="7"/>
  <c r="AN37" i="7"/>
  <c r="AN39" i="7"/>
  <c r="BO8" i="7"/>
  <c r="BR3" i="7" s="1"/>
  <c r="AQ30" i="7"/>
  <c r="AN30" i="7"/>
  <c r="AN117" i="7"/>
  <c r="AQ55" i="7"/>
  <c r="AQ70" i="7"/>
  <c r="AQ103" i="7"/>
  <c r="AN103" i="7"/>
  <c r="AN31" i="7"/>
  <c r="AN53" i="7"/>
  <c r="AN50" i="7"/>
  <c r="AQ69" i="7"/>
  <c r="AN26" i="7"/>
  <c r="AN40" i="7"/>
  <c r="AN44" i="7"/>
  <c r="AN48" i="7"/>
  <c r="AN52" i="7"/>
  <c r="AQ74" i="7"/>
  <c r="AQ80" i="7"/>
  <c r="AQ77" i="7"/>
  <c r="AN96" i="7"/>
  <c r="AN86" i="7"/>
  <c r="AQ48" i="7"/>
  <c r="AQ120" i="7"/>
  <c r="AQ28" i="7"/>
  <c r="AI51" i="7"/>
  <c r="AQ51" i="7"/>
  <c r="AQ65" i="7"/>
  <c r="AQ81" i="7"/>
  <c r="AN67" i="7"/>
  <c r="AQ67" i="7"/>
  <c r="AQ52" i="7"/>
  <c r="AQ85" i="7"/>
  <c r="AN84" i="7"/>
  <c r="AQ84" i="7"/>
  <c r="AQ66" i="7"/>
  <c r="BU12" i="7"/>
  <c r="AN78" i="7"/>
  <c r="AN77" i="7"/>
  <c r="AJ73" i="6"/>
  <c r="AN75" i="7"/>
  <c r="AQ50" i="7"/>
  <c r="BU65" i="7"/>
  <c r="BV65" i="7" s="1"/>
  <c r="BU134" i="7"/>
  <c r="BV134" i="7" s="1"/>
  <c r="BU87" i="7"/>
  <c r="BV87" i="7" s="1"/>
  <c r="BU133" i="7"/>
  <c r="BV133" i="7" s="1"/>
  <c r="BU82" i="7"/>
  <c r="BV82" i="7" s="1"/>
  <c r="BU77" i="7"/>
  <c r="BV77" i="7" s="1"/>
  <c r="BU85" i="7"/>
  <c r="BV85" i="7" s="1"/>
  <c r="BU63" i="7"/>
  <c r="BV63" i="7" s="1"/>
  <c r="BU33" i="7"/>
  <c r="BV33" i="7" s="1"/>
  <c r="BU52" i="7"/>
  <c r="BV52" i="7" s="1"/>
  <c r="BU22" i="7"/>
  <c r="BV22" i="7" s="1"/>
  <c r="BU135" i="7"/>
  <c r="BV135" i="7" s="1"/>
  <c r="BU30" i="7"/>
  <c r="BV30" i="7" s="1"/>
  <c r="BU113" i="7"/>
  <c r="BV113" i="7" s="1"/>
  <c r="BU117" i="7"/>
  <c r="BV117" i="7" s="1"/>
  <c r="BU20" i="7"/>
  <c r="BV20" i="7" s="1"/>
  <c r="BU41" i="7"/>
  <c r="BV41" i="7" s="1"/>
  <c r="BU107" i="7"/>
  <c r="BV107" i="7" s="1"/>
  <c r="BU121" i="7"/>
  <c r="BV121" i="7" s="1"/>
  <c r="BU47" i="7"/>
  <c r="BV47" i="7" s="1"/>
  <c r="BU76" i="7"/>
  <c r="BV76" i="7" s="1"/>
  <c r="BU19" i="7"/>
  <c r="BV19" i="7" s="1"/>
  <c r="BU84" i="7"/>
  <c r="BV84" i="7" s="1"/>
  <c r="BU54" i="7"/>
  <c r="BV54" i="7" s="1"/>
  <c r="BU24" i="7"/>
  <c r="BV24" i="7" s="1"/>
  <c r="BU137" i="7"/>
  <c r="BV137" i="7" s="1"/>
  <c r="BU92" i="7"/>
  <c r="BV92" i="7" s="1"/>
  <c r="BU55" i="7"/>
  <c r="BV55" i="7" s="1"/>
  <c r="BU25" i="7"/>
  <c r="BV25" i="7" s="1"/>
  <c r="BU93" i="7"/>
  <c r="BV93" i="7" s="1"/>
  <c r="BU35" i="7"/>
  <c r="BV35" i="7" s="1"/>
  <c r="BU105" i="7"/>
  <c r="BV105" i="7" s="1"/>
  <c r="BU129" i="7"/>
  <c r="BV129" i="7" s="1"/>
  <c r="BU60" i="7"/>
  <c r="BV60" i="7" s="1"/>
  <c r="BU27" i="7"/>
  <c r="BV27" i="7" s="1"/>
  <c r="BU50" i="7"/>
  <c r="BV50" i="7" s="1"/>
  <c r="BU21" i="7"/>
  <c r="BV21" i="7" s="1"/>
  <c r="BU110" i="7"/>
  <c r="BV110" i="7" s="1"/>
  <c r="BU96" i="7"/>
  <c r="BV96" i="7" s="1"/>
  <c r="BU91" i="7"/>
  <c r="BV91" i="7" s="1"/>
  <c r="BU32" i="7"/>
  <c r="BV32" i="7" s="1"/>
  <c r="BU44" i="7"/>
  <c r="BV44" i="7" s="1"/>
  <c r="BU14" i="7"/>
  <c r="BV14" i="7" s="1"/>
  <c r="BU97" i="7"/>
  <c r="BV97" i="7" s="1"/>
  <c r="BU86" i="7"/>
  <c r="BV86" i="7" s="1"/>
  <c r="BU26" i="7"/>
  <c r="BV26" i="7" s="1"/>
  <c r="BU64" i="7"/>
  <c r="BV64" i="7" s="1"/>
  <c r="BU114" i="7"/>
  <c r="BV114" i="7" s="1"/>
  <c r="BU71" i="7"/>
  <c r="BV71" i="7" s="1"/>
  <c r="BU68" i="7"/>
  <c r="BV68" i="7" s="1"/>
  <c r="BU59" i="7"/>
  <c r="BV59" i="7" s="1"/>
  <c r="BU132" i="7"/>
  <c r="BV132" i="7" s="1"/>
  <c r="BU72" i="7"/>
  <c r="BV72" i="7" s="1"/>
  <c r="BU51" i="7"/>
  <c r="BV51" i="7" s="1"/>
  <c r="BU80" i="7"/>
  <c r="BV80" i="7" s="1"/>
  <c r="BU118" i="7"/>
  <c r="BV118" i="7" s="1"/>
  <c r="BU88" i="7"/>
  <c r="BV88" i="7" s="1"/>
  <c r="BU58" i="7"/>
  <c r="BV58" i="7" s="1"/>
  <c r="BU36" i="7"/>
  <c r="BV36" i="7" s="1"/>
  <c r="BU99" i="7"/>
  <c r="BV99" i="7" s="1"/>
  <c r="BU119" i="7"/>
  <c r="BV119" i="7" s="1"/>
  <c r="BU127" i="7"/>
  <c r="BV127" i="7" s="1"/>
  <c r="BU62" i="7"/>
  <c r="BV62" i="7" s="1"/>
  <c r="BU116" i="7"/>
  <c r="BV116" i="7" s="1"/>
  <c r="BU56" i="7"/>
  <c r="BV56" i="7" s="1"/>
  <c r="BU111" i="7"/>
  <c r="BV111" i="7" s="1"/>
  <c r="BU124" i="7"/>
  <c r="BV124" i="7" s="1"/>
  <c r="BU94" i="7"/>
  <c r="BV94" i="7" s="1"/>
  <c r="BU34" i="7"/>
  <c r="BV34" i="7" s="1"/>
  <c r="BU29" i="7"/>
  <c r="BV29" i="7" s="1"/>
  <c r="BU75" i="7"/>
  <c r="BV75" i="7" s="1"/>
  <c r="BU16" i="7"/>
  <c r="BV16" i="7" s="1"/>
  <c r="BU136" i="7"/>
  <c r="BV136" i="7" s="1"/>
  <c r="BU61" i="7"/>
  <c r="BV61" i="7" s="1"/>
  <c r="BU67" i="7"/>
  <c r="BV67" i="7" s="1"/>
  <c r="BU69" i="7"/>
  <c r="BV69" i="7" s="1"/>
  <c r="BU130" i="7"/>
  <c r="BV130" i="7" s="1"/>
  <c r="BU108" i="7"/>
  <c r="BV108" i="7" s="1"/>
  <c r="BU17" i="7"/>
  <c r="BV17" i="7" s="1"/>
  <c r="BU37" i="7"/>
  <c r="BV37" i="7" s="1"/>
  <c r="BU83" i="7"/>
  <c r="BV83" i="7" s="1"/>
  <c r="BU45" i="7"/>
  <c r="BV45" i="7" s="1"/>
  <c r="BU126" i="7"/>
  <c r="BV126" i="7" s="1"/>
  <c r="BU101" i="7"/>
  <c r="BV101" i="7" s="1"/>
  <c r="BU46" i="7"/>
  <c r="BV46" i="7" s="1"/>
  <c r="BU42" i="7"/>
  <c r="BV42" i="7" s="1"/>
  <c r="BU53" i="7"/>
  <c r="BV53" i="7" s="1"/>
  <c r="BU23" i="7"/>
  <c r="BV23" i="7" s="1"/>
  <c r="BU106" i="7"/>
  <c r="BV106" i="7" s="1"/>
  <c r="BU31" i="7"/>
  <c r="BV31" i="7" s="1"/>
  <c r="BU89" i="7"/>
  <c r="BV89" i="7" s="1"/>
  <c r="BU39" i="7"/>
  <c r="BV39" i="7" s="1"/>
  <c r="BU123" i="7"/>
  <c r="BV123" i="7" s="1"/>
  <c r="BU122" i="7"/>
  <c r="BV122" i="7" s="1"/>
  <c r="BU100" i="7"/>
  <c r="BV100" i="7" s="1"/>
  <c r="BU70" i="7"/>
  <c r="BV70" i="7" s="1"/>
  <c r="BU40" i="7"/>
  <c r="BV40" i="7" s="1"/>
  <c r="BU78" i="7"/>
  <c r="BV78" i="7" s="1"/>
  <c r="BU48" i="7"/>
  <c r="BV48" i="7" s="1"/>
  <c r="BU18" i="7"/>
  <c r="BV18" i="7" s="1"/>
  <c r="BU120" i="7"/>
  <c r="BV120" i="7" s="1"/>
  <c r="BU90" i="7"/>
  <c r="BV90" i="7" s="1"/>
  <c r="BU66" i="7"/>
  <c r="BV66" i="7" s="1"/>
  <c r="BU15" i="7"/>
  <c r="BV15" i="7" s="1"/>
  <c r="BU128" i="7"/>
  <c r="BV128" i="7" s="1"/>
  <c r="BU98" i="7"/>
  <c r="BV98" i="7" s="1"/>
  <c r="BU81" i="7"/>
  <c r="BV81" i="7" s="1"/>
  <c r="BU125" i="7"/>
  <c r="BV125" i="7" s="1"/>
  <c r="BU28" i="7"/>
  <c r="BV28" i="7" s="1"/>
  <c r="BU38" i="7"/>
  <c r="BV38" i="7" s="1"/>
  <c r="BU102" i="7"/>
  <c r="BV102" i="7" s="1"/>
  <c r="BU57" i="7"/>
  <c r="BV57" i="7" s="1"/>
  <c r="BU95" i="7"/>
  <c r="BV95" i="7" s="1"/>
  <c r="BU103" i="7"/>
  <c r="BV103" i="7" s="1"/>
  <c r="BU73" i="7"/>
  <c r="BV73" i="7" s="1"/>
  <c r="BU13" i="7"/>
  <c r="BV13" i="7" s="1"/>
  <c r="BU104" i="7"/>
  <c r="BV104" i="7" s="1"/>
  <c r="BU43" i="7"/>
  <c r="BV43" i="7" s="1"/>
  <c r="BU112" i="7"/>
  <c r="BV112" i="7" s="1"/>
  <c r="BU115" i="7"/>
  <c r="BV115" i="7" s="1"/>
  <c r="BU74" i="7"/>
  <c r="BV74" i="7" s="1"/>
  <c r="BU109" i="7"/>
  <c r="BV109" i="7" s="1"/>
  <c r="BU79" i="7"/>
  <c r="BV79" i="7" s="1"/>
  <c r="BU49" i="7"/>
  <c r="BV49" i="7" s="1"/>
  <c r="BU131" i="7"/>
  <c r="BV131" i="7" s="1"/>
  <c r="AN66" i="7"/>
  <c r="AN59" i="7"/>
  <c r="AN56" i="7"/>
  <c r="AN55" i="7"/>
  <c r="AI87" i="7"/>
  <c r="AI65" i="7"/>
  <c r="AN70" i="7"/>
  <c r="AN85" i="7"/>
  <c r="AI127" i="7"/>
  <c r="AI117" i="7"/>
  <c r="AI125" i="7"/>
  <c r="AI57" i="7"/>
  <c r="BT57" i="7" s="1"/>
  <c r="AI95" i="7"/>
  <c r="AI112" i="7"/>
  <c r="AI35" i="7"/>
  <c r="AI59" i="7"/>
  <c r="AN69" i="7"/>
  <c r="AI47" i="7"/>
  <c r="AI53" i="7"/>
  <c r="AI23" i="7"/>
  <c r="AI31" i="7"/>
  <c r="BT31" i="7" s="1"/>
  <c r="AI136" i="7"/>
  <c r="AI114" i="7"/>
  <c r="AI89" i="7"/>
  <c r="AI61" i="7"/>
  <c r="AI130" i="7"/>
  <c r="AI106" i="7"/>
  <c r="AI28" i="7"/>
  <c r="AI100" i="7"/>
  <c r="AI78" i="7"/>
  <c r="AI38" i="7"/>
  <c r="AI46" i="7"/>
  <c r="AI63" i="7"/>
  <c r="AI39" i="7"/>
  <c r="AI20" i="7"/>
  <c r="AI132" i="7"/>
  <c r="AI80" i="7"/>
  <c r="AI36" i="7"/>
  <c r="AI110" i="7"/>
  <c r="AI133" i="7"/>
  <c r="AI75" i="7"/>
  <c r="AI81" i="7"/>
  <c r="AI84" i="7"/>
  <c r="AI116" i="7"/>
  <c r="AI44" i="7"/>
  <c r="AI122" i="7"/>
  <c r="AI70" i="7"/>
  <c r="AI48" i="7"/>
  <c r="BT48" i="7" s="1"/>
  <c r="AI18" i="7"/>
  <c r="AI120" i="7"/>
  <c r="AI66" i="7"/>
  <c r="AI15" i="7"/>
  <c r="BT15" i="7" s="1"/>
  <c r="AI128" i="7"/>
  <c r="AI98" i="7"/>
  <c r="AR53" i="7"/>
  <c r="AS53" i="7"/>
  <c r="AF54" i="7"/>
  <c r="AS23" i="7"/>
  <c r="AR23" i="7"/>
  <c r="AF24" i="7"/>
  <c r="AR106" i="7"/>
  <c r="AS106" i="7"/>
  <c r="AF107" i="7"/>
  <c r="AR12" i="7"/>
  <c r="AF12" i="7"/>
  <c r="AS31" i="7"/>
  <c r="AR31" i="7"/>
  <c r="AF32" i="7"/>
  <c r="AI67" i="7"/>
  <c r="AR89" i="7"/>
  <c r="AS89" i="7"/>
  <c r="AF90" i="7"/>
  <c r="AI69" i="7"/>
  <c r="BT69" i="7" s="1"/>
  <c r="AS39" i="7"/>
  <c r="AR39" i="7"/>
  <c r="AF40" i="7"/>
  <c r="AS123" i="7"/>
  <c r="AR123" i="7"/>
  <c r="AF124" i="7"/>
  <c r="AS122" i="7"/>
  <c r="AR122" i="7"/>
  <c r="AF123" i="7"/>
  <c r="AR100" i="7"/>
  <c r="AS100" i="7"/>
  <c r="AF101" i="7"/>
  <c r="AR70" i="7"/>
  <c r="AS70" i="7"/>
  <c r="AF71" i="7"/>
  <c r="AR40" i="7"/>
  <c r="AS40" i="7"/>
  <c r="AF41" i="7"/>
  <c r="AI108" i="7"/>
  <c r="AR78" i="7"/>
  <c r="AS78" i="7"/>
  <c r="AF79" i="7"/>
  <c r="AR48" i="7"/>
  <c r="AS48" i="7"/>
  <c r="AF49" i="7"/>
  <c r="AS18" i="7"/>
  <c r="AR18" i="7"/>
  <c r="AF19" i="7"/>
  <c r="AI17" i="7"/>
  <c r="AI37" i="7"/>
  <c r="AI83" i="7"/>
  <c r="BT83" i="7" s="1"/>
  <c r="AS120" i="7"/>
  <c r="AR120" i="7"/>
  <c r="AF121" i="7"/>
  <c r="AR90" i="7"/>
  <c r="AS90" i="7"/>
  <c r="AF91" i="7"/>
  <c r="AR66" i="7"/>
  <c r="AS66" i="7"/>
  <c r="AF67" i="7"/>
  <c r="AI45" i="7"/>
  <c r="AS15" i="7"/>
  <c r="AF16" i="7"/>
  <c r="AR128" i="7"/>
  <c r="AS128" i="7"/>
  <c r="AF129" i="7"/>
  <c r="AR98" i="7"/>
  <c r="AS98" i="7"/>
  <c r="AF99" i="7"/>
  <c r="AS81" i="7"/>
  <c r="AR81" i="7"/>
  <c r="AF82" i="7"/>
  <c r="AS67" i="7"/>
  <c r="AR67" i="7"/>
  <c r="AF68" i="7"/>
  <c r="AR130" i="7"/>
  <c r="AS130" i="7"/>
  <c r="AF131" i="7"/>
  <c r="AI90" i="7"/>
  <c r="AR126" i="7"/>
  <c r="AS126" i="7"/>
  <c r="AF127" i="7"/>
  <c r="AI12" i="7"/>
  <c r="BT12" i="7" s="1"/>
  <c r="AR13" i="7"/>
  <c r="AF14" i="7"/>
  <c r="AR43" i="7"/>
  <c r="AS43" i="7"/>
  <c r="AF44" i="7"/>
  <c r="AI101" i="7"/>
  <c r="AR79" i="7"/>
  <c r="AS79" i="7"/>
  <c r="AF80" i="7"/>
  <c r="AR117" i="7"/>
  <c r="AS117" i="7"/>
  <c r="AF118" i="7"/>
  <c r="AS87" i="7"/>
  <c r="AR87" i="7"/>
  <c r="AF88" i="7"/>
  <c r="AS114" i="7"/>
  <c r="AF115" i="7"/>
  <c r="AS12" i="7"/>
  <c r="AF13" i="7"/>
  <c r="AS125" i="7"/>
  <c r="AR125" i="7"/>
  <c r="AF126" i="7"/>
  <c r="AR65" i="7"/>
  <c r="AS65" i="7"/>
  <c r="AF66" i="7"/>
  <c r="AR20" i="7"/>
  <c r="AS20" i="7"/>
  <c r="AF21" i="7"/>
  <c r="AS133" i="7"/>
  <c r="AR133" i="7"/>
  <c r="AF134" i="7"/>
  <c r="AI103" i="7"/>
  <c r="AI73" i="7"/>
  <c r="AS13" i="7"/>
  <c r="AI13" i="7"/>
  <c r="AR28" i="7"/>
  <c r="AS28" i="7"/>
  <c r="AF29" i="7"/>
  <c r="AR21" i="7"/>
  <c r="AS21" i="7"/>
  <c r="AF22" i="7"/>
  <c r="AS134" i="7"/>
  <c r="AR134" i="7"/>
  <c r="AF135" i="7"/>
  <c r="AI104" i="7"/>
  <c r="AS29" i="7"/>
  <c r="AR29" i="7"/>
  <c r="AF30" i="7"/>
  <c r="AI43" i="7"/>
  <c r="AR82" i="7"/>
  <c r="AS82" i="7"/>
  <c r="AF83" i="7"/>
  <c r="AI115" i="7"/>
  <c r="AS101" i="7"/>
  <c r="AR101" i="7"/>
  <c r="AF102" i="7"/>
  <c r="AS71" i="7"/>
  <c r="AR71" i="7"/>
  <c r="AF72" i="7"/>
  <c r="AR41" i="7"/>
  <c r="AS41" i="7"/>
  <c r="AF42" i="7"/>
  <c r="AS75" i="7"/>
  <c r="AR75" i="7"/>
  <c r="AF76" i="7"/>
  <c r="AI74" i="7"/>
  <c r="AI109" i="7"/>
  <c r="AI79" i="7"/>
  <c r="AI49" i="7"/>
  <c r="AI131" i="7"/>
  <c r="AS108" i="7"/>
  <c r="AR108" i="7"/>
  <c r="AF109" i="7"/>
  <c r="AS83" i="7"/>
  <c r="AR83" i="7"/>
  <c r="AF84" i="7"/>
  <c r="AR57" i="7"/>
  <c r="AF58" i="7"/>
  <c r="AS95" i="7"/>
  <c r="AR95" i="7"/>
  <c r="AF96" i="7"/>
  <c r="AR73" i="7"/>
  <c r="AS73" i="7"/>
  <c r="AF74" i="7"/>
  <c r="AS104" i="7"/>
  <c r="AR104" i="7"/>
  <c r="AF105" i="7"/>
  <c r="AS115" i="7"/>
  <c r="AR115" i="7"/>
  <c r="AF116" i="7"/>
  <c r="AS74" i="7"/>
  <c r="AR74" i="7"/>
  <c r="AF75" i="7"/>
  <c r="AR131" i="7"/>
  <c r="AS131" i="7"/>
  <c r="AF132" i="7"/>
  <c r="AI68" i="7"/>
  <c r="BT68" i="7" s="1"/>
  <c r="AN68" i="7"/>
  <c r="AR107" i="7"/>
  <c r="AS107" i="7"/>
  <c r="AF108" i="7"/>
  <c r="AI121" i="7"/>
  <c r="AI76" i="7"/>
  <c r="AS46" i="7"/>
  <c r="AR46" i="7"/>
  <c r="AF47" i="7"/>
  <c r="AS16" i="7"/>
  <c r="AR16" i="7"/>
  <c r="AF17" i="7"/>
  <c r="AI19" i="7"/>
  <c r="AI54" i="7"/>
  <c r="AI24" i="7"/>
  <c r="AI138" i="7"/>
  <c r="AI137" i="7"/>
  <c r="AS77" i="7"/>
  <c r="AR77" i="7"/>
  <c r="AF78" i="7"/>
  <c r="AI92" i="7"/>
  <c r="AS85" i="7"/>
  <c r="AR85" i="7"/>
  <c r="AF86" i="7"/>
  <c r="AI55" i="7"/>
  <c r="BT55" i="7" s="1"/>
  <c r="AI25" i="7"/>
  <c r="AI93" i="7"/>
  <c r="AS63" i="7"/>
  <c r="AR63" i="7"/>
  <c r="AF64" i="7"/>
  <c r="AR33" i="7"/>
  <c r="AS33" i="7"/>
  <c r="AF34" i="7"/>
  <c r="AR52" i="7"/>
  <c r="AS52" i="7"/>
  <c r="AF53" i="7"/>
  <c r="AR22" i="7"/>
  <c r="AS22" i="7"/>
  <c r="AF23" i="7"/>
  <c r="AS135" i="7"/>
  <c r="AR135" i="7"/>
  <c r="AF136" i="7"/>
  <c r="AI105" i="7"/>
  <c r="AI129" i="7"/>
  <c r="AI60" i="7"/>
  <c r="AR30" i="7"/>
  <c r="AS30" i="7"/>
  <c r="AF31" i="7"/>
  <c r="AI27" i="7"/>
  <c r="AR114" i="7"/>
  <c r="AR113" i="7"/>
  <c r="AS113" i="7"/>
  <c r="AF114" i="7"/>
  <c r="AS61" i="7"/>
  <c r="AR61" i="7"/>
  <c r="AF62" i="7"/>
  <c r="AI40" i="7"/>
  <c r="BT40" i="7" s="1"/>
  <c r="AS37" i="7"/>
  <c r="AR37" i="7"/>
  <c r="AF38" i="7"/>
  <c r="AS103" i="7"/>
  <c r="AR103" i="7"/>
  <c r="AF104" i="7"/>
  <c r="AI134" i="7"/>
  <c r="AR68" i="7"/>
  <c r="AS68" i="7"/>
  <c r="AF69" i="7"/>
  <c r="AR38" i="7"/>
  <c r="AS38" i="7"/>
  <c r="AF39" i="7"/>
  <c r="AI107" i="7"/>
  <c r="AS121" i="7"/>
  <c r="AR121" i="7"/>
  <c r="AF122" i="7"/>
  <c r="AS47" i="7"/>
  <c r="AR47" i="7"/>
  <c r="AF48" i="7"/>
  <c r="AR76" i="7"/>
  <c r="AS76" i="7"/>
  <c r="AF77" i="7"/>
  <c r="AI16" i="7"/>
  <c r="AS19" i="7"/>
  <c r="AR19" i="7"/>
  <c r="AF20" i="7"/>
  <c r="AS84" i="7"/>
  <c r="AR84" i="7"/>
  <c r="AF85" i="7"/>
  <c r="AR54" i="7"/>
  <c r="AS54" i="7"/>
  <c r="AF55" i="7"/>
  <c r="AS24" i="7"/>
  <c r="AR24" i="7"/>
  <c r="AF25" i="7"/>
  <c r="AR137" i="7"/>
  <c r="AS137" i="7"/>
  <c r="AF138" i="7"/>
  <c r="AI77" i="7"/>
  <c r="AR92" i="7"/>
  <c r="AS92" i="7"/>
  <c r="AF93" i="7"/>
  <c r="AI85" i="7"/>
  <c r="AR55" i="7"/>
  <c r="AS55" i="7"/>
  <c r="AF56" i="7"/>
  <c r="AS25" i="7"/>
  <c r="AR25" i="7"/>
  <c r="AF26" i="7"/>
  <c r="AS93" i="7"/>
  <c r="AR93" i="7"/>
  <c r="AF94" i="7"/>
  <c r="AI33" i="7"/>
  <c r="AS35" i="7"/>
  <c r="AF36" i="7"/>
  <c r="AI52" i="7"/>
  <c r="AI22" i="7"/>
  <c r="BT22" i="7" s="1"/>
  <c r="AI135" i="7"/>
  <c r="AR105" i="7"/>
  <c r="AS105" i="7"/>
  <c r="AF106" i="7"/>
  <c r="AR129" i="7"/>
  <c r="AS129" i="7"/>
  <c r="AF130" i="7"/>
  <c r="AR60" i="7"/>
  <c r="AS60" i="7"/>
  <c r="AF61" i="7"/>
  <c r="AI30" i="7"/>
  <c r="BT30" i="7" s="1"/>
  <c r="AS27" i="7"/>
  <c r="AR27" i="7"/>
  <c r="AF28" i="7"/>
  <c r="AI113" i="7"/>
  <c r="AS50" i="7"/>
  <c r="AF51" i="7"/>
  <c r="AS136" i="7"/>
  <c r="AR136" i="7"/>
  <c r="AF137" i="7"/>
  <c r="AR69" i="7"/>
  <c r="AS69" i="7"/>
  <c r="AF70" i="7"/>
  <c r="AI29" i="7"/>
  <c r="AI71" i="7"/>
  <c r="BT71" i="7" s="1"/>
  <c r="AS109" i="7"/>
  <c r="AR109" i="7"/>
  <c r="AF110" i="7"/>
  <c r="AR102" i="7"/>
  <c r="AS102" i="7"/>
  <c r="AF103" i="7"/>
  <c r="AI72" i="7"/>
  <c r="AR42" i="7"/>
  <c r="AS42" i="7"/>
  <c r="AF43" i="7"/>
  <c r="AR59" i="7"/>
  <c r="AS59" i="7"/>
  <c r="AF60" i="7"/>
  <c r="AR110" i="7"/>
  <c r="AS110" i="7"/>
  <c r="AF111" i="7"/>
  <c r="AS96" i="7"/>
  <c r="AR96" i="7"/>
  <c r="AF97" i="7"/>
  <c r="AS91" i="7"/>
  <c r="AR91" i="7"/>
  <c r="AF92" i="7"/>
  <c r="AI118" i="7"/>
  <c r="AI88" i="7"/>
  <c r="AI58" i="7"/>
  <c r="BT58" i="7" s="1"/>
  <c r="AS32" i="7"/>
  <c r="AR32" i="7"/>
  <c r="AF33" i="7"/>
  <c r="AI99" i="7"/>
  <c r="AI119" i="7"/>
  <c r="AR44" i="7"/>
  <c r="AS44" i="7"/>
  <c r="AF45" i="7"/>
  <c r="AR15" i="7"/>
  <c r="AS14" i="7"/>
  <c r="AR14" i="7"/>
  <c r="AF15" i="7"/>
  <c r="AR97" i="7"/>
  <c r="AS97" i="7"/>
  <c r="AF98" i="7"/>
  <c r="AI62" i="7"/>
  <c r="BT62" i="7" s="1"/>
  <c r="AR86" i="7"/>
  <c r="AS86" i="7"/>
  <c r="AF87" i="7"/>
  <c r="AK86" i="7" s="1"/>
  <c r="AI56" i="7"/>
  <c r="AR26" i="7"/>
  <c r="AS26" i="7"/>
  <c r="AF27" i="7"/>
  <c r="AI111" i="7"/>
  <c r="AI124" i="7"/>
  <c r="AI94" i="7"/>
  <c r="AS64" i="7"/>
  <c r="AR64" i="7"/>
  <c r="AF65" i="7"/>
  <c r="AI34" i="7"/>
  <c r="BT34" i="7" s="1"/>
  <c r="AI50" i="7"/>
  <c r="BT50" i="7" s="1"/>
  <c r="AR17" i="7"/>
  <c r="AS17" i="7"/>
  <c r="AF18" i="7"/>
  <c r="AS45" i="7"/>
  <c r="AR45" i="7"/>
  <c r="AF46" i="7"/>
  <c r="AI21" i="7"/>
  <c r="AS112" i="7"/>
  <c r="AR112" i="7"/>
  <c r="AF113" i="7"/>
  <c r="AI41" i="7"/>
  <c r="AR50" i="7"/>
  <c r="AS49" i="7"/>
  <c r="AR49" i="7"/>
  <c r="AF50" i="7"/>
  <c r="AS132" i="7"/>
  <c r="AR132" i="7"/>
  <c r="AF133" i="7"/>
  <c r="AI102" i="7"/>
  <c r="AS72" i="7"/>
  <c r="AR72" i="7"/>
  <c r="AF73" i="7"/>
  <c r="AI42" i="7"/>
  <c r="AR51" i="7"/>
  <c r="AS51" i="7"/>
  <c r="AF52" i="7"/>
  <c r="AS80" i="7"/>
  <c r="AR80" i="7"/>
  <c r="AF81" i="7"/>
  <c r="AI96" i="7"/>
  <c r="AI91" i="7"/>
  <c r="AR118" i="7"/>
  <c r="AS118" i="7"/>
  <c r="AF119" i="7"/>
  <c r="AS88" i="7"/>
  <c r="AR88" i="7"/>
  <c r="AF89" i="7"/>
  <c r="AR58" i="7"/>
  <c r="AS58" i="7"/>
  <c r="AF59" i="7"/>
  <c r="AI32" i="7"/>
  <c r="BT32" i="7" s="1"/>
  <c r="AS36" i="7"/>
  <c r="AR36" i="7"/>
  <c r="AF37" i="7"/>
  <c r="AR99" i="7"/>
  <c r="AS99" i="7"/>
  <c r="AF100" i="7"/>
  <c r="AS119" i="7"/>
  <c r="AR119" i="7"/>
  <c r="AF120" i="7"/>
  <c r="AI14" i="7"/>
  <c r="AS127" i="7"/>
  <c r="AR127" i="7"/>
  <c r="AF128" i="7"/>
  <c r="AI97" i="7"/>
  <c r="AR62" i="7"/>
  <c r="AS62" i="7"/>
  <c r="AF63" i="7"/>
  <c r="AS116" i="7"/>
  <c r="AR116" i="7"/>
  <c r="AF117" i="7"/>
  <c r="AI86" i="7"/>
  <c r="AS57" i="7"/>
  <c r="AR56" i="7"/>
  <c r="AS56" i="7"/>
  <c r="AF57" i="7"/>
  <c r="AI26" i="7"/>
  <c r="BT26" i="7" s="1"/>
  <c r="AR111" i="7"/>
  <c r="AS111" i="7"/>
  <c r="AF112" i="7"/>
  <c r="AR124" i="7"/>
  <c r="AS124" i="7"/>
  <c r="AF125" i="7"/>
  <c r="AS94" i="7"/>
  <c r="AR94" i="7"/>
  <c r="AF95" i="7"/>
  <c r="AI64" i="7"/>
  <c r="AR35" i="7"/>
  <c r="AR34" i="7"/>
  <c r="AS34" i="7"/>
  <c r="AF35" i="7"/>
  <c r="AI126" i="7"/>
  <c r="BL70" i="6"/>
  <c r="BG72" i="6"/>
  <c r="BF72" i="6"/>
  <c r="BE70" i="6"/>
  <c r="AZ72" i="6"/>
  <c r="BB72" i="6" s="1"/>
  <c r="BC72" i="6" s="1"/>
  <c r="BD72" i="6"/>
  <c r="BG71" i="6"/>
  <c r="BE71" i="6" s="1"/>
  <c r="AZ71" i="6"/>
  <c r="BB71" i="6" s="1"/>
  <c r="BC71" i="6" s="1"/>
  <c r="AP73" i="6"/>
  <c r="AU73" i="6" s="1"/>
  <c r="V73" i="6"/>
  <c r="BD73" i="6" s="1"/>
  <c r="L84" i="6"/>
  <c r="K84" i="6"/>
  <c r="O75" i="6"/>
  <c r="AC74" i="6"/>
  <c r="AD74" i="6" s="1"/>
  <c r="AE74" i="6" s="1"/>
  <c r="AK74" i="6"/>
  <c r="AL74" i="6" s="1"/>
  <c r="AM74" i="6" s="1"/>
  <c r="Z74" i="6"/>
  <c r="AA74" i="6" s="1"/>
  <c r="AB74" i="6" s="1"/>
  <c r="BJ74" i="6" s="1"/>
  <c r="N76" i="6"/>
  <c r="J77" i="6"/>
  <c r="Q74" i="6"/>
  <c r="R74" i="6" s="1"/>
  <c r="AG74" i="6" s="1"/>
  <c r="S74" i="6"/>
  <c r="AV74" i="6" s="1"/>
  <c r="BH74" i="6" s="1"/>
  <c r="P74" i="6"/>
  <c r="W74" i="6"/>
  <c r="BT8" i="7" l="1"/>
  <c r="AQ8" i="7"/>
  <c r="BU8" i="7"/>
  <c r="AN8" i="7"/>
  <c r="AR8" i="7"/>
  <c r="AS8" i="7"/>
  <c r="AI8" i="7"/>
  <c r="AK132" i="7"/>
  <c r="AK102" i="7"/>
  <c r="AK93" i="7"/>
  <c r="AK94" i="7"/>
  <c r="AK124" i="7"/>
  <c r="AK96" i="7"/>
  <c r="AK22" i="7"/>
  <c r="AK29" i="7"/>
  <c r="AK36" i="7"/>
  <c r="AK54" i="7"/>
  <c r="AK32" i="7"/>
  <c r="AK80" i="7"/>
  <c r="AK24" i="7"/>
  <c r="BV12" i="7"/>
  <c r="BV8" i="7" s="1"/>
  <c r="AK62" i="7"/>
  <c r="AK115" i="7"/>
  <c r="AK99" i="7"/>
  <c r="AH74" i="6"/>
  <c r="AK19" i="7"/>
  <c r="AK118" i="7"/>
  <c r="AK42" i="7"/>
  <c r="AK121" i="7"/>
  <c r="AK107" i="7"/>
  <c r="AK49" i="7"/>
  <c r="AK30" i="7"/>
  <c r="AK64" i="7"/>
  <c r="AK17" i="7"/>
  <c r="AK83" i="7"/>
  <c r="AK71" i="7"/>
  <c r="AK136" i="7"/>
  <c r="AK34" i="7"/>
  <c r="AK56" i="7"/>
  <c r="AK105" i="7"/>
  <c r="AK111" i="7"/>
  <c r="AK88" i="7"/>
  <c r="AK109" i="7"/>
  <c r="AK123" i="7"/>
  <c r="AK91" i="7"/>
  <c r="AK16" i="7"/>
  <c r="AK82" i="7"/>
  <c r="AK90" i="7"/>
  <c r="AK41" i="7"/>
  <c r="AK72" i="7"/>
  <c r="AK45" i="7"/>
  <c r="AK47" i="7"/>
  <c r="AK68" i="7"/>
  <c r="AK14" i="7"/>
  <c r="AK51" i="7"/>
  <c r="AK44" i="7"/>
  <c r="AK69" i="7"/>
  <c r="AK76" i="7"/>
  <c r="AK135" i="7"/>
  <c r="AK67" i="7"/>
  <c r="AK21" i="7"/>
  <c r="AK129" i="7"/>
  <c r="AK134" i="7"/>
  <c r="AK58" i="7"/>
  <c r="AK127" i="7"/>
  <c r="AK101" i="7"/>
  <c r="AK12" i="7"/>
  <c r="AK38" i="7"/>
  <c r="AK27" i="7"/>
  <c r="AK35" i="7"/>
  <c r="AK103" i="7"/>
  <c r="AK13" i="7"/>
  <c r="AK130" i="7"/>
  <c r="AK78" i="7"/>
  <c r="AK33" i="7"/>
  <c r="AK25" i="7"/>
  <c r="AK84" i="7"/>
  <c r="AK73" i="7"/>
  <c r="AK87" i="7"/>
  <c r="AK39" i="7"/>
  <c r="AK23" i="7"/>
  <c r="AK97" i="7"/>
  <c r="AK50" i="7"/>
  <c r="AK138" i="7"/>
  <c r="AK137" i="7"/>
  <c r="AK61" i="7"/>
  <c r="AK74" i="7"/>
  <c r="AK57" i="7"/>
  <c r="AK126" i="7"/>
  <c r="AK128" i="7"/>
  <c r="AK100" i="7"/>
  <c r="AK112" i="7"/>
  <c r="AK59" i="7"/>
  <c r="AK113" i="7"/>
  <c r="AK46" i="7"/>
  <c r="AK75" i="7"/>
  <c r="AK20" i="7"/>
  <c r="AK43" i="7"/>
  <c r="AK48" i="7"/>
  <c r="AK116" i="7"/>
  <c r="AK92" i="7"/>
  <c r="AK37" i="7"/>
  <c r="AK52" i="7"/>
  <c r="AK77" i="7"/>
  <c r="AK104" i="7"/>
  <c r="AK125" i="7"/>
  <c r="AK98" i="7"/>
  <c r="AK66" i="7"/>
  <c r="AK106" i="7"/>
  <c r="AK60" i="7"/>
  <c r="AK131" i="7"/>
  <c r="AK108" i="7"/>
  <c r="AK28" i="7"/>
  <c r="AK114" i="7"/>
  <c r="AK70" i="7"/>
  <c r="AK31" i="7"/>
  <c r="AK119" i="7"/>
  <c r="AK26" i="7"/>
  <c r="AK110" i="7"/>
  <c r="AK55" i="7"/>
  <c r="AK63" i="7"/>
  <c r="AK85" i="7"/>
  <c r="AK95" i="7"/>
  <c r="AK133" i="7"/>
  <c r="AK117" i="7"/>
  <c r="AK79" i="7"/>
  <c r="AK120" i="7"/>
  <c r="AK18" i="7"/>
  <c r="AK53" i="7"/>
  <c r="AK65" i="7"/>
  <c r="AK81" i="7"/>
  <c r="AK15" i="7"/>
  <c r="AK40" i="7"/>
  <c r="AK122" i="7"/>
  <c r="AK89" i="7"/>
  <c r="BE72" i="6"/>
  <c r="BL72" i="6"/>
  <c r="BL71" i="6"/>
  <c r="BF73" i="6"/>
  <c r="BG73" i="6"/>
  <c r="AZ73" i="6"/>
  <c r="BB73" i="6" s="1"/>
  <c r="BC73" i="6" s="1"/>
  <c r="AK75" i="6"/>
  <c r="AL75" i="6" s="1"/>
  <c r="AM75" i="6" s="1"/>
  <c r="AO74" i="6"/>
  <c r="L85" i="6"/>
  <c r="K85" i="6"/>
  <c r="AN74" i="6"/>
  <c r="AF74" i="6"/>
  <c r="Z75" i="6"/>
  <c r="AA75" i="6" s="1"/>
  <c r="AB75" i="6" s="1"/>
  <c r="BJ75" i="6" s="1"/>
  <c r="AC75" i="6"/>
  <c r="AD75" i="6" s="1"/>
  <c r="AE75" i="6" s="1"/>
  <c r="P75" i="6"/>
  <c r="W75" i="6"/>
  <c r="X75" i="6" s="1"/>
  <c r="Y75" i="6" s="1"/>
  <c r="BK75" i="6" s="1"/>
  <c r="S75" i="6"/>
  <c r="Q75" i="6"/>
  <c r="R75" i="6" s="1"/>
  <c r="AG75" i="6" s="1"/>
  <c r="O76" i="6"/>
  <c r="N77" i="6"/>
  <c r="J78" i="6"/>
  <c r="U74" i="6"/>
  <c r="X74" i="6"/>
  <c r="Y74" i="6" s="1"/>
  <c r="BK74" i="6" s="1"/>
  <c r="T74" i="6"/>
  <c r="AK8" i="7" l="1"/>
  <c r="AL7" i="7" s="1"/>
  <c r="AL109" i="7" s="1"/>
  <c r="AJ74" i="6"/>
  <c r="BF74" i="6" s="1"/>
  <c r="AJ7" i="7"/>
  <c r="AJ79" i="7" s="1"/>
  <c r="C110" i="2"/>
  <c r="F110" i="2" s="1"/>
  <c r="G68" i="1" s="1"/>
  <c r="AH75" i="6"/>
  <c r="BL73" i="6"/>
  <c r="BE73" i="6"/>
  <c r="AV75" i="6"/>
  <c r="BH75" i="6" s="1"/>
  <c r="AP74" i="6"/>
  <c r="AU74" i="6" s="1"/>
  <c r="AO75" i="6"/>
  <c r="Z76" i="6"/>
  <c r="AA76" i="6" s="1"/>
  <c r="AB76" i="6" s="1"/>
  <c r="BJ76" i="6" s="1"/>
  <c r="AF75" i="6"/>
  <c r="L86" i="6"/>
  <c r="K86" i="6"/>
  <c r="Q76" i="6"/>
  <c r="R76" i="6" s="1"/>
  <c r="AG76" i="6" s="1"/>
  <c r="S76" i="6"/>
  <c r="AH76" i="6"/>
  <c r="O77" i="6"/>
  <c r="T75" i="6"/>
  <c r="AK76" i="6"/>
  <c r="AL76" i="6" s="1"/>
  <c r="AM76" i="6" s="1"/>
  <c r="P76" i="6"/>
  <c r="U75" i="6"/>
  <c r="W76" i="6"/>
  <c r="X76" i="6" s="1"/>
  <c r="Y76" i="6" s="1"/>
  <c r="BK76" i="6" s="1"/>
  <c r="N78" i="6"/>
  <c r="O78" i="6" s="1"/>
  <c r="AN75" i="6"/>
  <c r="AC76" i="6"/>
  <c r="AD76" i="6" s="1"/>
  <c r="AE76" i="6" s="1"/>
  <c r="V74" i="6"/>
  <c r="J79" i="6"/>
  <c r="AJ86" i="7" l="1"/>
  <c r="AJ28" i="7"/>
  <c r="AJ50" i="7"/>
  <c r="AJ90" i="7"/>
  <c r="AJ136" i="7"/>
  <c r="AJ49" i="7"/>
  <c r="AJ45" i="7"/>
  <c r="AJ68" i="7"/>
  <c r="AJ104" i="7"/>
  <c r="AJ100" i="7"/>
  <c r="AJ127" i="7"/>
  <c r="AJ75" i="6"/>
  <c r="BF75" i="6" s="1"/>
  <c r="AJ119" i="7"/>
  <c r="AJ32" i="7"/>
  <c r="AJ108" i="7"/>
  <c r="AJ36" i="7"/>
  <c r="AJ85" i="7"/>
  <c r="AJ103" i="7"/>
  <c r="AJ74" i="7"/>
  <c r="AJ42" i="7"/>
  <c r="AJ54" i="7"/>
  <c r="AJ58" i="7"/>
  <c r="AJ111" i="7"/>
  <c r="AJ98" i="7"/>
  <c r="AJ114" i="7"/>
  <c r="AJ39" i="7"/>
  <c r="AJ137" i="7"/>
  <c r="AJ43" i="7"/>
  <c r="AJ94" i="7"/>
  <c r="AJ65" i="7"/>
  <c r="AJ89" i="7"/>
  <c r="AJ20" i="7"/>
  <c r="AJ13" i="7"/>
  <c r="AJ138" i="7"/>
  <c r="AJ55" i="7"/>
  <c r="AJ27" i="7"/>
  <c r="AJ126" i="7"/>
  <c r="AJ26" i="7"/>
  <c r="AJ82" i="7"/>
  <c r="AJ19" i="7"/>
  <c r="AJ67" i="7"/>
  <c r="AJ128" i="7"/>
  <c r="AJ121" i="7"/>
  <c r="AJ117" i="7"/>
  <c r="AJ91" i="7"/>
  <c r="AJ47" i="7"/>
  <c r="AJ106" i="7"/>
  <c r="AJ75" i="7"/>
  <c r="AJ102" i="7"/>
  <c r="AJ135" i="7"/>
  <c r="AJ99" i="7"/>
  <c r="AJ30" i="7"/>
  <c r="AJ64" i="7"/>
  <c r="AJ88" i="7"/>
  <c r="AJ51" i="7"/>
  <c r="AJ76" i="7"/>
  <c r="AJ34" i="7"/>
  <c r="AJ123" i="7"/>
  <c r="AJ95" i="7"/>
  <c r="AJ35" i="7"/>
  <c r="AJ118" i="7"/>
  <c r="AJ44" i="7"/>
  <c r="AJ66" i="7"/>
  <c r="AJ31" i="7"/>
  <c r="AJ21" i="7"/>
  <c r="AJ63" i="7"/>
  <c r="AJ57" i="7"/>
  <c r="AJ53" i="7"/>
  <c r="AJ107" i="7"/>
  <c r="AJ110" i="7"/>
  <c r="AJ72" i="7"/>
  <c r="AJ131" i="7"/>
  <c r="AJ38" i="7"/>
  <c r="AJ70" i="7"/>
  <c r="AJ97" i="7"/>
  <c r="AJ93" i="7"/>
  <c r="AJ61" i="7"/>
  <c r="AJ24" i="7"/>
  <c r="AJ73" i="7"/>
  <c r="AJ129" i="7"/>
  <c r="AJ130" i="7"/>
  <c r="AJ48" i="7"/>
  <c r="AJ125" i="7"/>
  <c r="AJ120" i="7"/>
  <c r="AJ116" i="7"/>
  <c r="AJ59" i="7"/>
  <c r="AJ46" i="7"/>
  <c r="AJ134" i="7"/>
  <c r="AJ105" i="7"/>
  <c r="AJ101" i="7"/>
  <c r="AJ69" i="7"/>
  <c r="AJ33" i="7"/>
  <c r="AJ29" i="7"/>
  <c r="AJ60" i="7"/>
  <c r="AJ87" i="7"/>
  <c r="AJ122" i="7"/>
  <c r="AJ112" i="7"/>
  <c r="AJ40" i="7"/>
  <c r="AJ71" i="7"/>
  <c r="AJ12" i="7"/>
  <c r="AJ77" i="7"/>
  <c r="AJ124" i="7"/>
  <c r="AJ56" i="7"/>
  <c r="AJ52" i="7"/>
  <c r="AJ113" i="7"/>
  <c r="AJ109" i="7"/>
  <c r="AJ133" i="7"/>
  <c r="AJ41" i="7"/>
  <c r="AJ37" i="7"/>
  <c r="AJ132" i="7"/>
  <c r="AJ96" i="7"/>
  <c r="AJ92" i="7"/>
  <c r="AJ115" i="7"/>
  <c r="AJ23" i="7"/>
  <c r="AJ18" i="7"/>
  <c r="AJ62" i="7"/>
  <c r="AJ25" i="7"/>
  <c r="AJ84" i="7"/>
  <c r="AJ81" i="7"/>
  <c r="AJ17" i="7"/>
  <c r="AJ80" i="7"/>
  <c r="AJ15" i="7"/>
  <c r="AJ22" i="7"/>
  <c r="AJ83" i="7"/>
  <c r="AJ78" i="7"/>
  <c r="AJ14" i="7"/>
  <c r="AJ16" i="7"/>
  <c r="AL21" i="7"/>
  <c r="AL81" i="7"/>
  <c r="AL133" i="7"/>
  <c r="AL130" i="7"/>
  <c r="AL39" i="7"/>
  <c r="AL132" i="7"/>
  <c r="AL123" i="7"/>
  <c r="AL54" i="7"/>
  <c r="AL66" i="7"/>
  <c r="AL73" i="7"/>
  <c r="AL75" i="7"/>
  <c r="AL29" i="7"/>
  <c r="AL103" i="7"/>
  <c r="AL50" i="7"/>
  <c r="AL47" i="7"/>
  <c r="AL72" i="7"/>
  <c r="AL44" i="7"/>
  <c r="AL41" i="7"/>
  <c r="AL82" i="7"/>
  <c r="AL116" i="7"/>
  <c r="AL38" i="7"/>
  <c r="AL14" i="7"/>
  <c r="AL119" i="7"/>
  <c r="AL127" i="7"/>
  <c r="AL105" i="7"/>
  <c r="AL52" i="7"/>
  <c r="AL33" i="7"/>
  <c r="AL78" i="7"/>
  <c r="AL24" i="7"/>
  <c r="AL15" i="7"/>
  <c r="AL90" i="7"/>
  <c r="AL77" i="7"/>
  <c r="AL110" i="7"/>
  <c r="AL17" i="7"/>
  <c r="AL108" i="7"/>
  <c r="AL79" i="7"/>
  <c r="AL22" i="7"/>
  <c r="AL35" i="7"/>
  <c r="AL37" i="7"/>
  <c r="AL91" i="7"/>
  <c r="AL107" i="7"/>
  <c r="AL92" i="7"/>
  <c r="AL20" i="7"/>
  <c r="AL136" i="7"/>
  <c r="AL70" i="7"/>
  <c r="AL121" i="7"/>
  <c r="AL104" i="7"/>
  <c r="AL60" i="7"/>
  <c r="AL113" i="7"/>
  <c r="AL56" i="7"/>
  <c r="AL16" i="7"/>
  <c r="AL122" i="7"/>
  <c r="AL68" i="7"/>
  <c r="AL93" i="7"/>
  <c r="AL111" i="7"/>
  <c r="AL112" i="7"/>
  <c r="AL31" i="7"/>
  <c r="AL53" i="7"/>
  <c r="AL137" i="7"/>
  <c r="AL89" i="7"/>
  <c r="AL59" i="7"/>
  <c r="AL129" i="7"/>
  <c r="AL40" i="7"/>
  <c r="AL117" i="7"/>
  <c r="AL96" i="7"/>
  <c r="AL99" i="7"/>
  <c r="AL98" i="7"/>
  <c r="AL12" i="7"/>
  <c r="AL23" i="7"/>
  <c r="AL125" i="7"/>
  <c r="AL43" i="7"/>
  <c r="AL138" i="7"/>
  <c r="AL27" i="7"/>
  <c r="AL74" i="7"/>
  <c r="AL126" i="7"/>
  <c r="AL48" i="7"/>
  <c r="AL83" i="7"/>
  <c r="AL106" i="7"/>
  <c r="AL45" i="7"/>
  <c r="AL49" i="7"/>
  <c r="AL131" i="7"/>
  <c r="AL34" i="7"/>
  <c r="AL94" i="7"/>
  <c r="AL102" i="7"/>
  <c r="AL18" i="7"/>
  <c r="AL30" i="7"/>
  <c r="AL97" i="7"/>
  <c r="AL32" i="7"/>
  <c r="AL100" i="7"/>
  <c r="AL114" i="7"/>
  <c r="AL46" i="7"/>
  <c r="AL88" i="7"/>
  <c r="AL62" i="7"/>
  <c r="AL76" i="7"/>
  <c r="AL85" i="7"/>
  <c r="AL61" i="7"/>
  <c r="AL57" i="7"/>
  <c r="AL19" i="7"/>
  <c r="AL71" i="7"/>
  <c r="AL115" i="7"/>
  <c r="AL58" i="7"/>
  <c r="AL42" i="7"/>
  <c r="AL28" i="7"/>
  <c r="AL80" i="7"/>
  <c r="AL26" i="7"/>
  <c r="AL51" i="7"/>
  <c r="AL55" i="7"/>
  <c r="AL120" i="7"/>
  <c r="AL63" i="7"/>
  <c r="AL64" i="7"/>
  <c r="AL69" i="7"/>
  <c r="AL95" i="7"/>
  <c r="AL25" i="7"/>
  <c r="AL87" i="7"/>
  <c r="AL65" i="7"/>
  <c r="AL118" i="7"/>
  <c r="AL128" i="7"/>
  <c r="AL101" i="7"/>
  <c r="AL124" i="7"/>
  <c r="AL36" i="7"/>
  <c r="AL84" i="7"/>
  <c r="AL134" i="7"/>
  <c r="AL135" i="7"/>
  <c r="AL67" i="7"/>
  <c r="AL86" i="7"/>
  <c r="AL13" i="7"/>
  <c r="AP75" i="6"/>
  <c r="AU75" i="6" s="1"/>
  <c r="AZ74" i="6"/>
  <c r="BB74" i="6" s="1"/>
  <c r="BC74" i="6" s="1"/>
  <c r="BD74" i="6"/>
  <c r="BG74" i="6"/>
  <c r="BE74" i="6" s="1"/>
  <c r="T76" i="6"/>
  <c r="AV76" i="6"/>
  <c r="BH76" i="6" s="1"/>
  <c r="AK77" i="6"/>
  <c r="AL77" i="6" s="1"/>
  <c r="AM77" i="6" s="1"/>
  <c r="AO76" i="6"/>
  <c r="U76" i="6"/>
  <c r="L87" i="6"/>
  <c r="AN76" i="6"/>
  <c r="K87" i="6"/>
  <c r="Q77" i="6"/>
  <c r="R77" i="6" s="1"/>
  <c r="AG77" i="6" s="1"/>
  <c r="S77" i="6"/>
  <c r="P77" i="6"/>
  <c r="AF76" i="6"/>
  <c r="AC78" i="6"/>
  <c r="AD78" i="6" s="1"/>
  <c r="AE78" i="6" s="1"/>
  <c r="Z77" i="6"/>
  <c r="AA77" i="6" s="1"/>
  <c r="AB77" i="6" s="1"/>
  <c r="BJ77" i="6" s="1"/>
  <c r="V75" i="6"/>
  <c r="BD75" i="6" s="1"/>
  <c r="AK78" i="6"/>
  <c r="AL78" i="6" s="1"/>
  <c r="AM78" i="6" s="1"/>
  <c r="W77" i="6"/>
  <c r="X77" i="6" s="1"/>
  <c r="Y77" i="6" s="1"/>
  <c r="BK77" i="6" s="1"/>
  <c r="AC77" i="6"/>
  <c r="AD77" i="6" s="1"/>
  <c r="AE77" i="6" s="1"/>
  <c r="Z78" i="6"/>
  <c r="AA78" i="6" s="1"/>
  <c r="AB78" i="6" s="1"/>
  <c r="BJ78" i="6" s="1"/>
  <c r="N79" i="6"/>
  <c r="Q78" i="6"/>
  <c r="R78" i="6" s="1"/>
  <c r="AG78" i="6" s="1"/>
  <c r="S78" i="6"/>
  <c r="AV78" i="6" s="1"/>
  <c r="BH78" i="6" s="1"/>
  <c r="P78" i="6"/>
  <c r="W78" i="6"/>
  <c r="J80" i="6"/>
  <c r="AL8" i="7" l="1"/>
  <c r="AO3" i="7" s="1"/>
  <c r="AJ8" i="7"/>
  <c r="AJ3" i="7" s="1"/>
  <c r="AH77" i="6"/>
  <c r="AH78" i="6"/>
  <c r="AJ76" i="6"/>
  <c r="BF76" i="6" s="1"/>
  <c r="BL74" i="6"/>
  <c r="AP76" i="6"/>
  <c r="AU76" i="6" s="1"/>
  <c r="V76" i="6"/>
  <c r="BD76" i="6" s="1"/>
  <c r="BG75" i="6"/>
  <c r="AV77" i="6"/>
  <c r="BH77" i="6" s="1"/>
  <c r="AZ75" i="6"/>
  <c r="BB75" i="6" s="1"/>
  <c r="BC75" i="6" s="1"/>
  <c r="AO78" i="6"/>
  <c r="AO77" i="6"/>
  <c r="AN77" i="6"/>
  <c r="L88" i="6"/>
  <c r="T77" i="6"/>
  <c r="AF77" i="6"/>
  <c r="K88" i="6"/>
  <c r="U77" i="6"/>
  <c r="AN78" i="6"/>
  <c r="AF78" i="6"/>
  <c r="O79" i="6"/>
  <c r="U78" i="6"/>
  <c r="J81" i="6"/>
  <c r="X78" i="6"/>
  <c r="Y78" i="6" s="1"/>
  <c r="BK78" i="6" s="1"/>
  <c r="N80" i="6"/>
  <c r="T78" i="6"/>
  <c r="AJ78" i="6" l="1"/>
  <c r="AJ77" i="6"/>
  <c r="BE75" i="6"/>
  <c r="BL75" i="6"/>
  <c r="AZ76" i="6"/>
  <c r="BB76" i="6" s="1"/>
  <c r="BC76" i="6" s="1"/>
  <c r="BG76" i="6"/>
  <c r="BE76" i="6" s="1"/>
  <c r="AP77" i="6"/>
  <c r="AU77" i="6" s="1"/>
  <c r="AP78" i="6"/>
  <c r="AU78" i="6" s="1"/>
  <c r="S79" i="6"/>
  <c r="AV79" i="6" s="1"/>
  <c r="BH79" i="6" s="1"/>
  <c r="V77" i="6"/>
  <c r="BD77" i="6" s="1"/>
  <c r="L89" i="6"/>
  <c r="K89" i="6"/>
  <c r="AC79" i="6"/>
  <c r="AD79" i="6" s="1"/>
  <c r="AE79" i="6" s="1"/>
  <c r="W79" i="6"/>
  <c r="X79" i="6" s="1"/>
  <c r="Y79" i="6" s="1"/>
  <c r="BK79" i="6" s="1"/>
  <c r="Q79" i="6"/>
  <c r="R79" i="6" s="1"/>
  <c r="AG79" i="6" s="1"/>
  <c r="AK79" i="6"/>
  <c r="AL79" i="6" s="1"/>
  <c r="AM79" i="6" s="1"/>
  <c r="Z79" i="6"/>
  <c r="AA79" i="6" s="1"/>
  <c r="AB79" i="6" s="1"/>
  <c r="BJ79" i="6" s="1"/>
  <c r="P79" i="6"/>
  <c r="V78" i="6"/>
  <c r="BD78" i="6" s="1"/>
  <c r="N81" i="6"/>
  <c r="O81" i="6" s="1"/>
  <c r="J82" i="6"/>
  <c r="O80" i="6"/>
  <c r="AH79" i="6" l="1"/>
  <c r="T79" i="6"/>
  <c r="BL76" i="6"/>
  <c r="BG77" i="6"/>
  <c r="BF78" i="6"/>
  <c r="BG78" i="6"/>
  <c r="BF77" i="6"/>
  <c r="AZ78" i="6"/>
  <c r="BB78" i="6" s="1"/>
  <c r="BC78" i="6" s="1"/>
  <c r="AZ77" i="6"/>
  <c r="BB77" i="6" s="1"/>
  <c r="BC77" i="6" s="1"/>
  <c r="AO79" i="6"/>
  <c r="U79" i="6"/>
  <c r="L90" i="6"/>
  <c r="AN79" i="6"/>
  <c r="K90" i="6"/>
  <c r="AF79" i="6"/>
  <c r="AC80" i="6"/>
  <c r="AD80" i="6" s="1"/>
  <c r="AE80" i="6" s="1"/>
  <c r="AK80" i="6"/>
  <c r="AL80" i="6" s="1"/>
  <c r="AM80" i="6" s="1"/>
  <c r="AK81" i="6"/>
  <c r="AL81" i="6" s="1"/>
  <c r="AM81" i="6" s="1"/>
  <c r="N82" i="6"/>
  <c r="O82" i="6" s="1"/>
  <c r="Z80" i="6"/>
  <c r="AA80" i="6" s="1"/>
  <c r="AB80" i="6" s="1"/>
  <c r="BJ80" i="6" s="1"/>
  <c r="P81" i="6"/>
  <c r="Q81" i="6"/>
  <c r="R81" i="6" s="1"/>
  <c r="AG81" i="6" s="1"/>
  <c r="S81" i="6"/>
  <c r="AV81" i="6" s="1"/>
  <c r="BH81" i="6" s="1"/>
  <c r="W81" i="6"/>
  <c r="J83" i="6"/>
  <c r="AC81" i="6"/>
  <c r="AD81" i="6" s="1"/>
  <c r="AE81" i="6" s="1"/>
  <c r="S80" i="6"/>
  <c r="AV80" i="6" s="1"/>
  <c r="BH80" i="6" s="1"/>
  <c r="P80" i="6"/>
  <c r="Q80" i="6"/>
  <c r="R80" i="6" s="1"/>
  <c r="AG80" i="6" s="1"/>
  <c r="W80" i="6"/>
  <c r="Z81" i="6"/>
  <c r="AA81" i="6" s="1"/>
  <c r="AB81" i="6" s="1"/>
  <c r="BJ81" i="6" s="1"/>
  <c r="AH80" i="6" l="1"/>
  <c r="AH81" i="6"/>
  <c r="V79" i="6"/>
  <c r="BD79" i="6" s="1"/>
  <c r="AJ79" i="6"/>
  <c r="BF79" i="6" s="1"/>
  <c r="BE77" i="6"/>
  <c r="BL78" i="6"/>
  <c r="BL77" i="6"/>
  <c r="BE78" i="6"/>
  <c r="AP79" i="6"/>
  <c r="AU79" i="6" s="1"/>
  <c r="AO81" i="6"/>
  <c r="AO80" i="6"/>
  <c r="AF80" i="6"/>
  <c r="L91" i="6"/>
  <c r="AN81" i="6"/>
  <c r="K91" i="6"/>
  <c r="AF81" i="6"/>
  <c r="AN80" i="6"/>
  <c r="AK82" i="6"/>
  <c r="AL82" i="6" s="1"/>
  <c r="AM82" i="6" s="1"/>
  <c r="N83" i="6"/>
  <c r="O83" i="6" s="1"/>
  <c r="P82" i="6"/>
  <c r="Q82" i="6"/>
  <c r="R82" i="6" s="1"/>
  <c r="AG82" i="6" s="1"/>
  <c r="S82" i="6"/>
  <c r="AV82" i="6" s="1"/>
  <c r="BH82" i="6" s="1"/>
  <c r="W82" i="6"/>
  <c r="U80" i="6"/>
  <c r="J84" i="6"/>
  <c r="X81" i="6"/>
  <c r="Y81" i="6" s="1"/>
  <c r="BK81" i="6" s="1"/>
  <c r="T80" i="6"/>
  <c r="T81" i="6"/>
  <c r="X80" i="6"/>
  <c r="Y80" i="6" s="1"/>
  <c r="BK80" i="6" s="1"/>
  <c r="Z82" i="6"/>
  <c r="AA82" i="6" s="1"/>
  <c r="AB82" i="6" s="1"/>
  <c r="BJ82" i="6" s="1"/>
  <c r="AC82" i="6"/>
  <c r="AD82" i="6" s="1"/>
  <c r="AE82" i="6" s="1"/>
  <c r="U81" i="6"/>
  <c r="AH82" i="6" l="1"/>
  <c r="AJ80" i="6"/>
  <c r="BF80" i="6" s="1"/>
  <c r="AJ81" i="6"/>
  <c r="BF81" i="6" s="1"/>
  <c r="AP80" i="6"/>
  <c r="AU80" i="6" s="1"/>
  <c r="AZ79" i="6"/>
  <c r="BB79" i="6" s="1"/>
  <c r="BC79" i="6" s="1"/>
  <c r="BG79" i="6"/>
  <c r="BL79" i="6" s="1"/>
  <c r="AO82" i="6"/>
  <c r="AP81" i="6"/>
  <c r="L92" i="6"/>
  <c r="K92" i="6"/>
  <c r="AN82" i="6"/>
  <c r="AF82" i="6"/>
  <c r="AK83" i="6"/>
  <c r="AL83" i="6" s="1"/>
  <c r="AM83" i="6" s="1"/>
  <c r="Z83" i="6"/>
  <c r="AA83" i="6" s="1"/>
  <c r="AB83" i="6" s="1"/>
  <c r="BJ83" i="6" s="1"/>
  <c r="V80" i="6"/>
  <c r="BD80" i="6" s="1"/>
  <c r="AC83" i="6"/>
  <c r="AD83" i="6" s="1"/>
  <c r="AE83" i="6" s="1"/>
  <c r="N84" i="6"/>
  <c r="O84" i="6" s="1"/>
  <c r="X82" i="6"/>
  <c r="Y82" i="6" s="1"/>
  <c r="BK82" i="6" s="1"/>
  <c r="J85" i="6"/>
  <c r="T82" i="6"/>
  <c r="V81" i="6"/>
  <c r="S83" i="6"/>
  <c r="AV83" i="6" s="1"/>
  <c r="BH83" i="6" s="1"/>
  <c r="Q83" i="6"/>
  <c r="R83" i="6" s="1"/>
  <c r="AG83" i="6" s="1"/>
  <c r="P83" i="6"/>
  <c r="W83" i="6"/>
  <c r="U82" i="6"/>
  <c r="AJ82" i="6" l="1"/>
  <c r="BF82" i="6" s="1"/>
  <c r="AH83" i="6"/>
  <c r="AU81" i="6"/>
  <c r="BG81" i="6" s="1"/>
  <c r="BE81" i="6" s="1"/>
  <c r="BE79" i="6"/>
  <c r="BD81" i="6"/>
  <c r="BG80" i="6"/>
  <c r="BE80" i="6" s="1"/>
  <c r="AZ80" i="6"/>
  <c r="BB80" i="6" s="1"/>
  <c r="BC80" i="6" s="1"/>
  <c r="AP82" i="6"/>
  <c r="AU82" i="6" s="1"/>
  <c r="AO83" i="6"/>
  <c r="AF83" i="6"/>
  <c r="AJ83" i="6" s="1"/>
  <c r="L93" i="6"/>
  <c r="K93" i="6"/>
  <c r="AK84" i="6"/>
  <c r="AL84" i="6" s="1"/>
  <c r="AM84" i="6" s="1"/>
  <c r="N85" i="6"/>
  <c r="V82" i="6"/>
  <c r="BD82" i="6" s="1"/>
  <c r="AN83" i="6"/>
  <c r="U83" i="6"/>
  <c r="S84" i="6"/>
  <c r="AV84" i="6" s="1"/>
  <c r="BH84" i="6" s="1"/>
  <c r="Q84" i="6"/>
  <c r="R84" i="6" s="1"/>
  <c r="AG84" i="6" s="1"/>
  <c r="P84" i="6"/>
  <c r="W84" i="6"/>
  <c r="T83" i="6"/>
  <c r="X83" i="6"/>
  <c r="Y83" i="6" s="1"/>
  <c r="BK83" i="6" s="1"/>
  <c r="J86" i="6"/>
  <c r="Z84" i="6"/>
  <c r="AA84" i="6" s="1"/>
  <c r="AB84" i="6" s="1"/>
  <c r="BJ84" i="6" s="1"/>
  <c r="AC84" i="6"/>
  <c r="AD84" i="6" s="1"/>
  <c r="AE84" i="6" s="1"/>
  <c r="AH84" i="6" l="1"/>
  <c r="AZ81" i="6"/>
  <c r="BB81" i="6" s="1"/>
  <c r="BC81" i="6" s="1"/>
  <c r="BF83" i="6"/>
  <c r="BL81" i="6"/>
  <c r="BL80" i="6"/>
  <c r="BG82" i="6"/>
  <c r="BE82" i="6" s="1"/>
  <c r="AZ82" i="6"/>
  <c r="BB82" i="6" s="1"/>
  <c r="BC82" i="6" s="1"/>
  <c r="AP83" i="6"/>
  <c r="AF84" i="6"/>
  <c r="AO84" i="6"/>
  <c r="L94" i="6"/>
  <c r="K94" i="6"/>
  <c r="O85" i="6"/>
  <c r="AN84" i="6"/>
  <c r="V83" i="6"/>
  <c r="BD83" i="6" s="1"/>
  <c r="U84" i="6"/>
  <c r="J87" i="6"/>
  <c r="X84" i="6"/>
  <c r="Y84" i="6" s="1"/>
  <c r="BK84" i="6" s="1"/>
  <c r="N86" i="6"/>
  <c r="T84" i="6"/>
  <c r="AJ84" i="6" l="1"/>
  <c r="AU83" i="6"/>
  <c r="BG83" i="6" s="1"/>
  <c r="BF84" i="6"/>
  <c r="BL82" i="6"/>
  <c r="AP84" i="6"/>
  <c r="AU84" i="6" s="1"/>
  <c r="P85" i="6"/>
  <c r="L95" i="6"/>
  <c r="W85" i="6"/>
  <c r="X85" i="6" s="1"/>
  <c r="Y85" i="6" s="1"/>
  <c r="BK85" i="6" s="1"/>
  <c r="AC85" i="6"/>
  <c r="AD85" i="6" s="1"/>
  <c r="AE85" i="6" s="1"/>
  <c r="K95" i="6"/>
  <c r="Z85" i="6"/>
  <c r="AA85" i="6" s="1"/>
  <c r="AB85" i="6" s="1"/>
  <c r="BJ85" i="6" s="1"/>
  <c r="Q85" i="6"/>
  <c r="R85" i="6" s="1"/>
  <c r="AG85" i="6" s="1"/>
  <c r="S85" i="6"/>
  <c r="AK85" i="6"/>
  <c r="AL85" i="6" s="1"/>
  <c r="AM85" i="6" s="1"/>
  <c r="N87" i="6"/>
  <c r="O87" i="6" s="1"/>
  <c r="V84" i="6"/>
  <c r="BD84" i="6" s="1"/>
  <c r="J88" i="6"/>
  <c r="O86" i="6"/>
  <c r="AH85" i="6" l="1"/>
  <c r="AZ83" i="6"/>
  <c r="BB83" i="6" s="1"/>
  <c r="BC83" i="6" s="1"/>
  <c r="BL83" i="6"/>
  <c r="BE83" i="6"/>
  <c r="BG84" i="6"/>
  <c r="BE84" i="6" s="1"/>
  <c r="AZ84" i="6"/>
  <c r="BB84" i="6" s="1"/>
  <c r="BC84" i="6" s="1"/>
  <c r="T85" i="6"/>
  <c r="AV85" i="6"/>
  <c r="BH85" i="6" s="1"/>
  <c r="AO85" i="6"/>
  <c r="AK86" i="6"/>
  <c r="AL86" i="6" s="1"/>
  <c r="AM86" i="6" s="1"/>
  <c r="L96" i="6"/>
  <c r="U85" i="6"/>
  <c r="K96" i="6"/>
  <c r="AF85" i="6"/>
  <c r="AN85" i="6"/>
  <c r="AK87" i="6"/>
  <c r="AL87" i="6" s="1"/>
  <c r="AM87" i="6" s="1"/>
  <c r="Z87" i="6"/>
  <c r="AA87" i="6" s="1"/>
  <c r="AB87" i="6" s="1"/>
  <c r="BJ87" i="6" s="1"/>
  <c r="Z86" i="6"/>
  <c r="AA86" i="6" s="1"/>
  <c r="AB86" i="6" s="1"/>
  <c r="BJ86" i="6" s="1"/>
  <c r="S86" i="6"/>
  <c r="AV86" i="6" s="1"/>
  <c r="BH86" i="6" s="1"/>
  <c r="P86" i="6"/>
  <c r="Q86" i="6"/>
  <c r="R86" i="6" s="1"/>
  <c r="AG86" i="6" s="1"/>
  <c r="W86" i="6"/>
  <c r="AC86" i="6"/>
  <c r="AD86" i="6" s="1"/>
  <c r="AE86" i="6" s="1"/>
  <c r="N88" i="6"/>
  <c r="J89" i="6"/>
  <c r="P87" i="6"/>
  <c r="Q87" i="6"/>
  <c r="R87" i="6" s="1"/>
  <c r="AG87" i="6" s="1"/>
  <c r="S87" i="6"/>
  <c r="AV87" i="6" s="1"/>
  <c r="BH87" i="6" s="1"/>
  <c r="W87" i="6"/>
  <c r="AC87" i="6"/>
  <c r="AD87" i="6" s="1"/>
  <c r="AE87" i="6" s="1"/>
  <c r="AJ85" i="6" l="1"/>
  <c r="AH86" i="6"/>
  <c r="AH87" i="6"/>
  <c r="BL84" i="6"/>
  <c r="V85" i="6"/>
  <c r="BD85" i="6" s="1"/>
  <c r="AP85" i="6"/>
  <c r="AU85" i="6" s="1"/>
  <c r="AO86" i="6"/>
  <c r="AO87" i="6"/>
  <c r="L97" i="6"/>
  <c r="K97" i="6"/>
  <c r="AF86" i="6"/>
  <c r="AN86" i="6"/>
  <c r="O88" i="6"/>
  <c r="AN87" i="6"/>
  <c r="AF87" i="6"/>
  <c r="X86" i="6"/>
  <c r="Y86" i="6" s="1"/>
  <c r="BK86" i="6" s="1"/>
  <c r="T87" i="6"/>
  <c r="U87" i="6"/>
  <c r="T86" i="6"/>
  <c r="J90" i="6"/>
  <c r="U86" i="6"/>
  <c r="X87" i="6"/>
  <c r="Y87" i="6" s="1"/>
  <c r="BK87" i="6" s="1"/>
  <c r="N89" i="6"/>
  <c r="AJ87" i="6" l="1"/>
  <c r="BF87" i="6" s="1"/>
  <c r="AJ86" i="6"/>
  <c r="BF86" i="6" s="1"/>
  <c r="AP87" i="6"/>
  <c r="AU87" i="6" s="1"/>
  <c r="AP86" i="6"/>
  <c r="AU86" i="6" s="1"/>
  <c r="BF85" i="6"/>
  <c r="BG85" i="6"/>
  <c r="AZ85" i="6"/>
  <c r="BB85" i="6" s="1"/>
  <c r="BC85" i="6" s="1"/>
  <c r="AK88" i="6"/>
  <c r="AL88" i="6" s="1"/>
  <c r="AM88" i="6" s="1"/>
  <c r="L98" i="6"/>
  <c r="K98" i="6"/>
  <c r="AC88" i="6"/>
  <c r="AD88" i="6" s="1"/>
  <c r="AE88" i="6" s="1"/>
  <c r="V86" i="6"/>
  <c r="BD86" i="6" s="1"/>
  <c r="W88" i="6"/>
  <c r="X88" i="6" s="1"/>
  <c r="Y88" i="6" s="1"/>
  <c r="BK88" i="6" s="1"/>
  <c r="P88" i="6"/>
  <c r="S88" i="6"/>
  <c r="Q88" i="6"/>
  <c r="R88" i="6" s="1"/>
  <c r="AG88" i="6" s="1"/>
  <c r="Z88" i="6"/>
  <c r="AA88" i="6" s="1"/>
  <c r="AB88" i="6" s="1"/>
  <c r="BJ88" i="6" s="1"/>
  <c r="V87" i="6"/>
  <c r="BD87" i="6" s="1"/>
  <c r="N90" i="6"/>
  <c r="O90" i="6" s="1"/>
  <c r="J91" i="6"/>
  <c r="O89" i="6"/>
  <c r="AH88" i="6" l="1"/>
  <c r="BL85" i="6"/>
  <c r="BG87" i="6"/>
  <c r="BE87" i="6" s="1"/>
  <c r="BG86" i="6"/>
  <c r="BE86" i="6" s="1"/>
  <c r="BE85" i="6"/>
  <c r="AZ87" i="6"/>
  <c r="BB87" i="6" s="1"/>
  <c r="BC87" i="6" s="1"/>
  <c r="AZ86" i="6"/>
  <c r="BB86" i="6" s="1"/>
  <c r="BC86" i="6" s="1"/>
  <c r="T88" i="6"/>
  <c r="AV88" i="6"/>
  <c r="BH88" i="6" s="1"/>
  <c r="AO88" i="6"/>
  <c r="L99" i="6"/>
  <c r="K99" i="6"/>
  <c r="AF88" i="6"/>
  <c r="U88" i="6"/>
  <c r="AN88" i="6"/>
  <c r="Z90" i="6"/>
  <c r="AA90" i="6" s="1"/>
  <c r="AB90" i="6" s="1"/>
  <c r="BJ90" i="6" s="1"/>
  <c r="AK90" i="6"/>
  <c r="AL90" i="6" s="1"/>
  <c r="AM90" i="6" s="1"/>
  <c r="AK89" i="6"/>
  <c r="AL89" i="6" s="1"/>
  <c r="AM89" i="6" s="1"/>
  <c r="Z89" i="6"/>
  <c r="AA89" i="6" s="1"/>
  <c r="AB89" i="6" s="1"/>
  <c r="BJ89" i="6" s="1"/>
  <c r="AC89" i="6"/>
  <c r="AD89" i="6" s="1"/>
  <c r="AE89" i="6" s="1"/>
  <c r="N91" i="6"/>
  <c r="J92" i="6"/>
  <c r="P90" i="6"/>
  <c r="S90" i="6"/>
  <c r="AV90" i="6" s="1"/>
  <c r="BH90" i="6" s="1"/>
  <c r="Q90" i="6"/>
  <c r="R90" i="6" s="1"/>
  <c r="AG90" i="6" s="1"/>
  <c r="W90" i="6"/>
  <c r="AC90" i="6"/>
  <c r="AD90" i="6" s="1"/>
  <c r="AE90" i="6" s="1"/>
  <c r="S89" i="6"/>
  <c r="AV89" i="6" s="1"/>
  <c r="BH89" i="6" s="1"/>
  <c r="P89" i="6"/>
  <c r="Q89" i="6"/>
  <c r="R89" i="6" s="1"/>
  <c r="AG89" i="6" s="1"/>
  <c r="W89" i="6"/>
  <c r="AJ88" i="6" l="1"/>
  <c r="AH89" i="6"/>
  <c r="AH90" i="6"/>
  <c r="BL87" i="6"/>
  <c r="BL86" i="6"/>
  <c r="V88" i="6"/>
  <c r="BD88" i="6" s="1"/>
  <c r="AP88" i="6"/>
  <c r="AU88" i="6" s="1"/>
  <c r="AO90" i="6"/>
  <c r="AO89" i="6"/>
  <c r="L100" i="6"/>
  <c r="K100" i="6"/>
  <c r="AF89" i="6"/>
  <c r="AN89" i="6"/>
  <c r="AN90" i="6"/>
  <c r="AF90" i="6"/>
  <c r="N92" i="6"/>
  <c r="O92" i="6" s="1"/>
  <c r="O91" i="6"/>
  <c r="U89" i="6"/>
  <c r="T90" i="6"/>
  <c r="X90" i="6"/>
  <c r="Y90" i="6" s="1"/>
  <c r="BK90" i="6" s="1"/>
  <c r="T89" i="6"/>
  <c r="X89" i="6"/>
  <c r="Y89" i="6" s="1"/>
  <c r="BK89" i="6" s="1"/>
  <c r="U90" i="6"/>
  <c r="J93" i="6"/>
  <c r="AJ90" i="6" l="1"/>
  <c r="BF90" i="6" s="1"/>
  <c r="AJ89" i="6"/>
  <c r="BF89" i="6" s="1"/>
  <c r="BF88" i="6"/>
  <c r="BG88" i="6"/>
  <c r="AZ88" i="6"/>
  <c r="BB88" i="6" s="1"/>
  <c r="BC88" i="6" s="1"/>
  <c r="Q91" i="6"/>
  <c r="R91" i="6" s="1"/>
  <c r="AG91" i="6" s="1"/>
  <c r="AP89" i="6"/>
  <c r="AP90" i="6"/>
  <c r="L101" i="6"/>
  <c r="V90" i="6"/>
  <c r="BD90" i="6" s="1"/>
  <c r="K101" i="6"/>
  <c r="AC91" i="6"/>
  <c r="AD91" i="6" s="1"/>
  <c r="AE91" i="6" s="1"/>
  <c r="P91" i="6"/>
  <c r="N93" i="6"/>
  <c r="O93" i="6" s="1"/>
  <c r="Z92" i="6"/>
  <c r="AA92" i="6" s="1"/>
  <c r="AB92" i="6" s="1"/>
  <c r="BJ92" i="6" s="1"/>
  <c r="AK92" i="6"/>
  <c r="AL92" i="6" s="1"/>
  <c r="AM92" i="6" s="1"/>
  <c r="AK91" i="6"/>
  <c r="AL91" i="6" s="1"/>
  <c r="AM91" i="6" s="1"/>
  <c r="W91" i="6"/>
  <c r="X91" i="6" s="1"/>
  <c r="Y91" i="6" s="1"/>
  <c r="BK91" i="6" s="1"/>
  <c r="S91" i="6"/>
  <c r="Z91" i="6"/>
  <c r="AA91" i="6" s="1"/>
  <c r="AB91" i="6" s="1"/>
  <c r="BJ91" i="6" s="1"/>
  <c r="AC92" i="6"/>
  <c r="AD92" i="6" s="1"/>
  <c r="AE92" i="6" s="1"/>
  <c r="P92" i="6"/>
  <c r="Q92" i="6"/>
  <c r="R92" i="6" s="1"/>
  <c r="AG92" i="6" s="1"/>
  <c r="S92" i="6"/>
  <c r="AV92" i="6" s="1"/>
  <c r="BH92" i="6" s="1"/>
  <c r="W92" i="6"/>
  <c r="V89" i="6"/>
  <c r="J94" i="6"/>
  <c r="AH91" i="6" l="1"/>
  <c r="AH92" i="6"/>
  <c r="AU90" i="6"/>
  <c r="AZ90" i="6" s="1"/>
  <c r="BB90" i="6" s="1"/>
  <c r="BC90" i="6" s="1"/>
  <c r="AU89" i="6"/>
  <c r="BG89" i="6" s="1"/>
  <c r="BE89" i="6" s="1"/>
  <c r="BL88" i="6"/>
  <c r="AF91" i="6"/>
  <c r="BE88" i="6"/>
  <c r="U91" i="6"/>
  <c r="BD89" i="6"/>
  <c r="T91" i="6"/>
  <c r="AV91" i="6"/>
  <c r="BH91" i="6" s="1"/>
  <c r="AO92" i="6"/>
  <c r="AO91" i="6"/>
  <c r="L102" i="6"/>
  <c r="K102" i="6"/>
  <c r="AK93" i="6"/>
  <c r="AL93" i="6" s="1"/>
  <c r="AM93" i="6" s="1"/>
  <c r="AN91" i="6"/>
  <c r="AF92" i="6"/>
  <c r="AJ92" i="6" s="1"/>
  <c r="AN92" i="6"/>
  <c r="U92" i="6"/>
  <c r="Q93" i="6"/>
  <c r="R93" i="6" s="1"/>
  <c r="AG93" i="6" s="1"/>
  <c r="P93" i="6"/>
  <c r="S93" i="6"/>
  <c r="AV93" i="6" s="1"/>
  <c r="BH93" i="6" s="1"/>
  <c r="W93" i="6"/>
  <c r="X92" i="6"/>
  <c r="Y92" i="6" s="1"/>
  <c r="BK92" i="6" s="1"/>
  <c r="N94" i="6"/>
  <c r="AC93" i="6"/>
  <c r="AD93" i="6" s="1"/>
  <c r="AE93" i="6" s="1"/>
  <c r="J95" i="6"/>
  <c r="T92" i="6"/>
  <c r="Z93" i="6"/>
  <c r="AA93" i="6" s="1"/>
  <c r="AB93" i="6" s="1"/>
  <c r="BJ93" i="6" s="1"/>
  <c r="AJ91" i="6" l="1"/>
  <c r="AH93" i="6"/>
  <c r="AZ89" i="6"/>
  <c r="BB89" i="6" s="1"/>
  <c r="BC89" i="6" s="1"/>
  <c r="BL89" i="6"/>
  <c r="BG90" i="6"/>
  <c r="BF92" i="6"/>
  <c r="AP92" i="6"/>
  <c r="AU92" i="6" s="1"/>
  <c r="V91" i="6"/>
  <c r="BD91" i="6" s="1"/>
  <c r="BF91" i="6"/>
  <c r="AP91" i="6"/>
  <c r="AU91" i="6" s="1"/>
  <c r="AO93" i="6"/>
  <c r="AF93" i="6"/>
  <c r="AJ93" i="6" s="1"/>
  <c r="L103" i="6"/>
  <c r="K103" i="6"/>
  <c r="AN93" i="6"/>
  <c r="N95" i="6"/>
  <c r="T93" i="6"/>
  <c r="J96" i="6"/>
  <c r="U93" i="6"/>
  <c r="X93" i="6"/>
  <c r="Y93" i="6" s="1"/>
  <c r="BK93" i="6" s="1"/>
  <c r="O94" i="6"/>
  <c r="V92" i="6"/>
  <c r="BF93" i="6" l="1"/>
  <c r="BL90" i="6"/>
  <c r="BE90" i="6"/>
  <c r="BG91" i="6"/>
  <c r="BE91" i="6" s="1"/>
  <c r="BG92" i="6"/>
  <c r="BE92" i="6" s="1"/>
  <c r="AZ92" i="6"/>
  <c r="BB92" i="6" s="1"/>
  <c r="BC92" i="6" s="1"/>
  <c r="BD92" i="6"/>
  <c r="AP93" i="6"/>
  <c r="AU93" i="6" s="1"/>
  <c r="AZ91" i="6"/>
  <c r="BB91" i="6" s="1"/>
  <c r="BC91" i="6" s="1"/>
  <c r="AK94" i="6"/>
  <c r="AL94" i="6" s="1"/>
  <c r="AM94" i="6" s="1"/>
  <c r="L104" i="6"/>
  <c r="K104" i="6"/>
  <c r="V93" i="6"/>
  <c r="BD93" i="6" s="1"/>
  <c r="O95" i="6"/>
  <c r="AC94" i="6"/>
  <c r="AD94" i="6" s="1"/>
  <c r="AE94" i="6" s="1"/>
  <c r="AH94" i="6"/>
  <c r="N96" i="6"/>
  <c r="O96" i="6" s="1"/>
  <c r="Q94" i="6"/>
  <c r="R94" i="6" s="1"/>
  <c r="AG94" i="6" s="1"/>
  <c r="P94" i="6"/>
  <c r="S94" i="6"/>
  <c r="AV94" i="6" s="1"/>
  <c r="BH94" i="6" s="1"/>
  <c r="W94" i="6"/>
  <c r="Z94" i="6"/>
  <c r="AA94" i="6" s="1"/>
  <c r="AB94" i="6" s="1"/>
  <c r="BJ94" i="6" s="1"/>
  <c r="J97" i="6"/>
  <c r="BL92" i="6" l="1"/>
  <c r="AF94" i="6"/>
  <c r="BL91" i="6"/>
  <c r="BG93" i="6"/>
  <c r="BE93" i="6" s="1"/>
  <c r="AZ93" i="6"/>
  <c r="BB93" i="6" s="1"/>
  <c r="BC93" i="6" s="1"/>
  <c r="P95" i="6"/>
  <c r="AO94" i="6"/>
  <c r="L105" i="6"/>
  <c r="S95" i="6"/>
  <c r="K105" i="6"/>
  <c r="W95" i="6"/>
  <c r="X95" i="6" s="1"/>
  <c r="Y95" i="6" s="1"/>
  <c r="BK95" i="6" s="1"/>
  <c r="Q95" i="6"/>
  <c r="R95" i="6" s="1"/>
  <c r="AG95" i="6" s="1"/>
  <c r="AN94" i="6"/>
  <c r="AK96" i="6"/>
  <c r="AL96" i="6" s="1"/>
  <c r="AM96" i="6" s="1"/>
  <c r="AH95" i="6"/>
  <c r="Z95" i="6"/>
  <c r="AA95" i="6" s="1"/>
  <c r="AB95" i="6" s="1"/>
  <c r="BJ95" i="6" s="1"/>
  <c r="AK95" i="6"/>
  <c r="AL95" i="6" s="1"/>
  <c r="AM95" i="6" s="1"/>
  <c r="AC95" i="6"/>
  <c r="AD95" i="6" s="1"/>
  <c r="AE95" i="6" s="1"/>
  <c r="N97" i="6"/>
  <c r="O97" i="6" s="1"/>
  <c r="U94" i="6"/>
  <c r="S96" i="6"/>
  <c r="AV96" i="6" s="1"/>
  <c r="BH96" i="6" s="1"/>
  <c r="P96" i="6"/>
  <c r="Q96" i="6"/>
  <c r="R96" i="6" s="1"/>
  <c r="AG96" i="6" s="1"/>
  <c r="W96" i="6"/>
  <c r="X94" i="6"/>
  <c r="Y94" i="6" s="1"/>
  <c r="BK94" i="6" s="1"/>
  <c r="Z96" i="6"/>
  <c r="AA96" i="6" s="1"/>
  <c r="AB96" i="6" s="1"/>
  <c r="BJ96" i="6" s="1"/>
  <c r="J98" i="6"/>
  <c r="T94" i="6"/>
  <c r="AC96" i="6"/>
  <c r="AD96" i="6" s="1"/>
  <c r="AE96" i="6" s="1"/>
  <c r="AJ94" i="6" l="1"/>
  <c r="BF94" i="6" s="1"/>
  <c r="BL93" i="6"/>
  <c r="AP94" i="6"/>
  <c r="AU94" i="6" s="1"/>
  <c r="T95" i="6"/>
  <c r="AV95" i="6"/>
  <c r="BH95" i="6" s="1"/>
  <c r="AO96" i="6"/>
  <c r="AO95" i="6"/>
  <c r="L106" i="6"/>
  <c r="AF95" i="6"/>
  <c r="AN95" i="6"/>
  <c r="K106" i="6"/>
  <c r="U95" i="6"/>
  <c r="AH96" i="6"/>
  <c r="AN96" i="6"/>
  <c r="AK97" i="6"/>
  <c r="AL97" i="6" s="1"/>
  <c r="AM97" i="6" s="1"/>
  <c r="AH97" i="6"/>
  <c r="V94" i="6"/>
  <c r="AF96" i="6"/>
  <c r="N98" i="6"/>
  <c r="O98" i="6" s="1"/>
  <c r="T96" i="6"/>
  <c r="U96" i="6"/>
  <c r="P97" i="6"/>
  <c r="Q97" i="6"/>
  <c r="R97" i="6" s="1"/>
  <c r="AG97" i="6" s="1"/>
  <c r="S97" i="6"/>
  <c r="AV97" i="6" s="1"/>
  <c r="BH97" i="6" s="1"/>
  <c r="W97" i="6"/>
  <c r="X96" i="6"/>
  <c r="Y96" i="6" s="1"/>
  <c r="BK96" i="6" s="1"/>
  <c r="J99" i="6"/>
  <c r="Z97" i="6"/>
  <c r="AA97" i="6" s="1"/>
  <c r="AB97" i="6" s="1"/>
  <c r="BJ97" i="6" s="1"/>
  <c r="AC97" i="6"/>
  <c r="AD97" i="6" s="1"/>
  <c r="AE97" i="6" s="1"/>
  <c r="AJ95" i="6" l="1"/>
  <c r="BF95" i="6" s="1"/>
  <c r="AJ96" i="6"/>
  <c r="AP96" i="6"/>
  <c r="AU96" i="6" s="1"/>
  <c r="V95" i="6"/>
  <c r="BD95" i="6" s="1"/>
  <c r="BG94" i="6"/>
  <c r="BE94" i="6" s="1"/>
  <c r="AZ94" i="6"/>
  <c r="BB94" i="6" s="1"/>
  <c r="BC94" i="6" s="1"/>
  <c r="BD94" i="6"/>
  <c r="AP95" i="6"/>
  <c r="AU95" i="6" s="1"/>
  <c r="AO97" i="6"/>
  <c r="L107" i="6"/>
  <c r="K107" i="6"/>
  <c r="V96" i="6"/>
  <c r="BD96" i="6" s="1"/>
  <c r="AN97" i="6"/>
  <c r="AK98" i="6"/>
  <c r="AL98" i="6" s="1"/>
  <c r="AM98" i="6" s="1"/>
  <c r="AC98" i="6"/>
  <c r="AD98" i="6" s="1"/>
  <c r="AE98" i="6" s="1"/>
  <c r="AH98" i="6"/>
  <c r="AF97" i="6"/>
  <c r="Z98" i="6"/>
  <c r="AA98" i="6" s="1"/>
  <c r="AB98" i="6" s="1"/>
  <c r="BJ98" i="6" s="1"/>
  <c r="X97" i="6"/>
  <c r="Y97" i="6" s="1"/>
  <c r="BK97" i="6" s="1"/>
  <c r="J100" i="6"/>
  <c r="T97" i="6"/>
  <c r="Q98" i="6"/>
  <c r="R98" i="6" s="1"/>
  <c r="AG98" i="6" s="1"/>
  <c r="S98" i="6"/>
  <c r="AV98" i="6" s="1"/>
  <c r="BH98" i="6" s="1"/>
  <c r="P98" i="6"/>
  <c r="W98" i="6"/>
  <c r="U97" i="6"/>
  <c r="N99" i="6"/>
  <c r="AJ97" i="6" l="1"/>
  <c r="BF97" i="6" s="1"/>
  <c r="AP97" i="6"/>
  <c r="AU97" i="6" s="1"/>
  <c r="BL94" i="6"/>
  <c r="BF96" i="6"/>
  <c r="BG95" i="6"/>
  <c r="BL95" i="6" s="1"/>
  <c r="BG96" i="6"/>
  <c r="AZ96" i="6"/>
  <c r="BB96" i="6" s="1"/>
  <c r="BC96" i="6" s="1"/>
  <c r="AZ95" i="6"/>
  <c r="BB95" i="6" s="1"/>
  <c r="BC95" i="6" s="1"/>
  <c r="AO98" i="6"/>
  <c r="L108" i="6"/>
  <c r="K108" i="6"/>
  <c r="AN98" i="6"/>
  <c r="AF98" i="6"/>
  <c r="AJ98" i="6" s="1"/>
  <c r="O99" i="6"/>
  <c r="V97" i="6"/>
  <c r="BD97" i="6" s="1"/>
  <c r="X98" i="6"/>
  <c r="Y98" i="6" s="1"/>
  <c r="BK98" i="6" s="1"/>
  <c r="T98" i="6"/>
  <c r="U98" i="6"/>
  <c r="N100" i="6"/>
  <c r="J101" i="6"/>
  <c r="BF98" i="6" l="1"/>
  <c r="BL96" i="6"/>
  <c r="BE95" i="6"/>
  <c r="AP98" i="6"/>
  <c r="AU98" i="6" s="1"/>
  <c r="BG97" i="6"/>
  <c r="BE97" i="6" s="1"/>
  <c r="BE96" i="6"/>
  <c r="AZ97" i="6"/>
  <c r="BB97" i="6" s="1"/>
  <c r="BC97" i="6" s="1"/>
  <c r="AK99" i="6"/>
  <c r="AL99" i="6" s="1"/>
  <c r="AM99" i="6" s="1"/>
  <c r="L109" i="6"/>
  <c r="K109" i="6"/>
  <c r="Q99" i="6"/>
  <c r="R99" i="6" s="1"/>
  <c r="AG99" i="6" s="1"/>
  <c r="S99" i="6"/>
  <c r="W99" i="6"/>
  <c r="X99" i="6" s="1"/>
  <c r="Y99" i="6" s="1"/>
  <c r="BK99" i="6" s="1"/>
  <c r="Z99" i="6"/>
  <c r="AA99" i="6" s="1"/>
  <c r="AB99" i="6" s="1"/>
  <c r="BJ99" i="6" s="1"/>
  <c r="AC99" i="6"/>
  <c r="AD99" i="6" s="1"/>
  <c r="AE99" i="6" s="1"/>
  <c r="V98" i="6"/>
  <c r="P99" i="6"/>
  <c r="J102" i="6"/>
  <c r="N101" i="6"/>
  <c r="O101" i="6" s="1"/>
  <c r="O100" i="6"/>
  <c r="AH99" i="6" l="1"/>
  <c r="AF99" i="6"/>
  <c r="BL97" i="6"/>
  <c r="AZ98" i="6"/>
  <c r="BB98" i="6" s="1"/>
  <c r="BC98" i="6" s="1"/>
  <c r="BD98" i="6"/>
  <c r="BG98" i="6"/>
  <c r="BE98" i="6" s="1"/>
  <c r="AV99" i="6"/>
  <c r="BH99" i="6" s="1"/>
  <c r="AO99" i="6"/>
  <c r="U99" i="6"/>
  <c r="L110" i="6"/>
  <c r="T99" i="6"/>
  <c r="K110" i="6"/>
  <c r="AN99" i="6"/>
  <c r="N102" i="6"/>
  <c r="O102" i="6" s="1"/>
  <c r="AK100" i="6"/>
  <c r="AL100" i="6" s="1"/>
  <c r="AM100" i="6" s="1"/>
  <c r="AK101" i="6"/>
  <c r="AL101" i="6" s="1"/>
  <c r="AM101" i="6" s="1"/>
  <c r="S100" i="6"/>
  <c r="AV100" i="6" s="1"/>
  <c r="BH100" i="6" s="1"/>
  <c r="Q100" i="6"/>
  <c r="R100" i="6" s="1"/>
  <c r="AG100" i="6" s="1"/>
  <c r="P100" i="6"/>
  <c r="W100" i="6"/>
  <c r="AC100" i="6"/>
  <c r="AD100" i="6" s="1"/>
  <c r="AE100" i="6" s="1"/>
  <c r="P101" i="6"/>
  <c r="Q101" i="6"/>
  <c r="R101" i="6" s="1"/>
  <c r="AG101" i="6" s="1"/>
  <c r="S101" i="6"/>
  <c r="AV101" i="6" s="1"/>
  <c r="BH101" i="6" s="1"/>
  <c r="W101" i="6"/>
  <c r="Z100" i="6"/>
  <c r="AA100" i="6" s="1"/>
  <c r="AB100" i="6" s="1"/>
  <c r="BJ100" i="6" s="1"/>
  <c r="Z101" i="6"/>
  <c r="AA101" i="6" s="1"/>
  <c r="AB101" i="6" s="1"/>
  <c r="BJ101" i="6" s="1"/>
  <c r="AC101" i="6"/>
  <c r="AD101" i="6" s="1"/>
  <c r="AE101" i="6" s="1"/>
  <c r="J103" i="6"/>
  <c r="AH101" i="6" l="1"/>
  <c r="AH100" i="6"/>
  <c r="AJ99" i="6"/>
  <c r="BF99" i="6" s="1"/>
  <c r="AP99" i="6"/>
  <c r="AU99" i="6" s="1"/>
  <c r="BL98" i="6"/>
  <c r="AO101" i="6"/>
  <c r="AO100" i="6"/>
  <c r="V99" i="6"/>
  <c r="BD99" i="6" s="1"/>
  <c r="L112" i="6"/>
  <c r="L111" i="6"/>
  <c r="AF100" i="6"/>
  <c r="AF101" i="6"/>
  <c r="K112" i="6"/>
  <c r="K111" i="6"/>
  <c r="AN100" i="6"/>
  <c r="AK102" i="6"/>
  <c r="AL102" i="6" s="1"/>
  <c r="AM102" i="6" s="1"/>
  <c r="AN101" i="6"/>
  <c r="N103" i="6"/>
  <c r="U100" i="6"/>
  <c r="U101" i="6"/>
  <c r="S102" i="6"/>
  <c r="AV102" i="6" s="1"/>
  <c r="BH102" i="6" s="1"/>
  <c r="P102" i="6"/>
  <c r="Q102" i="6"/>
  <c r="R102" i="6" s="1"/>
  <c r="AG102" i="6" s="1"/>
  <c r="W102" i="6"/>
  <c r="X100" i="6"/>
  <c r="Y100" i="6" s="1"/>
  <c r="BK100" i="6" s="1"/>
  <c r="X101" i="6"/>
  <c r="Y101" i="6" s="1"/>
  <c r="BK101" i="6" s="1"/>
  <c r="J104" i="6"/>
  <c r="AC102" i="6"/>
  <c r="AD102" i="6" s="1"/>
  <c r="AE102" i="6" s="1"/>
  <c r="T101" i="6"/>
  <c r="Z102" i="6"/>
  <c r="AA102" i="6" s="1"/>
  <c r="AB102" i="6" s="1"/>
  <c r="BJ102" i="6" s="1"/>
  <c r="T100" i="6"/>
  <c r="AJ100" i="6" l="1"/>
  <c r="AH102" i="6"/>
  <c r="AJ101" i="6"/>
  <c r="BF101" i="6" s="1"/>
  <c r="AP101" i="6"/>
  <c r="AU101" i="6" s="1"/>
  <c r="AP100" i="6"/>
  <c r="AU100" i="6" s="1"/>
  <c r="BG99" i="6"/>
  <c r="BE99" i="6" s="1"/>
  <c r="AZ99" i="6"/>
  <c r="BB99" i="6" s="1"/>
  <c r="BC99" i="6" s="1"/>
  <c r="AO102" i="6"/>
  <c r="AN102" i="6"/>
  <c r="O103" i="6"/>
  <c r="V100" i="6"/>
  <c r="BD100" i="6" s="1"/>
  <c r="V101" i="6"/>
  <c r="BD101" i="6" s="1"/>
  <c r="AF102" i="6"/>
  <c r="X102" i="6"/>
  <c r="Y102" i="6" s="1"/>
  <c r="BK102" i="6" s="1"/>
  <c r="J105" i="6"/>
  <c r="T102" i="6"/>
  <c r="U102" i="6"/>
  <c r="N104" i="6"/>
  <c r="AJ102" i="6" l="1"/>
  <c r="BF102" i="6" s="1"/>
  <c r="BL99" i="6"/>
  <c r="BF100" i="6"/>
  <c r="BG100" i="6"/>
  <c r="BG101" i="6"/>
  <c r="BE101" i="6" s="1"/>
  <c r="AP102" i="6"/>
  <c r="AU102" i="6" s="1"/>
  <c r="AZ100" i="6"/>
  <c r="BB100" i="6" s="1"/>
  <c r="BC100" i="6" s="1"/>
  <c r="AZ101" i="6"/>
  <c r="BB101" i="6" s="1"/>
  <c r="BC101" i="6" s="1"/>
  <c r="W103" i="6"/>
  <c r="X103" i="6" s="1"/>
  <c r="Y103" i="6" s="1"/>
  <c r="BK103" i="6" s="1"/>
  <c r="AC103" i="6"/>
  <c r="AD103" i="6" s="1"/>
  <c r="AE103" i="6" s="1"/>
  <c r="P103" i="6"/>
  <c r="N105" i="6"/>
  <c r="O105" i="6" s="1"/>
  <c r="Z103" i="6"/>
  <c r="AA103" i="6" s="1"/>
  <c r="AB103" i="6" s="1"/>
  <c r="BJ103" i="6" s="1"/>
  <c r="S103" i="6"/>
  <c r="O104" i="6"/>
  <c r="Q103" i="6"/>
  <c r="R103" i="6" s="1"/>
  <c r="AG103" i="6" s="1"/>
  <c r="AK103" i="6"/>
  <c r="AL103" i="6" s="1"/>
  <c r="AM103" i="6" s="1"/>
  <c r="V102" i="6"/>
  <c r="BD102" i="6" s="1"/>
  <c r="J106" i="6"/>
  <c r="AH103" i="6" l="1"/>
  <c r="BL100" i="6"/>
  <c r="BL101" i="6"/>
  <c r="BE100" i="6"/>
  <c r="BG102" i="6"/>
  <c r="BE102" i="6" s="1"/>
  <c r="T103" i="6"/>
  <c r="AV103" i="6"/>
  <c r="BH103" i="6" s="1"/>
  <c r="AZ102" i="6"/>
  <c r="BB102" i="6" s="1"/>
  <c r="BC102" i="6" s="1"/>
  <c r="AK104" i="6"/>
  <c r="AL104" i="6" s="1"/>
  <c r="AM104" i="6" s="1"/>
  <c r="AO103" i="6"/>
  <c r="Z104" i="6"/>
  <c r="AA104" i="6" s="1"/>
  <c r="AB104" i="6" s="1"/>
  <c r="BJ104" i="6" s="1"/>
  <c r="AN103" i="6"/>
  <c r="P104" i="6"/>
  <c r="S104" i="6"/>
  <c r="U103" i="6"/>
  <c r="W104" i="6"/>
  <c r="X104" i="6" s="1"/>
  <c r="Y104" i="6" s="1"/>
  <c r="BK104" i="6" s="1"/>
  <c r="AC104" i="6"/>
  <c r="AD104" i="6" s="1"/>
  <c r="AE104" i="6" s="1"/>
  <c r="Q104" i="6"/>
  <c r="R104" i="6" s="1"/>
  <c r="AG104" i="6" s="1"/>
  <c r="AC105" i="6"/>
  <c r="AD105" i="6" s="1"/>
  <c r="AE105" i="6" s="1"/>
  <c r="AH104" i="6"/>
  <c r="AF103" i="6"/>
  <c r="AK105" i="6"/>
  <c r="AL105" i="6" s="1"/>
  <c r="AM105" i="6" s="1"/>
  <c r="Z105" i="6"/>
  <c r="AA105" i="6" s="1"/>
  <c r="AB105" i="6" s="1"/>
  <c r="BJ105" i="6" s="1"/>
  <c r="J107" i="6"/>
  <c r="N106" i="6"/>
  <c r="S105" i="6"/>
  <c r="AV105" i="6" s="1"/>
  <c r="BH105" i="6" s="1"/>
  <c r="P105" i="6"/>
  <c r="Q105" i="6"/>
  <c r="R105" i="6" s="1"/>
  <c r="AG105" i="6" s="1"/>
  <c r="W105" i="6"/>
  <c r="V103" i="6" l="1"/>
  <c r="BD103" i="6" s="1"/>
  <c r="AH105" i="6"/>
  <c r="AJ103" i="6"/>
  <c r="BF103" i="6" s="1"/>
  <c r="BL102" i="6"/>
  <c r="T104" i="6"/>
  <c r="AV104" i="6"/>
  <c r="BH104" i="6" s="1"/>
  <c r="AP103" i="6"/>
  <c r="AU103" i="6" s="1"/>
  <c r="AO104" i="6"/>
  <c r="AO105" i="6"/>
  <c r="AF104" i="6"/>
  <c r="AJ104" i="6" s="1"/>
  <c r="AN104" i="6"/>
  <c r="U104" i="6"/>
  <c r="AF105" i="6"/>
  <c r="AN105" i="6"/>
  <c r="U105" i="6"/>
  <c r="N107" i="6"/>
  <c r="O107" i="6" s="1"/>
  <c r="J108" i="6"/>
  <c r="X105" i="6"/>
  <c r="Y105" i="6" s="1"/>
  <c r="BK105" i="6" s="1"/>
  <c r="T105" i="6"/>
  <c r="O106" i="6"/>
  <c r="AJ105" i="6" l="1"/>
  <c r="BF105" i="6" s="1"/>
  <c r="V104" i="6"/>
  <c r="BD104" i="6" s="1"/>
  <c r="BG103" i="6"/>
  <c r="BL103" i="6" s="1"/>
  <c r="BF104" i="6"/>
  <c r="AZ103" i="6"/>
  <c r="BB103" i="6" s="1"/>
  <c r="BC103" i="6" s="1"/>
  <c r="AP105" i="6"/>
  <c r="AU105" i="6" s="1"/>
  <c r="AP104" i="6"/>
  <c r="AU104" i="6" s="1"/>
  <c r="AK106" i="6"/>
  <c r="AL106" i="6" s="1"/>
  <c r="AM106" i="6" s="1"/>
  <c r="V105" i="6"/>
  <c r="BD105" i="6" s="1"/>
  <c r="AK107" i="6"/>
  <c r="AL107" i="6" s="1"/>
  <c r="AM107" i="6" s="1"/>
  <c r="P107" i="6"/>
  <c r="Q107" i="6"/>
  <c r="R107" i="6" s="1"/>
  <c r="AG107" i="6" s="1"/>
  <c r="S107" i="6"/>
  <c r="AV107" i="6" s="1"/>
  <c r="BH107" i="6" s="1"/>
  <c r="W107" i="6"/>
  <c r="Z106" i="6"/>
  <c r="AA106" i="6" s="1"/>
  <c r="AB106" i="6" s="1"/>
  <c r="BJ106" i="6" s="1"/>
  <c r="AC106" i="6"/>
  <c r="AD106" i="6" s="1"/>
  <c r="AE106" i="6" s="1"/>
  <c r="J109" i="6"/>
  <c r="N108" i="6"/>
  <c r="Z107" i="6"/>
  <c r="AA107" i="6" s="1"/>
  <c r="AB107" i="6" s="1"/>
  <c r="BJ107" i="6" s="1"/>
  <c r="S106" i="6"/>
  <c r="AV106" i="6" s="1"/>
  <c r="BH106" i="6" s="1"/>
  <c r="Q106" i="6"/>
  <c r="R106" i="6" s="1"/>
  <c r="AG106" i="6" s="1"/>
  <c r="P106" i="6"/>
  <c r="W106" i="6"/>
  <c r="AC107" i="6"/>
  <c r="AD107" i="6" s="1"/>
  <c r="AE107" i="6" s="1"/>
  <c r="AH106" i="6" l="1"/>
  <c r="AH107" i="6"/>
  <c r="AO106" i="6"/>
  <c r="BE103" i="6"/>
  <c r="BG104" i="6"/>
  <c r="BE104" i="6" s="1"/>
  <c r="BG105" i="6"/>
  <c r="BE105" i="6" s="1"/>
  <c r="AZ105" i="6"/>
  <c r="BB105" i="6" s="1"/>
  <c r="BC105" i="6" s="1"/>
  <c r="AZ104" i="6"/>
  <c r="BB104" i="6" s="1"/>
  <c r="BC104" i="6" s="1"/>
  <c r="AO107" i="6"/>
  <c r="AN107" i="6"/>
  <c r="AN106" i="6"/>
  <c r="AF106" i="6"/>
  <c r="O108" i="6"/>
  <c r="AF107" i="6"/>
  <c r="U106" i="6"/>
  <c r="N109" i="6"/>
  <c r="T106" i="6"/>
  <c r="X107" i="6"/>
  <c r="Y107" i="6" s="1"/>
  <c r="BK107" i="6" s="1"/>
  <c r="J110" i="6"/>
  <c r="T107" i="6"/>
  <c r="X106" i="6"/>
  <c r="Y106" i="6" s="1"/>
  <c r="BK106" i="6" s="1"/>
  <c r="U107" i="6"/>
  <c r="AJ107" i="6" l="1"/>
  <c r="AP106" i="6"/>
  <c r="AU106" i="6" s="1"/>
  <c r="AJ106" i="6"/>
  <c r="BF106" i="6" s="1"/>
  <c r="BF107" i="6"/>
  <c r="AP107" i="6"/>
  <c r="BL105" i="6"/>
  <c r="BL104" i="6"/>
  <c r="AK108" i="6"/>
  <c r="AL108" i="6" s="1"/>
  <c r="AM108" i="6" s="1"/>
  <c r="AC108" i="6"/>
  <c r="AD108" i="6" s="1"/>
  <c r="AE108" i="6" s="1"/>
  <c r="S108" i="6"/>
  <c r="W108" i="6"/>
  <c r="X108" i="6" s="1"/>
  <c r="Y108" i="6" s="1"/>
  <c r="BK108" i="6" s="1"/>
  <c r="Q108" i="6"/>
  <c r="R108" i="6" s="1"/>
  <c r="AG108" i="6" s="1"/>
  <c r="P108" i="6"/>
  <c r="V106" i="6"/>
  <c r="BD106" i="6" s="1"/>
  <c r="AH108" i="6"/>
  <c r="O109" i="6"/>
  <c r="Z108" i="6"/>
  <c r="AA108" i="6" s="1"/>
  <c r="AB108" i="6" s="1"/>
  <c r="BJ108" i="6" s="1"/>
  <c r="V107" i="6"/>
  <c r="BD107" i="6" s="1"/>
  <c r="N110" i="6"/>
  <c r="O110" i="6" s="1"/>
  <c r="J111" i="6"/>
  <c r="AU107" i="6" l="1"/>
  <c r="BG107" i="6" s="1"/>
  <c r="BG106" i="6"/>
  <c r="BE106" i="6" s="1"/>
  <c r="T108" i="6"/>
  <c r="AV108" i="6"/>
  <c r="BH108" i="6" s="1"/>
  <c r="AZ106" i="6"/>
  <c r="BB106" i="6" s="1"/>
  <c r="BC106" i="6" s="1"/>
  <c r="U108" i="6"/>
  <c r="AO108" i="6"/>
  <c r="AN108" i="6"/>
  <c r="AF108" i="6"/>
  <c r="AC110" i="6"/>
  <c r="AD110" i="6" s="1"/>
  <c r="AE110" i="6" s="1"/>
  <c r="W109" i="6"/>
  <c r="X109" i="6" s="1"/>
  <c r="Y109" i="6" s="1"/>
  <c r="BK109" i="6" s="1"/>
  <c r="AK110" i="6"/>
  <c r="AL110" i="6" s="1"/>
  <c r="AM110" i="6" s="1"/>
  <c r="AK109" i="6"/>
  <c r="AL109" i="6" s="1"/>
  <c r="AM109" i="6" s="1"/>
  <c r="P109" i="6"/>
  <c r="Z109" i="6"/>
  <c r="AA109" i="6" s="1"/>
  <c r="AB109" i="6" s="1"/>
  <c r="BJ109" i="6" s="1"/>
  <c r="N111" i="6"/>
  <c r="O111" i="6" s="1"/>
  <c r="AC109" i="6"/>
  <c r="AD109" i="6" s="1"/>
  <c r="AE109" i="6" s="1"/>
  <c r="Q109" i="6"/>
  <c r="R109" i="6" s="1"/>
  <c r="AG109" i="6" s="1"/>
  <c r="S109" i="6"/>
  <c r="J112" i="6"/>
  <c r="Q110" i="6"/>
  <c r="R110" i="6" s="1"/>
  <c r="AG110" i="6" s="1"/>
  <c r="P110" i="6"/>
  <c r="S110" i="6"/>
  <c r="AV110" i="6" s="1"/>
  <c r="BH110" i="6" s="1"/>
  <c r="W110" i="6"/>
  <c r="Z110" i="6"/>
  <c r="AA110" i="6" s="1"/>
  <c r="AB110" i="6" s="1"/>
  <c r="BJ110" i="6" s="1"/>
  <c r="AH109" i="6" l="1"/>
  <c r="AH110" i="6"/>
  <c r="AZ107" i="6"/>
  <c r="BB107" i="6" s="1"/>
  <c r="BC107" i="6" s="1"/>
  <c r="BE107" i="6"/>
  <c r="BL107" i="6"/>
  <c r="AJ108" i="6"/>
  <c r="BF108" i="6" s="1"/>
  <c r="V108" i="6"/>
  <c r="BD108" i="6" s="1"/>
  <c r="BL106" i="6"/>
  <c r="AV109" i="6"/>
  <c r="BH109" i="6" s="1"/>
  <c r="AP108" i="6"/>
  <c r="AU108" i="6" s="1"/>
  <c r="AO109" i="6"/>
  <c r="AF110" i="6"/>
  <c r="AO110" i="6"/>
  <c r="U109" i="6"/>
  <c r="AC111" i="6"/>
  <c r="AD111" i="6" s="1"/>
  <c r="AE111" i="6" s="1"/>
  <c r="AH111" i="6"/>
  <c r="T109" i="6"/>
  <c r="AN110" i="6"/>
  <c r="AK111" i="6"/>
  <c r="AL111" i="6" s="1"/>
  <c r="AM111" i="6" s="1"/>
  <c r="N112" i="6"/>
  <c r="O112" i="6" s="1"/>
  <c r="AN109" i="6"/>
  <c r="AF109" i="6"/>
  <c r="U110" i="6"/>
  <c r="Z111" i="6"/>
  <c r="AA111" i="6" s="1"/>
  <c r="AB111" i="6" s="1"/>
  <c r="BJ111" i="6" s="1"/>
  <c r="X110" i="6"/>
  <c r="Y110" i="6" s="1"/>
  <c r="BK110" i="6" s="1"/>
  <c r="S111" i="6"/>
  <c r="AV111" i="6" s="1"/>
  <c r="BH111" i="6" s="1"/>
  <c r="P111" i="6"/>
  <c r="Q111" i="6"/>
  <c r="R111" i="6" s="1"/>
  <c r="AG111" i="6" s="1"/>
  <c r="W111" i="6"/>
  <c r="T110" i="6"/>
  <c r="AJ109" i="6" l="1"/>
  <c r="AJ110" i="6"/>
  <c r="BF110" i="6" s="1"/>
  <c r="BF109" i="6"/>
  <c r="BG108" i="6"/>
  <c r="BL108" i="6" s="1"/>
  <c r="AP109" i="6"/>
  <c r="AZ108" i="6"/>
  <c r="BB108" i="6" s="1"/>
  <c r="BC108" i="6" s="1"/>
  <c r="AP110" i="6"/>
  <c r="AU110" i="6" s="1"/>
  <c r="AO111" i="6"/>
  <c r="V109" i="6"/>
  <c r="BD109" i="6" s="1"/>
  <c r="AN111" i="6"/>
  <c r="AF111" i="6"/>
  <c r="AJ111" i="6" s="1"/>
  <c r="AK112" i="6"/>
  <c r="AL112" i="6" s="1"/>
  <c r="AM112" i="6" s="1"/>
  <c r="V110" i="6"/>
  <c r="BD110" i="6" s="1"/>
  <c r="AC112" i="6"/>
  <c r="AD112" i="6" s="1"/>
  <c r="AE112" i="6" s="1"/>
  <c r="U111" i="6"/>
  <c r="Z112" i="6"/>
  <c r="AA112" i="6" s="1"/>
  <c r="AB112" i="6" s="1"/>
  <c r="BJ112" i="6" s="1"/>
  <c r="X111" i="6"/>
  <c r="Y111" i="6" s="1"/>
  <c r="BK111" i="6" s="1"/>
  <c r="S112" i="6"/>
  <c r="AV112" i="6" s="1"/>
  <c r="BH112" i="6" s="1"/>
  <c r="P112" i="6"/>
  <c r="Q112" i="6"/>
  <c r="R112" i="6" s="1"/>
  <c r="AG112" i="6" s="1"/>
  <c r="W112" i="6"/>
  <c r="T111" i="6"/>
  <c r="AH112" i="6" l="1"/>
  <c r="AU109" i="6"/>
  <c r="BG109" i="6" s="1"/>
  <c r="BE108" i="6"/>
  <c r="BG110" i="6"/>
  <c r="AZ110" i="6"/>
  <c r="BB110" i="6" s="1"/>
  <c r="BC110" i="6" s="1"/>
  <c r="AP111" i="6"/>
  <c r="AU111" i="6" s="1"/>
  <c r="AO112" i="6"/>
  <c r="AN112" i="6"/>
  <c r="V111" i="6"/>
  <c r="AF112" i="6"/>
  <c r="U112" i="6"/>
  <c r="T112" i="6"/>
  <c r="X112" i="6"/>
  <c r="Y112" i="6" s="1"/>
  <c r="BK112" i="6" s="1"/>
  <c r="BE109" i="6" l="1"/>
  <c r="BL109" i="6"/>
  <c r="AJ112" i="6"/>
  <c r="BF112" i="6" s="1"/>
  <c r="AZ109" i="6"/>
  <c r="BB109" i="6" s="1"/>
  <c r="BC109" i="6" s="1"/>
  <c r="BL110" i="6"/>
  <c r="BE110" i="6"/>
  <c r="BG111" i="6"/>
  <c r="AZ111" i="6"/>
  <c r="BB111" i="6" s="1"/>
  <c r="BC111" i="6" s="1"/>
  <c r="BD111" i="6"/>
  <c r="BF111" i="6"/>
  <c r="AP112" i="6"/>
  <c r="AU112" i="6" s="1"/>
  <c r="V112" i="6"/>
  <c r="BE111" i="6" l="1"/>
  <c r="BL111" i="6"/>
  <c r="AZ112" i="6"/>
  <c r="BB112" i="6" s="1"/>
  <c r="D6" i="6" s="1"/>
  <c r="BD112" i="6"/>
  <c r="BG112" i="6"/>
  <c r="BE112" i="6" s="1"/>
  <c r="BC112" i="6" l="1"/>
  <c r="BL11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Timothy Hegarty</author>
    <author>Lee, Eric</author>
    <author>BDATSC</author>
    <author>Hegarty, Timothy</author>
  </authors>
  <commentList>
    <comment ref="A3" authorId="0" shapeId="0" xr:uid="{1CB513B5-1ABA-4879-BF60-02DEDEF940D2}">
      <text>
        <r>
          <rPr>
            <b/>
            <sz val="12"/>
            <color indexed="10"/>
            <rFont val="Arial"/>
            <family val="2"/>
          </rPr>
          <t>LM(2)5190(-Q1) 
Quickstart Design Tool</t>
        </r>
        <r>
          <rPr>
            <sz val="9"/>
            <color indexed="81"/>
            <rFont val="Arial"/>
            <family val="2"/>
          </rPr>
          <t xml:space="preserve">
This stand-alone tool facilitates and assists the power supply engineer with design of a DC/DC buck regulator based on the </t>
        </r>
        <r>
          <rPr>
            <b/>
            <sz val="9"/>
            <color indexed="81"/>
            <rFont val="Arial"/>
            <family val="2"/>
          </rPr>
          <t>LM(2)5190(-Q1) synchronous buck DC/DC converter</t>
        </r>
        <r>
          <rPr>
            <sz val="9"/>
            <color indexed="81"/>
            <rFont val="Arial"/>
            <family val="2"/>
          </rPr>
          <t xml:space="preserve">. As such, the user can expeditiously arrive at an optimized design by virtue of the following:
- Determine inductor and input / output capacitances for stable performance and low ripple
- Select components to set switching frequency, output voltage setpoint, and input volltage UVLO
- Optimize the design based on the MOSFET selections 
- Inspect converter efficiency and power dissipations vs. line and load
- Review auto-generated schematic and BOM list
</t>
        </r>
        <r>
          <rPr>
            <b/>
            <sz val="9"/>
            <color indexed="81"/>
            <rFont val="Arial"/>
            <family val="2"/>
          </rPr>
          <t>IMPORTANT:</t>
        </r>
        <r>
          <rPr>
            <sz val="9"/>
            <color indexed="81"/>
            <rFont val="Arial"/>
            <family val="2"/>
          </rPr>
          <t xml:space="preserve"> You must enable macros if Microsoft EXCEL asks as the file is being opened.
U.S. English notationsense resistance,  is used throughout.
</t>
        </r>
        <r>
          <rPr>
            <b/>
            <sz val="9"/>
            <color indexed="81"/>
            <rFont val="Arial"/>
            <family val="2"/>
          </rPr>
          <t xml:space="preserve">
Texas Instruments, Inc.</t>
        </r>
      </text>
    </comment>
    <comment ref="K3" authorId="0" shapeId="0" xr:uid="{84C06EB9-070E-48D4-99B7-603D1BEB4877}">
      <text>
        <r>
          <rPr>
            <b/>
            <u/>
            <sz val="11"/>
            <color indexed="10"/>
            <rFont val="Arial"/>
            <family val="2"/>
          </rPr>
          <t>Texas Instruments</t>
        </r>
        <r>
          <rPr>
            <sz val="11"/>
            <color indexed="10"/>
            <rFont val="Arial"/>
            <family val="2"/>
          </rPr>
          <t>:</t>
        </r>
        <r>
          <rPr>
            <sz val="9"/>
            <color indexed="81"/>
            <rFont val="Arial"/>
            <family val="2"/>
          </rPr>
          <t xml:space="preserve">
</t>
        </r>
        <r>
          <rPr>
            <b/>
            <sz val="9"/>
            <color indexed="81"/>
            <rFont val="Arial"/>
            <family val="2"/>
          </rPr>
          <t>Limited Use Policy</t>
        </r>
        <r>
          <rPr>
            <sz val="9"/>
            <color indexed="81"/>
            <rFont val="Arial"/>
            <family val="2"/>
          </rPr>
          <t xml:space="preserve">
You must treat this software and documentation like any other copyrighted material.
</t>
        </r>
        <r>
          <rPr>
            <b/>
            <sz val="9"/>
            <color indexed="81"/>
            <rFont val="Arial"/>
            <family val="2"/>
          </rPr>
          <t>You may not:</t>
        </r>
        <r>
          <rPr>
            <sz val="9"/>
            <color indexed="81"/>
            <rFont val="Arial"/>
            <family val="2"/>
          </rPr>
          <t xml:space="preserve">
- Copy documentation of the software
- Copy this software except to make archival or backup copies
- Reverse engineer, disassemble, decompile or make any attempt to discover the source code of the Software 
- Place the software onto a server so that it is accessible via a public network such as the internet 
- Sublicense, rent, lease or lend any portion of the software or documentation.
Texas Instruments is not responsible for the validity of any design created with this software and urges all designs to be fully tested and carefully verified. Refer to the product datasheets and EVM user's guide for more detail.
</t>
        </r>
        <r>
          <rPr>
            <b/>
            <sz val="9"/>
            <color indexed="81"/>
            <rFont val="Arial"/>
            <family val="2"/>
          </rPr>
          <t>Texas Instruments, Inc.</t>
        </r>
      </text>
    </comment>
    <comment ref="H7" authorId="1" shapeId="0" xr:uid="{1BD5DC9C-BD11-4DC4-AC2B-755598FBF01F}">
      <text>
        <r>
          <rPr>
            <b/>
            <u/>
            <sz val="9"/>
            <color indexed="81"/>
            <rFont val="Arial"/>
            <family val="2"/>
          </rPr>
          <t>Minimum Input Voltage</t>
        </r>
        <r>
          <rPr>
            <b/>
            <sz val="9"/>
            <color indexed="81"/>
            <rFont val="Arial"/>
            <family val="2"/>
          </rPr>
          <t xml:space="preserve">
</t>
        </r>
        <r>
          <rPr>
            <sz val="9"/>
            <color indexed="81"/>
            <rFont val="Arial"/>
            <family val="2"/>
          </rPr>
          <t xml:space="preserve">The input voltage operating range is from 5 V to 80 V if LM5190 /  5 V to 42 V if LM25190. The minimum input supply voltage should be greater than the plateau voltage of the MOSFET.  If BIAS is externally supplied the minimum input supply voltage should be always greater than the BIAS voltage. </t>
        </r>
      </text>
    </comment>
    <comment ref="H8" authorId="1" shapeId="0" xr:uid="{C9B1A3FF-9958-4DE0-B39C-7A4DAFAC5577}">
      <text>
        <r>
          <rPr>
            <b/>
            <u/>
            <sz val="9"/>
            <color indexed="81"/>
            <rFont val="Arial"/>
            <family val="2"/>
          </rPr>
          <t>Typical Input Voltage</t>
        </r>
        <r>
          <rPr>
            <b/>
            <sz val="9"/>
            <color indexed="81"/>
            <rFont val="Arial"/>
            <family val="2"/>
          </rPr>
          <t xml:space="preserve">
</t>
        </r>
        <r>
          <rPr>
            <sz val="9"/>
            <color indexed="81"/>
            <rFont val="Arial"/>
            <family val="2"/>
          </rPr>
          <t xml:space="preserve">The input voltage operating range is from 5 V to 80 V if LM5190 /  5 V to 42 V if LM25190.  Enter the typical operating input  supply voltage.The typical input voltage should be greater than the minimum input supply voltage and less than the maximum input supply voltage. Loop responses and Efficiency are estimated at the typical input voltage. </t>
        </r>
      </text>
    </comment>
    <comment ref="H9" authorId="1" shapeId="0" xr:uid="{363EB7E5-5AAF-4EDA-8D48-8B9A5F21F1C0}">
      <text>
        <r>
          <rPr>
            <b/>
            <u/>
            <sz val="9"/>
            <color indexed="81"/>
            <rFont val="Arial"/>
            <family val="2"/>
          </rPr>
          <t>Maximum Input Voltage</t>
        </r>
        <r>
          <rPr>
            <b/>
            <sz val="9"/>
            <color indexed="81"/>
            <rFont val="Arial"/>
            <family val="2"/>
          </rPr>
          <t xml:space="preserve">
</t>
        </r>
        <r>
          <rPr>
            <sz val="9"/>
            <color indexed="81"/>
            <rFont val="Arial"/>
            <family val="2"/>
          </rPr>
          <t xml:space="preserve">The input voltage operating range is from 5 V to 80 V if LM5190 /  5 V to 42 V if LM25190. Enter the maxumum operating input supply voltage.The maximum input voltage should be greater than the typical input voltage. The SW pin voltage should be less than its Abs Max when switching at the maximum input supply voltage. </t>
        </r>
      </text>
    </comment>
    <comment ref="H10" authorId="1" shapeId="0" xr:uid="{18FB2668-3EC2-4C3D-890A-80B63423B913}">
      <text>
        <r>
          <rPr>
            <b/>
            <u/>
            <sz val="9"/>
            <color indexed="81"/>
            <rFont val="Arial"/>
            <family val="2"/>
          </rPr>
          <t>Target Output Voltage</t>
        </r>
        <r>
          <rPr>
            <b/>
            <sz val="9"/>
            <color indexed="81"/>
            <rFont val="Arial"/>
            <family val="2"/>
          </rPr>
          <t xml:space="preserve">
</t>
        </r>
        <r>
          <rPr>
            <sz val="9"/>
            <color indexed="81"/>
            <rFont val="Arial"/>
            <family val="2"/>
          </rPr>
          <t xml:space="preserve">The output operating range is from 0.8V to 80 V if LM5190 /  0.8 V to 42 V if LM25190. The device also provides fixed output of 5V or 12V using internal feedback. Practical maximum output voltage is limited by the maximum duty cycle limit of the converter, especially at the minimum input supply  voltage. Dummy load is required when the output regulation target is 0.8V. Please refer the datasheet for more details. </t>
        </r>
      </text>
    </comment>
    <comment ref="H11" authorId="1" shapeId="0" xr:uid="{65D7B9F9-2EA1-40A9-BD82-B844ACF3D6FB}">
      <text>
        <r>
          <rPr>
            <b/>
            <u/>
            <sz val="9"/>
            <color indexed="81"/>
            <rFont val="Arial"/>
            <family val="2"/>
          </rPr>
          <t>Target Average Inductor Current in CC mode</t>
        </r>
        <r>
          <rPr>
            <b/>
            <sz val="9"/>
            <color indexed="81"/>
            <rFont val="Arial"/>
            <family val="2"/>
          </rPr>
          <t xml:space="preserve">
</t>
        </r>
        <r>
          <rPr>
            <sz val="9"/>
            <color indexed="81"/>
            <rFont val="Arial"/>
            <family val="2"/>
          </rPr>
          <t>The maximum controllable average inductor current is not limited by the IC, but limited by the noise-to-signal ratio of your current sensing and the temperature limits of the external componenets. Practically, it is hard to have a good current control if the current sense resistor value is less than about 2mΩ.
Input the maximum load current if CC mode is not used</t>
        </r>
      </text>
    </comment>
    <comment ref="H12" authorId="1" shapeId="0" xr:uid="{01C48FA8-218B-40AD-8918-482919AFC91C}">
      <text>
        <r>
          <rPr>
            <b/>
            <u/>
            <sz val="9"/>
            <color indexed="81"/>
            <rFont val="Arial"/>
            <family val="2"/>
          </rPr>
          <t>Switching Frequency</t>
        </r>
        <r>
          <rPr>
            <b/>
            <sz val="9"/>
            <color indexed="81"/>
            <rFont val="Arial"/>
            <family val="2"/>
          </rPr>
          <t xml:space="preserve">
</t>
        </r>
        <r>
          <rPr>
            <sz val="9"/>
            <color indexed="81"/>
            <rFont val="Arial"/>
            <family val="2"/>
          </rPr>
          <t>The oscillator frequency is user-programmable between 100
kHz to 2.2 MHz, and the frequency can be synchronized as high as 2.5 MHz by applying an external clock to the
FPWM/SYNC pin</t>
        </r>
      </text>
    </comment>
    <comment ref="H13" authorId="1" shapeId="0" xr:uid="{762BB2B0-5F31-4822-8DF6-3DB5532CD052}">
      <text>
        <r>
          <rPr>
            <b/>
            <u/>
            <sz val="9"/>
            <color indexed="81"/>
            <rFont val="Arial"/>
            <family val="2"/>
          </rPr>
          <t>Light Load Switching Mode</t>
        </r>
        <r>
          <rPr>
            <b/>
            <sz val="9"/>
            <color indexed="81"/>
            <rFont val="Arial"/>
            <family val="2"/>
          </rPr>
          <t xml:space="preserve">
</t>
        </r>
        <r>
          <rPr>
            <sz val="9"/>
            <color indexed="81"/>
            <rFont val="Arial"/>
            <family val="2"/>
          </rPr>
          <t>Connect FPWM/SYNC to VCC to enable forced PWM (FPWM) mode with continuous conduction at light loads. Connect FPWM/SYNC to AGND to operate the device in diode emulation mode / PFM. The device skips pulses in this PFM mode if the required on-time is less than the minimum on-time of the device. FPWM/SYNC can also be used as a synchronization input to synchronize the internal oscillator to an external clock signal. Clock synchronization is not allowed if DRSS is enabled</t>
        </r>
      </text>
    </comment>
    <comment ref="H14" authorId="1" shapeId="0" xr:uid="{6A30630D-C3C1-4303-B6E2-3B545CDB630B}">
      <text>
        <r>
          <rPr>
            <b/>
            <u/>
            <sz val="9"/>
            <color indexed="81"/>
            <rFont val="Arial"/>
            <family val="2"/>
          </rPr>
          <t>LM5190 VS LM25190</t>
        </r>
        <r>
          <rPr>
            <b/>
            <sz val="9"/>
            <color indexed="81"/>
            <rFont val="Arial"/>
            <family val="2"/>
          </rPr>
          <t xml:space="preserve">
</t>
        </r>
        <r>
          <rPr>
            <sz val="9"/>
            <color indexed="81"/>
            <rFont val="Arial"/>
            <family val="2"/>
          </rPr>
          <t xml:space="preserve">The input voltage operating range is from 5 V to 80 V if LM5190.
The input voltage operating range is from 5 V to 42 V if LM25190. </t>
        </r>
      </text>
    </comment>
    <comment ref="H15" authorId="1" shapeId="0" xr:uid="{AD255626-2D78-4CC1-8EAC-67656FBC5DE3}">
      <text>
        <r>
          <rPr>
            <b/>
            <u/>
            <sz val="9"/>
            <color indexed="81"/>
            <rFont val="Arial"/>
            <family val="2"/>
          </rPr>
          <t xml:space="preserve">Frequency Set Resistor </t>
        </r>
        <r>
          <rPr>
            <b/>
            <sz val="9"/>
            <color indexed="81"/>
            <rFont val="Arial"/>
            <family val="2"/>
          </rPr>
          <t xml:space="preserve">
</t>
        </r>
        <r>
          <rPr>
            <sz val="9"/>
            <color indexed="81"/>
            <rFont val="Arial"/>
            <family val="2"/>
          </rPr>
          <t>Use the resistor with 1% or better tolerance. 
To enable DRSS, connect the RT resistor between RT and VCC during initial power-on.
To disable DRSS, connect the RT resistor between RT and AGND during initial power-on.
Clock synchronization is not allowed if DRSS is enabled</t>
        </r>
      </text>
    </comment>
    <comment ref="H19" authorId="1" shapeId="0" xr:uid="{B0D5EEED-DB01-4F8B-AD7D-E83015873A3B}">
      <text>
        <r>
          <rPr>
            <b/>
            <u/>
            <sz val="9"/>
            <color indexed="81"/>
            <rFont val="Arial"/>
            <family val="2"/>
          </rPr>
          <t xml:space="preserve">Peak Inductot Current Limit Setpoint:
</t>
        </r>
        <r>
          <rPr>
            <sz val="9"/>
            <color indexed="81"/>
            <rFont val="Arial"/>
            <family val="2"/>
          </rPr>
          <t>The text in the cell is flagged ORLANGE if the margin at VSUPPLY(MAX) is less than 15%. 
The text in the cell is flagged RED if no margin at VSUPPLY(MAX)</t>
        </r>
      </text>
    </comment>
    <comment ref="H20" authorId="1" shapeId="0" xr:uid="{27641AFD-53D3-41CE-A281-940865CAA1CA}">
      <text>
        <r>
          <rPr>
            <b/>
            <u/>
            <sz val="9"/>
            <color indexed="81"/>
            <rFont val="Arial"/>
            <family val="2"/>
          </rPr>
          <t>Maximum Sense Resistor Value</t>
        </r>
        <r>
          <rPr>
            <b/>
            <sz val="9"/>
            <color indexed="81"/>
            <rFont val="Arial"/>
            <family val="2"/>
          </rPr>
          <t xml:space="preserve">
</t>
        </r>
        <r>
          <rPr>
            <sz val="9"/>
            <color indexed="81"/>
            <rFont val="Arial"/>
            <family val="2"/>
          </rPr>
          <t xml:space="preserve">Sense resitor value should be less than or equal to this value. </t>
        </r>
      </text>
    </comment>
    <comment ref="H21" authorId="1" shapeId="0" xr:uid="{FDB31C1F-C992-4BF1-8E8B-BDF13BF328D8}">
      <text>
        <r>
          <rPr>
            <b/>
            <u/>
            <sz val="9"/>
            <color indexed="81"/>
            <rFont val="Arial"/>
            <family val="2"/>
          </rPr>
          <t>Sense Resistor Value</t>
        </r>
        <r>
          <rPr>
            <b/>
            <sz val="9"/>
            <color indexed="81"/>
            <rFont val="Arial"/>
            <family val="2"/>
          </rPr>
          <t xml:space="preserve">
</t>
        </r>
        <r>
          <rPr>
            <sz val="9"/>
            <color indexed="81"/>
            <rFont val="Arial"/>
            <family val="2"/>
          </rPr>
          <t>Use the resistor with 1% or better tolerance. Use low ESL resistor. Practically, it is hard to have a good current control if the current sense resistor value is less than about 2mΩ.</t>
        </r>
      </text>
    </comment>
    <comment ref="H22" authorId="1" shapeId="0" xr:uid="{432CB175-8435-420A-977F-EEEA6366CCE9}">
      <text>
        <r>
          <rPr>
            <b/>
            <u/>
            <sz val="9"/>
            <color indexed="81"/>
            <rFont val="Arial"/>
            <family val="2"/>
          </rPr>
          <t>Sense Resitor Power Loss at Current Limit</t>
        </r>
        <r>
          <rPr>
            <b/>
            <sz val="9"/>
            <color indexed="81"/>
            <rFont val="Arial"/>
            <family val="2"/>
          </rPr>
          <t xml:space="preserve">
</t>
        </r>
        <r>
          <rPr>
            <sz val="9"/>
            <color indexed="81"/>
            <rFont val="Arial"/>
            <family val="2"/>
          </rPr>
          <t>Select the sense resistor which can handle the power loss greater than this value.</t>
        </r>
      </text>
    </comment>
    <comment ref="H26" authorId="1" shapeId="0" xr:uid="{25FD0CDC-10E2-4ACC-84AC-5E04B14FA218}">
      <text>
        <r>
          <rPr>
            <b/>
            <u/>
            <sz val="9"/>
            <color indexed="81"/>
            <rFont val="Arial"/>
            <family val="2"/>
          </rPr>
          <t xml:space="preserve">Recommended Inductance Value
</t>
        </r>
        <r>
          <rPr>
            <sz val="9"/>
            <color indexed="81"/>
            <rFont val="Arial"/>
            <family val="2"/>
          </rPr>
          <t xml:space="preserve">The higher inductance decreases the output voltage ripple and reduces the core loss.
The lower inductance reduces the copper loss of the inductor and the required output capacitance. 
</t>
        </r>
      </text>
    </comment>
    <comment ref="H27" authorId="1" shapeId="0" xr:uid="{BBF648EB-8E5D-47A8-9EAF-17121B981578}">
      <text>
        <r>
          <rPr>
            <b/>
            <u/>
            <sz val="9"/>
            <color indexed="81"/>
            <rFont val="Arial"/>
            <family val="2"/>
          </rPr>
          <t xml:space="preserve">Minimum Inductance
</t>
        </r>
        <r>
          <rPr>
            <sz val="9"/>
            <color indexed="81"/>
            <rFont val="Arial"/>
            <family val="2"/>
          </rPr>
          <t xml:space="preserve">If the inductance is too small, a sub-harmonic oscillation can happen when the duty cycle is greater than ~ 50% .Please consider +/- 15 - 20% inductance tolerance.  </t>
        </r>
      </text>
    </comment>
    <comment ref="H28" authorId="1" shapeId="0" xr:uid="{F1C8EF98-0ACF-4810-A62B-3DE3C32A55D6}">
      <text>
        <r>
          <rPr>
            <b/>
            <u/>
            <sz val="9"/>
            <color indexed="81"/>
            <rFont val="Arial"/>
            <family val="2"/>
          </rPr>
          <t xml:space="preserve">Buck Inductance
</t>
        </r>
        <r>
          <rPr>
            <sz val="9"/>
            <color indexed="81"/>
            <rFont val="Arial"/>
            <family val="2"/>
          </rPr>
          <t xml:space="preserve">Enter the selected buck inductance. </t>
        </r>
      </text>
    </comment>
    <comment ref="H29" authorId="1" shapeId="0" xr:uid="{4B12FA59-7BF3-4412-AFDA-D42E8BB03DDA}">
      <text>
        <r>
          <rPr>
            <b/>
            <u/>
            <sz val="9"/>
            <color indexed="81"/>
            <rFont val="Arial"/>
            <family val="2"/>
          </rPr>
          <t xml:space="preserve">Minimum Inductor Saturation Current (Soft-saturation)
</t>
        </r>
        <r>
          <rPr>
            <sz val="9"/>
            <color indexed="81"/>
            <rFont val="Arial"/>
            <family val="2"/>
          </rPr>
          <t xml:space="preserve">If a soft-saturation core, the saturation current level should be greater than this value.  </t>
        </r>
      </text>
    </comment>
    <comment ref="H30" authorId="1" shapeId="0" xr:uid="{9C4B28CF-0C37-4EAF-A6B6-75F8ECC03F43}">
      <text>
        <r>
          <rPr>
            <b/>
            <u/>
            <sz val="9"/>
            <color indexed="81"/>
            <rFont val="Arial"/>
            <family val="2"/>
          </rPr>
          <t xml:space="preserve">Minimum Inductor Saturation Current (Hard-saturation)
</t>
        </r>
        <r>
          <rPr>
            <sz val="9"/>
            <color indexed="81"/>
            <rFont val="Arial"/>
            <family val="2"/>
          </rPr>
          <t>If a hard-saturation core, it is recommended to set the inductor saturation current level greater than this value.  The practical peak inductor current (during current limiting) might be greater than this value due to the propagation delay inside the IC and the MOSFET turn-off delay. Typical delay time is around 100ns</t>
        </r>
      </text>
    </comment>
    <comment ref="H31" authorId="1" shapeId="0" xr:uid="{E4CE0BC4-4E85-4A63-872F-DE0054ADE134}">
      <text>
        <r>
          <rPr>
            <b/>
            <u/>
            <sz val="9"/>
            <color indexed="81"/>
            <rFont val="Arial"/>
            <family val="2"/>
          </rPr>
          <t xml:space="preserve">Switching Skip at high VIN
</t>
        </r>
        <r>
          <rPr>
            <sz val="9"/>
            <color indexed="81"/>
            <rFont val="Arial"/>
            <family val="2"/>
          </rPr>
          <t xml:space="preserve">The device skips pulses if the required on-time is less than the minimum on-time of the device.    </t>
        </r>
      </text>
    </comment>
    <comment ref="H32" authorId="1" shapeId="0" xr:uid="{2CE4AD9F-6E71-4356-BF0C-DA4006382F8A}">
      <text>
        <r>
          <rPr>
            <b/>
            <u/>
            <sz val="9"/>
            <color indexed="81"/>
            <rFont val="Arial"/>
            <family val="2"/>
          </rPr>
          <t xml:space="preserve">Dropout Mode
</t>
        </r>
        <r>
          <rPr>
            <u/>
            <sz val="9"/>
            <color indexed="81"/>
            <rFont val="Arial"/>
            <family val="2"/>
          </rPr>
          <t>A</t>
        </r>
        <r>
          <rPr>
            <sz val="9"/>
            <color indexed="81"/>
            <rFont val="Arial"/>
            <family val="2"/>
          </rPr>
          <t>t low input supply voltage, the device extends on-time and skips forced off-time (up to 15 cycles) when the required off-time is less than the minimum off-time of the device.</t>
        </r>
      </text>
    </comment>
    <comment ref="H36" authorId="1" shapeId="0" xr:uid="{60CF62D6-440D-4096-8DFC-904CA3DF8694}">
      <text>
        <r>
          <rPr>
            <b/>
            <u/>
            <sz val="9"/>
            <color indexed="81"/>
            <rFont val="Arial"/>
            <family val="2"/>
          </rPr>
          <t xml:space="preserve">VCC Capacitor
</t>
        </r>
        <r>
          <rPr>
            <sz val="9"/>
            <color indexed="81"/>
            <rFont val="Arial"/>
            <family val="2"/>
          </rPr>
          <t>Select the capacitance close to this value. Default value is 2.2uF. The text in the cell is flagged ORANGE if greater than the typical value 2.2uF.</t>
        </r>
      </text>
    </comment>
    <comment ref="H37" authorId="1" shapeId="0" xr:uid="{258AE06D-FF84-463D-8B3B-2B008327A5A2}">
      <text>
        <r>
          <rPr>
            <b/>
            <u/>
            <sz val="9"/>
            <color indexed="81"/>
            <rFont val="Arial"/>
            <family val="2"/>
          </rPr>
          <t>Boot Capacitor</t>
        </r>
        <r>
          <rPr>
            <b/>
            <sz val="9"/>
            <color indexed="81"/>
            <rFont val="Arial"/>
            <family val="2"/>
          </rPr>
          <t xml:space="preserve">
</t>
        </r>
        <r>
          <rPr>
            <sz val="9"/>
            <color indexed="81"/>
            <rFont val="Arial"/>
            <family val="2"/>
          </rPr>
          <t>Select the capacitance close to this value. Default value is 100nF. The text in the cell is flagged ORANGE if greater than 100nF</t>
        </r>
      </text>
    </comment>
    <comment ref="H38" authorId="1" shapeId="0" xr:uid="{99A3E64C-75FA-4D47-B964-364A05205389}">
      <text>
        <r>
          <rPr>
            <b/>
            <u/>
            <sz val="9"/>
            <color indexed="81"/>
            <rFont val="Arial"/>
            <family val="2"/>
          </rPr>
          <t xml:space="preserve">VIN pin capacitor </t>
        </r>
        <r>
          <rPr>
            <b/>
            <sz val="9"/>
            <color indexed="81"/>
            <rFont val="Arial"/>
            <family val="2"/>
          </rPr>
          <t xml:space="preserve">
</t>
        </r>
        <r>
          <rPr>
            <sz val="9"/>
            <color indexed="81"/>
            <rFont val="Arial"/>
            <family val="2"/>
          </rPr>
          <t>Use 220nF as a default</t>
        </r>
      </text>
    </comment>
    <comment ref="H39" authorId="1" shapeId="0" xr:uid="{DC2C8CD0-877B-49E3-82DD-BEE12CA68CCE}">
      <text>
        <r>
          <rPr>
            <b/>
            <u/>
            <sz val="9"/>
            <color indexed="81"/>
            <rFont val="Arial"/>
            <family val="2"/>
          </rPr>
          <t xml:space="preserve">PGOOD Pull-up Resistor 
</t>
        </r>
        <r>
          <rPr>
            <sz val="9"/>
            <color indexed="81"/>
            <rFont val="Arial"/>
            <family val="2"/>
          </rPr>
          <t>Connect the pull-up resistor to the VCC pin or the VDD power suppply of MCU.</t>
        </r>
      </text>
    </comment>
    <comment ref="H40" authorId="1" shapeId="0" xr:uid="{597B59AB-7D90-4673-82DC-F0B13DE908B6}">
      <text>
        <r>
          <rPr>
            <b/>
            <u/>
            <sz val="9"/>
            <color indexed="81"/>
            <rFont val="Arial"/>
            <family val="2"/>
          </rPr>
          <t>Internal Soft-start</t>
        </r>
        <r>
          <rPr>
            <b/>
            <sz val="9"/>
            <color indexed="81"/>
            <rFont val="Arial"/>
            <family val="2"/>
          </rPr>
          <t xml:space="preserve">
</t>
        </r>
        <r>
          <rPr>
            <sz val="9"/>
            <color indexed="81"/>
            <rFont val="Arial"/>
            <family val="2"/>
          </rPr>
          <t>The device provides an internal 2.75-ms (typ) soft-start timer. The soft-start feature allows the regulator to gradually reach the steady-state operating point.</t>
        </r>
      </text>
    </comment>
    <comment ref="H44" authorId="1" shapeId="0" xr:uid="{FCBD6FE7-23B0-4316-BFF6-1812A6F0D023}">
      <text>
        <r>
          <rPr>
            <b/>
            <u/>
            <sz val="9"/>
            <color indexed="81"/>
            <rFont val="Arial"/>
            <family val="2"/>
          </rPr>
          <t xml:space="preserve">Start-up Voltage </t>
        </r>
        <r>
          <rPr>
            <sz val="9"/>
            <color indexed="81"/>
            <rFont val="Arial"/>
            <family val="2"/>
          </rPr>
          <t xml:space="preserve">
During power-on, the device starts up when the input power supply voltage is greater than the desired start-up threshold.  The start-up voltage should be less than, but close to the minimum input supply voltage and should be greater than the plateau voltage of the MOSFET +1V.   If BIAS is externally supplied the minimum input voltage should be greater than the VCC voltage in order to prevent a reverse current flow. </t>
        </r>
      </text>
    </comment>
    <comment ref="H45" authorId="1" shapeId="0" xr:uid="{082C22F2-76FB-4318-A56D-BA3264C9EE66}">
      <text>
        <r>
          <rPr>
            <b/>
            <u/>
            <sz val="9"/>
            <color indexed="81"/>
            <rFont val="Arial"/>
            <family val="2"/>
          </rPr>
          <t xml:space="preserve">Upper UVLO Resistor
</t>
        </r>
        <r>
          <rPr>
            <sz val="9"/>
            <color indexed="81"/>
            <rFont val="Arial"/>
            <family val="2"/>
          </rPr>
          <t xml:space="preserve">Use resistors with a tolerance of 1% or less. </t>
        </r>
      </text>
    </comment>
    <comment ref="H46" authorId="1" shapeId="0" xr:uid="{61CFB8AD-420A-4C7E-AD33-4A9B9FEEA3D7}">
      <text>
        <r>
          <rPr>
            <b/>
            <u/>
            <sz val="9"/>
            <color indexed="81"/>
            <rFont val="Arial"/>
            <family val="2"/>
          </rPr>
          <t xml:space="preserve">Lower UVLO Resistor
</t>
        </r>
        <r>
          <rPr>
            <sz val="9"/>
            <color indexed="81"/>
            <rFont val="Arial"/>
            <family val="2"/>
          </rPr>
          <t xml:space="preserve">Use resistors with a tolerance of 1% or less. </t>
        </r>
      </text>
    </comment>
    <comment ref="H47" authorId="1" shapeId="0" xr:uid="{4F889752-A238-47DA-B2C3-3F20A056A36A}">
      <text>
        <r>
          <rPr>
            <b/>
            <u/>
            <sz val="9"/>
            <color indexed="81"/>
            <rFont val="Arial"/>
            <family val="2"/>
          </rPr>
          <t xml:space="preserve">Shutdown Voltage </t>
        </r>
        <r>
          <rPr>
            <sz val="9"/>
            <color indexed="81"/>
            <rFont val="Arial"/>
            <family val="2"/>
          </rPr>
          <t xml:space="preserve">
During power-off, the device shuts down when the input  power supply voltage is less than the shutdown voltage  The shutdown voltage should be greater than the plateau voltage of the MOSFET +1V.   If BIAS is externally supplied the minimum input voltage should be greater than the VCC voltage in order to prevent a reverse current flow. </t>
        </r>
      </text>
    </comment>
    <comment ref="H51" authorId="1" shapeId="0" xr:uid="{0EFFC89D-B7CE-460D-BEF2-20BF16187727}">
      <text>
        <r>
          <rPr>
            <b/>
            <u/>
            <sz val="9"/>
            <color indexed="81"/>
            <rFont val="Arial"/>
            <family val="2"/>
          </rPr>
          <t>Desired Undershoot during 50% Load Transient (FPWM):</t>
        </r>
        <r>
          <rPr>
            <b/>
            <sz val="9"/>
            <color indexed="81"/>
            <rFont val="Arial"/>
            <family val="2"/>
          </rPr>
          <t xml:space="preserve">
</t>
        </r>
        <r>
          <rPr>
            <sz val="9"/>
            <color indexed="81"/>
            <rFont val="Arial"/>
            <family val="2"/>
          </rPr>
          <t xml:space="preserve">If greater than 6%, PGOOD might be grounded during 50% half-load to 100% full-load transition. A 25-μs deglitch filter helps preventing a false tripping of the power-good signal during transients.. </t>
        </r>
      </text>
    </comment>
    <comment ref="H52" authorId="1" shapeId="0" xr:uid="{9022F910-0374-42B9-A2E0-09D24798C983}">
      <text>
        <r>
          <rPr>
            <b/>
            <u/>
            <sz val="9"/>
            <color indexed="81"/>
            <rFont val="Arial"/>
            <family val="2"/>
          </rPr>
          <t>Crossover Frequency</t>
        </r>
        <r>
          <rPr>
            <sz val="9"/>
            <color indexed="81"/>
            <rFont val="Arial"/>
            <family val="2"/>
          </rPr>
          <t xml:space="preserve">
Enter the desired crossover frequency (usually between 10% and 25% of switching frequency, typically up to a max of ~100kHz). Please consider adding a zero using a feedforward capacitor if the desired crossover frequency is close to 100kHz</t>
        </r>
      </text>
    </comment>
    <comment ref="H53" authorId="1" shapeId="0" xr:uid="{90FEFAF2-0DA7-48FB-B5B8-F03BB9E09C0F}">
      <text>
        <r>
          <rPr>
            <b/>
            <u/>
            <sz val="9"/>
            <color indexed="81"/>
            <rFont val="Arial"/>
            <family val="2"/>
          </rPr>
          <t>Minimum Derated Output Capacitance</t>
        </r>
        <r>
          <rPr>
            <sz val="9"/>
            <color indexed="81"/>
            <rFont val="Arial"/>
            <family val="2"/>
          </rPr>
          <t xml:space="preserve">
The text in the cell is flagged red if the minimum derated output capacitane is greater than the sum of the derated output capacitances. </t>
        </r>
      </text>
    </comment>
    <comment ref="H55" authorId="1" shapeId="0" xr:uid="{FD24500B-3C8A-4468-ACA1-D04C4313B878}">
      <text>
        <r>
          <rPr>
            <b/>
            <u/>
            <sz val="9"/>
            <color indexed="81"/>
            <rFont val="Arial"/>
            <family val="2"/>
          </rPr>
          <t>Rated Output Capacitance</t>
        </r>
        <r>
          <rPr>
            <sz val="9"/>
            <color indexed="81"/>
            <rFont val="Arial"/>
            <family val="2"/>
          </rPr>
          <t xml:space="preserve">
Enter the rated bulk capacitance of the output capacitors if Type 1 or 2. 
Enter the super-cap capacitance if Type 3)
</t>
        </r>
      </text>
    </comment>
    <comment ref="H56" authorId="1" shapeId="0" xr:uid="{43BEB017-521C-487F-AAAA-5BEF13D63B12}">
      <text>
        <r>
          <rPr>
            <b/>
            <u/>
            <sz val="9"/>
            <color indexed="81"/>
            <rFont val="Arial"/>
            <family val="2"/>
          </rPr>
          <t xml:space="preserve">Derating Factor
</t>
        </r>
        <r>
          <rPr>
            <sz val="9"/>
            <color indexed="81"/>
            <rFont val="Arial"/>
            <family val="2"/>
          </rPr>
          <t xml:space="preserve">Enter the capacitance derating factor when DC bias is applied, particularly  with ceamic capacitors. Default value is 0.7 assumming ceramic capacitor. Small derating factor value results in a conserative design. </t>
        </r>
      </text>
    </comment>
    <comment ref="H58" authorId="1" shapeId="0" xr:uid="{2DDCAAED-32DD-4271-814A-F302563A9DCB}">
      <text>
        <r>
          <rPr>
            <b/>
            <u/>
            <sz val="9"/>
            <color indexed="81"/>
            <rFont val="Arial"/>
            <family val="2"/>
          </rPr>
          <t>Effective Output Capacitor ESR</t>
        </r>
        <r>
          <rPr>
            <sz val="9"/>
            <color indexed="81"/>
            <rFont val="Arial"/>
            <family val="2"/>
          </rPr>
          <t xml:space="preserve">
It is strongly recommended to review the bode plot for both minimum and maximum effective ESR values. </t>
        </r>
      </text>
    </comment>
    <comment ref="H60" authorId="1" shapeId="0" xr:uid="{1FF041BB-CBA4-4937-BD20-7E50AFC3B115}">
      <text>
        <r>
          <rPr>
            <b/>
            <u/>
            <sz val="9"/>
            <color indexed="81"/>
            <rFont val="Arial"/>
            <family val="2"/>
          </rPr>
          <t>Rated Output Capacitance</t>
        </r>
        <r>
          <rPr>
            <sz val="9"/>
            <color indexed="81"/>
            <rFont val="Arial"/>
            <family val="2"/>
          </rPr>
          <t xml:space="preserve">
Enter the rated capacitance of the ceramic output capacitors if Type1 or 2. 
Enter the rated capacitance of the local output capacitor if Type 3. 
</t>
        </r>
      </text>
    </comment>
    <comment ref="H61" authorId="1" shapeId="0" xr:uid="{9F8C7736-BAC8-48DE-AD39-4B36651ED0B9}">
      <text>
        <r>
          <rPr>
            <b/>
            <u/>
            <sz val="9"/>
            <color indexed="81"/>
            <rFont val="Arial"/>
            <family val="2"/>
          </rPr>
          <t xml:space="preserve">Derating Factor
</t>
        </r>
        <r>
          <rPr>
            <sz val="9"/>
            <color indexed="81"/>
            <rFont val="Arial"/>
            <family val="2"/>
          </rPr>
          <t xml:space="preserve">Enter the capacitance derating factor when DC bias is applied, particularly  with ceamic capacitors. Default value is 0.7 assumming ceramic capacitor. Small derating factor value results in a conserative design. </t>
        </r>
      </text>
    </comment>
    <comment ref="H63" authorId="1" shapeId="0" xr:uid="{F268E22D-07B2-464D-A30D-A3F158578A6F}">
      <text>
        <r>
          <rPr>
            <b/>
            <u/>
            <sz val="9"/>
            <color indexed="81"/>
            <rFont val="Arial"/>
            <family val="2"/>
          </rPr>
          <t>Effective Output Capacitor ESR</t>
        </r>
        <r>
          <rPr>
            <sz val="9"/>
            <color indexed="81"/>
            <rFont val="Arial"/>
            <family val="2"/>
          </rPr>
          <t xml:space="preserve">
It is strongly recommended to review the bode plot for both minimum and maximum effective ESR values. </t>
        </r>
      </text>
    </comment>
    <comment ref="H67" authorId="1" shapeId="0" xr:uid="{3E73BDBC-1B18-4FCE-8861-CB9B4D60DBFB}">
      <text>
        <r>
          <rPr>
            <b/>
            <u/>
            <sz val="9"/>
            <color indexed="81"/>
            <rFont val="Arial"/>
            <family val="2"/>
          </rPr>
          <t>Estimated Overshoot (when switching stops at full-load to no-load)</t>
        </r>
        <r>
          <rPr>
            <b/>
            <sz val="9"/>
            <color indexed="81"/>
            <rFont val="Arial"/>
            <family val="2"/>
          </rPr>
          <t xml:space="preserve">
</t>
        </r>
        <r>
          <rPr>
            <sz val="9"/>
            <color indexed="81"/>
            <rFont val="Arial"/>
            <family val="2"/>
          </rPr>
          <t>PGOOD might be grounded during the full-load to no-load transition if the over shoot is greater than 8%.   
The actual overshoot can be smaller if the full-load to no-load transition is slow. 
The actual overshoot can be bigger if switching continues.</t>
        </r>
      </text>
    </comment>
    <comment ref="H68" authorId="1" shapeId="0" xr:uid="{626C526F-212A-4D8A-801E-8F7B3FE656E2}">
      <text>
        <r>
          <rPr>
            <b/>
            <u/>
            <sz val="9"/>
            <color indexed="81"/>
            <rFont val="Arial"/>
            <family val="2"/>
          </rPr>
          <t>Estimated Undershoot (during no-load to full-load transition in FPWM)</t>
        </r>
        <r>
          <rPr>
            <b/>
            <sz val="9"/>
            <color indexed="81"/>
            <rFont val="Arial"/>
            <family val="2"/>
          </rPr>
          <t xml:space="preserve">
</t>
        </r>
        <r>
          <rPr>
            <sz val="9"/>
            <color indexed="81"/>
            <rFont val="Arial"/>
            <family val="2"/>
          </rPr>
          <t xml:space="preserve">PGOOD might be grounded during the no-load to full-load transition if the undershoot is greater than 6%.
The actual undershoot can be smaller if the no-load to full-load transition is slow. </t>
        </r>
      </text>
    </comment>
    <comment ref="H72" authorId="1" shapeId="0" xr:uid="{9EE9E275-CF24-453B-B20C-EC883D34C3D3}">
      <text>
        <r>
          <rPr>
            <b/>
            <u/>
            <sz val="9"/>
            <color indexed="81"/>
            <rFont val="Arial"/>
            <family val="2"/>
          </rPr>
          <t xml:space="preserve">Upper FB Resistor
</t>
        </r>
        <r>
          <rPr>
            <sz val="9"/>
            <color indexed="81"/>
            <rFont val="Arial"/>
            <family val="2"/>
          </rPr>
          <t xml:space="preserve">Use resistors with a tolerance of 1% or less. Parallel impedance of RFT//RFBB should be greater than 5kΩ. If 0.8V output, add 1kohm dummy load and connect FB to VOUT through 10kohm resistor(=RFBT) without RFBB. . </t>
        </r>
      </text>
    </comment>
    <comment ref="H73" authorId="1" shapeId="0" xr:uid="{EABC37AB-9EC7-4615-B2C4-2BCFD2A50664}">
      <text>
        <r>
          <rPr>
            <b/>
            <u/>
            <sz val="9"/>
            <color indexed="81"/>
            <rFont val="Arial"/>
            <family val="2"/>
          </rPr>
          <t xml:space="preserve">Lower FB Resistor
</t>
        </r>
        <r>
          <rPr>
            <sz val="9"/>
            <color indexed="81"/>
            <rFont val="Arial"/>
            <family val="2"/>
          </rPr>
          <t xml:space="preserve">Use resistors with a tolerance of 1% or less. </t>
        </r>
      </text>
    </comment>
    <comment ref="H80" authorId="1" shapeId="0" xr:uid="{0D94D6D5-0743-4B3E-81BA-AAE922CFC242}">
      <text>
        <r>
          <rPr>
            <b/>
            <u/>
            <sz val="9"/>
            <color indexed="81"/>
            <rFont val="Arial"/>
            <family val="2"/>
          </rPr>
          <t>Maximum RCOMP</t>
        </r>
        <r>
          <rPr>
            <sz val="9"/>
            <color indexed="81"/>
            <rFont val="Arial"/>
            <family val="2"/>
          </rPr>
          <t xml:space="preserve">
Select RCOMP less than the desired maximum RCOMP value.</t>
        </r>
      </text>
    </comment>
    <comment ref="H81" authorId="1" shapeId="0" xr:uid="{417EF453-BC96-4218-84FF-3502B887A10C}">
      <text>
        <r>
          <rPr>
            <b/>
            <u/>
            <sz val="9"/>
            <color indexed="81"/>
            <rFont val="Arial"/>
            <family val="2"/>
          </rPr>
          <t>Minimum CCOMP</t>
        </r>
        <r>
          <rPr>
            <sz val="9"/>
            <color indexed="81"/>
            <rFont val="Arial"/>
            <family val="2"/>
          </rPr>
          <t xml:space="preserve">
Select CCOMP greater than the desired minimum CCOMP value.</t>
        </r>
      </text>
    </comment>
    <comment ref="H82" authorId="1" shapeId="0" xr:uid="{CC9788AD-C22C-49DD-B677-7DCCE3E824EF}">
      <text>
        <r>
          <rPr>
            <b/>
            <u/>
            <sz val="9"/>
            <color indexed="81"/>
            <rFont val="Arial"/>
            <family val="2"/>
          </rPr>
          <t>Desired CHF</t>
        </r>
        <r>
          <rPr>
            <sz val="9"/>
            <color indexed="81"/>
            <rFont val="Arial"/>
            <family val="2"/>
          </rPr>
          <t xml:space="preserve">
Select CHF close to the desired CHF value.</t>
        </r>
      </text>
    </comment>
    <comment ref="H86" authorId="1" shapeId="0" xr:uid="{26CA6DA2-CABF-4879-8FD9-B8DB3CAB3CBC}">
      <text>
        <r>
          <rPr>
            <b/>
            <u/>
            <sz val="9"/>
            <color indexed="81"/>
            <rFont val="Arial"/>
            <family val="2"/>
          </rPr>
          <t xml:space="preserve">RCOMP Resistor
</t>
        </r>
        <r>
          <rPr>
            <sz val="9"/>
            <color indexed="81"/>
            <rFont val="Arial"/>
            <family val="2"/>
          </rPr>
          <t xml:space="preserve">Use resistors with a tolerance of 1% or less. </t>
        </r>
      </text>
    </comment>
    <comment ref="H87" authorId="1" shapeId="0" xr:uid="{C3CCA67E-9C38-4526-A7F3-8412651D74C9}">
      <text>
        <r>
          <rPr>
            <b/>
            <u/>
            <sz val="9"/>
            <color indexed="81"/>
            <rFont val="Arial"/>
            <family val="2"/>
          </rPr>
          <t xml:space="preserve">CCOMP Capacitor
</t>
        </r>
        <r>
          <rPr>
            <sz val="9"/>
            <color indexed="81"/>
            <rFont val="Arial"/>
            <family val="2"/>
          </rPr>
          <t xml:space="preserve">Use COG type capacitor or an equivalent. </t>
        </r>
      </text>
    </comment>
    <comment ref="H88" authorId="1" shapeId="0" xr:uid="{22A062AB-D904-461B-A9A4-B0B06DBE84A8}">
      <text>
        <r>
          <rPr>
            <b/>
            <u/>
            <sz val="9"/>
            <color indexed="81"/>
            <rFont val="Arial"/>
            <family val="2"/>
          </rPr>
          <t xml:space="preserve">CHF Capacitor
</t>
        </r>
        <r>
          <rPr>
            <sz val="9"/>
            <color indexed="81"/>
            <rFont val="Arial"/>
            <family val="2"/>
          </rPr>
          <t xml:space="preserve">Use COG type capacitor or an equivalent. 
If no CHF, enter a parasitic capacitance value which is typically in the range of 1p - 3pF. </t>
        </r>
      </text>
    </comment>
    <comment ref="H89" authorId="1" shapeId="0" xr:uid="{2855273B-8F44-4F4F-BA0F-ACB3DED12533}">
      <text>
        <r>
          <rPr>
            <b/>
            <u/>
            <sz val="9"/>
            <color indexed="81"/>
            <rFont val="Arial"/>
            <family val="2"/>
          </rPr>
          <t xml:space="preserve">Compensation Zero </t>
        </r>
        <r>
          <rPr>
            <sz val="9"/>
            <color indexed="81"/>
            <rFont val="Arial"/>
            <family val="2"/>
          </rPr>
          <t xml:space="preserve">
Adjust RCOMP, CCOMP, CHF and check the loop response curve until you reach the best result.  
In addition with the pole and zero caused by the RCOMP, CCOMP, and CHF componenets, The device has an internal pole at around 500kHz.  
</t>
        </r>
      </text>
    </comment>
    <comment ref="H90" authorId="1" shapeId="0" xr:uid="{E44F8F21-426A-43E2-9DC9-409E802472DF}">
      <text>
        <r>
          <rPr>
            <b/>
            <u/>
            <sz val="9"/>
            <color indexed="81"/>
            <rFont val="Arial"/>
            <family val="2"/>
          </rPr>
          <t>Compensation Pole</t>
        </r>
        <r>
          <rPr>
            <sz val="9"/>
            <color indexed="81"/>
            <rFont val="Arial"/>
            <family val="2"/>
          </rPr>
          <t xml:space="preserve">
Adjust RCOMP, CCOMP, CHF and check the loop response curve until you reach the best result.  
In addition with the pole and zero caused by the RCOMP, CCOMP, and CHF componenets, The device has an internal pole at around 500kHz.  
</t>
        </r>
      </text>
    </comment>
    <comment ref="H92" authorId="1" shapeId="0" xr:uid="{E38970AA-2BF9-413B-ACD2-45727F72E7A8}">
      <text>
        <r>
          <rPr>
            <b/>
            <u/>
            <sz val="9"/>
            <color indexed="81"/>
            <rFont val="Arial"/>
            <family val="2"/>
          </rPr>
          <t>Feed-forward Capacitor</t>
        </r>
        <r>
          <rPr>
            <sz val="9"/>
            <color indexed="81"/>
            <rFont val="Arial"/>
            <family val="2"/>
          </rPr>
          <t xml:space="preserve">
Feed-forward capactior introduces a zero and a pole pair. Adjust CFF  and check both phase and gain margins until you reach the best result. 10p-33pF is a good starting point.  The ESR zero of the output capacitor also adds a zero. </t>
        </r>
      </text>
    </comment>
    <comment ref="H93" authorId="1" shapeId="0" xr:uid="{8A315EEC-FAC0-4722-AF65-4BCB99873862}">
      <text>
        <r>
          <rPr>
            <b/>
            <u/>
            <sz val="9"/>
            <color indexed="81"/>
            <rFont val="Arial"/>
            <family val="2"/>
          </rPr>
          <t xml:space="preserve">Feed-forward Resistor
</t>
        </r>
        <r>
          <rPr>
            <sz val="9"/>
            <color indexed="81"/>
            <rFont val="Arial"/>
            <family val="2"/>
          </rPr>
          <t>Feed-forward resistor is placed in series with CFF, which reduces the noise coupling from the output to FB. Place 1k-5kΩ if any noise coupling issue.</t>
        </r>
      </text>
    </comment>
    <comment ref="H98" authorId="1" shapeId="0" xr:uid="{B830195B-149D-4164-9D0A-7FFC6989C8ED}">
      <text>
        <r>
          <rPr>
            <b/>
            <u/>
            <sz val="9"/>
            <color indexed="81"/>
            <rFont val="Arial"/>
            <family val="2"/>
          </rPr>
          <t>ISET Voltage</t>
        </r>
        <r>
          <rPr>
            <b/>
            <sz val="9"/>
            <color indexed="81"/>
            <rFont val="Arial"/>
            <family val="2"/>
          </rPr>
          <t xml:space="preserve">
</t>
        </r>
        <r>
          <rPr>
            <sz val="9"/>
            <color indexed="81"/>
            <rFont val="Arial"/>
            <family val="2"/>
          </rPr>
          <t>For the applications which need to adjust the ISET voltage dynamically, the ISET pin voltage should be greater than the IMON offset voltage and less than or equal to 0.8V. 
If no need to adjust ISET dynamically, unpopulate RISET and use internally fixed 1V reference by connecting ≥120kΩ</t>
        </r>
      </text>
    </comment>
    <comment ref="H99" authorId="1" shapeId="0" xr:uid="{FCCF03BB-CA16-4CAD-932F-688F7D0E651F}">
      <text>
        <r>
          <rPr>
            <b/>
            <u/>
            <sz val="9"/>
            <color indexed="81"/>
            <rFont val="Arial"/>
            <family val="2"/>
          </rPr>
          <t xml:space="preserve">ISET resistor </t>
        </r>
        <r>
          <rPr>
            <b/>
            <sz val="9"/>
            <color indexed="81"/>
            <rFont val="Arial"/>
            <family val="2"/>
          </rPr>
          <t xml:space="preserve">
</t>
        </r>
        <r>
          <rPr>
            <sz val="9"/>
            <color indexed="81"/>
            <rFont val="Arial"/>
            <family val="2"/>
          </rPr>
          <t>Use resistors with a tolerance of 1% or less. OPEN means the required ISET resistor value is greater than or equal to 120kΩ.</t>
        </r>
      </text>
    </comment>
    <comment ref="H100" authorId="1" shapeId="0" xr:uid="{C62040D1-919C-4580-82F3-C285B78FD967}">
      <text>
        <r>
          <rPr>
            <b/>
            <u/>
            <sz val="9"/>
            <color indexed="81"/>
            <rFont val="Arial"/>
            <family val="2"/>
          </rPr>
          <t>ISET Capacitor</t>
        </r>
        <r>
          <rPr>
            <b/>
            <sz val="9"/>
            <color indexed="81"/>
            <rFont val="Arial"/>
            <family val="2"/>
          </rPr>
          <t xml:space="preserve">
</t>
        </r>
        <r>
          <rPr>
            <sz val="9"/>
            <color indexed="81"/>
            <rFont val="Arial"/>
            <family val="2"/>
          </rPr>
          <t xml:space="preserve">ISET Capacitor allows the regulator to gradually reach the steady-state CC operating point. The capacitor should be fully discharged by an external switch before every restart. </t>
        </r>
      </text>
    </comment>
    <comment ref="H101" authorId="1" shapeId="0" xr:uid="{5FCCABBF-AFBA-4939-A879-DB297E3199FA}">
      <text>
        <r>
          <rPr>
            <b/>
            <u/>
            <sz val="9"/>
            <color indexed="81"/>
            <rFont val="Arial"/>
            <family val="2"/>
          </rPr>
          <t>Current Regulation Soft-start Time</t>
        </r>
        <r>
          <rPr>
            <b/>
            <sz val="9"/>
            <color indexed="81"/>
            <rFont val="Arial"/>
            <family val="2"/>
          </rPr>
          <t xml:space="preserve">
</t>
        </r>
        <r>
          <rPr>
            <sz val="9"/>
            <color indexed="81"/>
            <rFont val="Arial"/>
            <family val="2"/>
          </rPr>
          <t>It is recommended to select TSSCC greater than 10/Fcross</t>
        </r>
      </text>
    </comment>
    <comment ref="H105" authorId="1" shapeId="0" xr:uid="{D55AF532-3966-4030-B075-A8839D811E30}">
      <text>
        <r>
          <rPr>
            <b/>
            <u/>
            <sz val="9"/>
            <color indexed="81"/>
            <rFont val="Arial"/>
            <family val="2"/>
          </rPr>
          <t>Desired IMON Resistor</t>
        </r>
        <r>
          <rPr>
            <b/>
            <sz val="9"/>
            <color indexed="81"/>
            <rFont val="Arial"/>
            <family val="2"/>
          </rPr>
          <t xml:space="preserve">
</t>
        </r>
        <r>
          <rPr>
            <sz val="9"/>
            <color indexed="81"/>
            <rFont val="Arial"/>
            <family val="2"/>
          </rPr>
          <t>The RIMON is used to programmed the CC regulation target. The CC regulation target should be smaller than the maximum current defined by the cycle-by-cycle peak current limit</t>
        </r>
      </text>
    </comment>
    <comment ref="H106" authorId="1" shapeId="0" xr:uid="{1C4E3292-0868-4C79-AA2D-4E3791009D10}">
      <text>
        <r>
          <rPr>
            <b/>
            <u/>
            <sz val="9"/>
            <color indexed="81"/>
            <rFont val="Arial"/>
            <family val="2"/>
          </rPr>
          <t>Desired IMON Capacitor</t>
        </r>
        <r>
          <rPr>
            <b/>
            <sz val="9"/>
            <color indexed="81"/>
            <rFont val="Arial"/>
            <family val="2"/>
          </rPr>
          <t xml:space="preserve">
</t>
        </r>
        <r>
          <rPr>
            <sz val="9"/>
            <color indexed="81"/>
            <rFont val="Arial"/>
            <family val="2"/>
          </rPr>
          <t xml:space="preserve">The CIMON is used to form the RC filter with RIMON and filter out the sensed inductor current ripple to the
achieve average current regulation. It also sets the response of the current loop. </t>
        </r>
      </text>
    </comment>
    <comment ref="H107" authorId="1" shapeId="0" xr:uid="{8EE0F9A7-35BA-4D0D-8F16-5B6B627A1A56}">
      <text>
        <r>
          <rPr>
            <b/>
            <u/>
            <sz val="9"/>
            <color indexed="81"/>
            <rFont val="Arial"/>
            <family val="2"/>
          </rPr>
          <t>Desired IMON Resistor for High Frequency</t>
        </r>
        <r>
          <rPr>
            <b/>
            <sz val="9"/>
            <color indexed="81"/>
            <rFont val="Arial"/>
            <family val="2"/>
          </rPr>
          <t xml:space="preserve">
</t>
        </r>
        <r>
          <rPr>
            <sz val="9"/>
            <color indexed="81"/>
            <rFont val="Arial"/>
            <family val="2"/>
          </rPr>
          <t xml:space="preserve">The RIMONHF can be used to emulate the ESR zero of the output capacitor or to add a high-frequency zero in CC loop. </t>
        </r>
      </text>
    </comment>
    <comment ref="H111" authorId="1" shapeId="0" xr:uid="{9F705E92-646A-47E9-B42A-FD41A0F091A3}">
      <text>
        <r>
          <rPr>
            <b/>
            <u/>
            <sz val="9"/>
            <color indexed="81"/>
            <rFont val="Arial"/>
            <family val="2"/>
          </rPr>
          <t xml:space="preserve">IMON Resistor
</t>
        </r>
        <r>
          <rPr>
            <sz val="9"/>
            <color indexed="81"/>
            <rFont val="Arial"/>
            <family val="2"/>
          </rPr>
          <t xml:space="preserve">Select the standard resistor value close to the desired RIMON. Use resistors with a tolerance of 1% or less. </t>
        </r>
      </text>
    </comment>
    <comment ref="H112" authorId="1" shapeId="0" xr:uid="{D9CAFD5D-335E-4CCB-A87D-F50B10FEC70A}">
      <text>
        <r>
          <rPr>
            <b/>
            <u/>
            <sz val="9"/>
            <color indexed="81"/>
            <rFont val="Arial"/>
            <family val="2"/>
          </rPr>
          <t xml:space="preserve">IMON Capacitor
</t>
        </r>
        <r>
          <rPr>
            <sz val="9"/>
            <color indexed="81"/>
            <rFont val="Arial"/>
            <family val="2"/>
          </rPr>
          <t xml:space="preserve">Select the standard capacitor value close to the desired CIMON. Use COG type capacitor or an equivalent. </t>
        </r>
      </text>
    </comment>
    <comment ref="H113" authorId="1" shapeId="0" xr:uid="{7252FC37-6E73-4ECE-8AF5-7B9245635276}">
      <text>
        <r>
          <rPr>
            <b/>
            <u/>
            <sz val="9"/>
            <color indexed="81"/>
            <rFont val="Arial"/>
            <family val="2"/>
          </rPr>
          <t xml:space="preserve">High-frequency IMON Resistor
</t>
        </r>
        <r>
          <rPr>
            <sz val="9"/>
            <color indexed="81"/>
            <rFont val="Arial"/>
            <family val="2"/>
          </rPr>
          <t xml:space="preserve">Select the standard resistor value close to the desired RIMONHF in order to emulate the ESR zero of the output capacitor. 0 Ω can be used if the CC loop phase and gain margins are enough. Use resistors with a tolerance of 1% or less.  </t>
        </r>
      </text>
    </comment>
    <comment ref="D119" authorId="1" shapeId="0" xr:uid="{9E7E6AAB-6CBD-4B42-A53E-98040A2F5773}">
      <text>
        <r>
          <rPr>
            <b/>
            <u/>
            <sz val="9"/>
            <color indexed="81"/>
            <rFont val="Arial"/>
            <family val="2"/>
          </rPr>
          <t>Efficiency</t>
        </r>
        <r>
          <rPr>
            <b/>
            <sz val="9"/>
            <color indexed="81"/>
            <rFont val="Arial"/>
            <family val="2"/>
          </rPr>
          <t xml:space="preserve">
</t>
        </r>
        <r>
          <rPr>
            <sz val="9"/>
            <color indexed="81"/>
            <rFont val="Arial"/>
            <family val="2"/>
          </rPr>
          <t>Efficiency estimation is not valid when the load current is light.</t>
        </r>
      </text>
    </comment>
    <comment ref="G121" authorId="1" shapeId="0" xr:uid="{0A3126C6-3ACD-467F-84CE-C72577763AC0}">
      <text>
        <r>
          <rPr>
            <b/>
            <u/>
            <sz val="9"/>
            <color indexed="81"/>
            <rFont val="Arial"/>
            <family val="2"/>
          </rPr>
          <t>Inductor DCR</t>
        </r>
        <r>
          <rPr>
            <sz val="9"/>
            <color indexed="81"/>
            <rFont val="Arial"/>
            <family val="2"/>
          </rPr>
          <t xml:space="preserve">
Enter the DCR of the selected inductor.</t>
        </r>
      </text>
    </comment>
    <comment ref="G122" authorId="1" shapeId="0" xr:uid="{BD4D7286-782A-4CF4-A80B-EF44BF44AD7C}">
      <text>
        <r>
          <rPr>
            <b/>
            <u/>
            <sz val="9"/>
            <color indexed="81"/>
            <rFont val="Arial"/>
            <family val="2"/>
          </rPr>
          <t>Core Loss at typical VIN</t>
        </r>
        <r>
          <rPr>
            <b/>
            <sz val="9"/>
            <color indexed="81"/>
            <rFont val="Arial"/>
            <family val="2"/>
          </rPr>
          <t xml:space="preserve">
</t>
        </r>
        <r>
          <rPr>
            <sz val="9"/>
            <color indexed="81"/>
            <rFont val="Arial"/>
            <family val="2"/>
          </rPr>
          <t xml:space="preserve">The core loss increases/decreases by increasing/decreasing the input supply voltage because the inductor current ripple becomes bigger.smaller by increasing/decreasing the input supply voltage. </t>
        </r>
      </text>
    </comment>
    <comment ref="F124" authorId="2" shapeId="0" xr:uid="{2946FD57-694F-4F28-B7B4-8009060B1019}">
      <text>
        <r>
          <rPr>
            <b/>
            <sz val="9"/>
            <color indexed="81"/>
            <rFont val="Arial"/>
            <family val="2"/>
          </rPr>
          <t>On-State Resistance (R</t>
        </r>
        <r>
          <rPr>
            <b/>
            <vertAlign val="subscript"/>
            <sz val="9"/>
            <color indexed="81"/>
            <rFont val="Arial"/>
            <family val="2"/>
          </rPr>
          <t>DS(on)</t>
        </r>
        <r>
          <rPr>
            <b/>
            <sz val="9"/>
            <color indexed="81"/>
            <rFont val="Arial"/>
            <family val="2"/>
          </rPr>
          <t xml:space="preserve">):
</t>
        </r>
        <r>
          <rPr>
            <sz val="9"/>
            <color indexed="81"/>
            <rFont val="Arial"/>
            <family val="2"/>
          </rPr>
          <t xml:space="preserve">Enter the </t>
        </r>
        <r>
          <rPr>
            <b/>
            <sz val="9"/>
            <color indexed="81"/>
            <rFont val="Arial"/>
            <family val="2"/>
          </rPr>
          <t>R</t>
        </r>
        <r>
          <rPr>
            <b/>
            <vertAlign val="subscript"/>
            <sz val="9"/>
            <color indexed="81"/>
            <rFont val="Arial"/>
            <family val="2"/>
          </rPr>
          <t>DS(on)</t>
        </r>
        <r>
          <rPr>
            <sz val="9"/>
            <color indexed="81"/>
            <rFont val="Arial"/>
            <family val="2"/>
          </rPr>
          <t xml:space="preserve"> of the high-side MOSFET here (at the appropriate gate drive level, typically 7.5V). High current designs (&gt;5A) can incur large conduction losses and, as such, demand MOSFETs with low </t>
        </r>
        <r>
          <rPr>
            <b/>
            <sz val="9"/>
            <color indexed="81"/>
            <rFont val="Arial"/>
            <family val="2"/>
          </rPr>
          <t>R</t>
        </r>
        <r>
          <rPr>
            <b/>
            <vertAlign val="subscript"/>
            <sz val="9"/>
            <color indexed="81"/>
            <rFont val="Arial"/>
            <family val="2"/>
          </rPr>
          <t>DS(on)</t>
        </r>
        <r>
          <rPr>
            <sz val="9"/>
            <color indexed="81"/>
            <rFont val="Arial"/>
            <family val="2"/>
          </rPr>
          <t xml:space="preserve"> usually at the expense of larger Q</t>
        </r>
        <r>
          <rPr>
            <vertAlign val="subscript"/>
            <sz val="9"/>
            <color indexed="81"/>
            <rFont val="Arial"/>
            <family val="2"/>
          </rPr>
          <t>G</t>
        </r>
        <r>
          <rPr>
            <sz val="9"/>
            <color indexed="81"/>
            <rFont val="Arial"/>
            <family val="2"/>
          </rPr>
          <t>.</t>
        </r>
      </text>
    </comment>
    <comment ref="G124" authorId="2" shapeId="0" xr:uid="{D8F2EFB9-7F99-484F-B604-1AB65DCB3748}">
      <text>
        <r>
          <rPr>
            <b/>
            <sz val="9"/>
            <color indexed="81"/>
            <rFont val="Arial"/>
            <family val="2"/>
          </rPr>
          <t>On-State Resistance (R</t>
        </r>
        <r>
          <rPr>
            <b/>
            <vertAlign val="subscript"/>
            <sz val="9"/>
            <color indexed="81"/>
            <rFont val="Arial"/>
            <family val="2"/>
          </rPr>
          <t>DS(on)</t>
        </r>
        <r>
          <rPr>
            <b/>
            <sz val="9"/>
            <color indexed="81"/>
            <rFont val="Arial"/>
            <family val="2"/>
          </rPr>
          <t xml:space="preserve">):
</t>
        </r>
        <r>
          <rPr>
            <sz val="9"/>
            <color indexed="81"/>
            <rFont val="Arial"/>
            <family val="2"/>
          </rPr>
          <t xml:space="preserve">Enter the </t>
        </r>
        <r>
          <rPr>
            <b/>
            <sz val="9"/>
            <color indexed="81"/>
            <rFont val="Arial"/>
            <family val="2"/>
          </rPr>
          <t>R</t>
        </r>
        <r>
          <rPr>
            <b/>
            <vertAlign val="subscript"/>
            <sz val="9"/>
            <color indexed="81"/>
            <rFont val="Arial"/>
            <family val="2"/>
          </rPr>
          <t>DS(on)</t>
        </r>
        <r>
          <rPr>
            <sz val="9"/>
            <color indexed="81"/>
            <rFont val="Arial"/>
            <family val="2"/>
          </rPr>
          <t xml:space="preserve"> of the low-side MOSFET here  (at the appropriate gate drive level, typically 7.5V). High current designs (&gt;5A) can incur large conduction losses and, as such, demand MOSFETs with low </t>
        </r>
        <r>
          <rPr>
            <b/>
            <sz val="9"/>
            <color indexed="81"/>
            <rFont val="Arial"/>
            <family val="2"/>
          </rPr>
          <t>R</t>
        </r>
        <r>
          <rPr>
            <b/>
            <vertAlign val="subscript"/>
            <sz val="9"/>
            <color indexed="81"/>
            <rFont val="Arial"/>
            <family val="2"/>
          </rPr>
          <t>DS(on)</t>
        </r>
        <r>
          <rPr>
            <sz val="9"/>
            <color indexed="81"/>
            <rFont val="Arial"/>
            <family val="2"/>
          </rPr>
          <t xml:space="preserve"> usually at the expense of larger Q</t>
        </r>
        <r>
          <rPr>
            <vertAlign val="subscript"/>
            <sz val="9"/>
            <color indexed="81"/>
            <rFont val="Arial"/>
            <family val="2"/>
          </rPr>
          <t>G</t>
        </r>
        <r>
          <rPr>
            <sz val="9"/>
            <color indexed="81"/>
            <rFont val="Arial"/>
            <family val="2"/>
          </rPr>
          <t xml:space="preserve">.
</t>
        </r>
      </text>
    </comment>
    <comment ref="F125" authorId="2" shapeId="0" xr:uid="{72FB8D67-B30C-4A3F-8D8C-92A173A13950}">
      <text>
        <r>
          <rPr>
            <b/>
            <sz val="9"/>
            <color indexed="81"/>
            <rFont val="Arial"/>
            <family val="2"/>
          </rPr>
          <t>Total Gate Charge (Q</t>
        </r>
        <r>
          <rPr>
            <b/>
            <vertAlign val="subscript"/>
            <sz val="9"/>
            <color indexed="81"/>
            <rFont val="Arial"/>
            <family val="2"/>
          </rPr>
          <t>g</t>
        </r>
        <r>
          <rPr>
            <b/>
            <sz val="9"/>
            <color indexed="81"/>
            <rFont val="Arial"/>
            <family val="2"/>
          </rPr>
          <t>):</t>
        </r>
        <r>
          <rPr>
            <sz val="9"/>
            <color indexed="81"/>
            <rFont val="Arial"/>
            <family val="2"/>
          </rPr>
          <t xml:space="preserve">
Enter the total gate charge of the high-side MOSFET here (at the appropriate gate drive voltage level, typically 7.5V).</t>
        </r>
      </text>
    </comment>
    <comment ref="G125" authorId="2" shapeId="0" xr:uid="{C936F149-79A2-44C5-9EF1-EFD737F6C0FC}">
      <text>
        <r>
          <rPr>
            <b/>
            <sz val="9"/>
            <color indexed="81"/>
            <rFont val="Arial"/>
            <family val="2"/>
          </rPr>
          <t>Total Gate Charge (Q</t>
        </r>
        <r>
          <rPr>
            <b/>
            <vertAlign val="subscript"/>
            <sz val="9"/>
            <color indexed="81"/>
            <rFont val="Arial"/>
            <family val="2"/>
          </rPr>
          <t>g</t>
        </r>
        <r>
          <rPr>
            <b/>
            <sz val="9"/>
            <color indexed="81"/>
            <rFont val="Arial"/>
            <family val="2"/>
          </rPr>
          <t>):</t>
        </r>
        <r>
          <rPr>
            <sz val="9"/>
            <color indexed="81"/>
            <rFont val="Arial"/>
            <family val="2"/>
          </rPr>
          <t xml:space="preserve">
Enter the total gate charge of the low-side MOSFET here (at the appropriate gate drive level, typically 7.5V)</t>
        </r>
      </text>
    </comment>
    <comment ref="F126" authorId="2" shapeId="0" xr:uid="{4FC1FC9D-FF88-46A8-96A7-6F0FFDA3C3C6}">
      <text>
        <r>
          <rPr>
            <b/>
            <sz val="9"/>
            <color indexed="81"/>
            <rFont val="Arial"/>
            <family val="2"/>
          </rPr>
          <t>Gate-Drain Charge (Q</t>
        </r>
        <r>
          <rPr>
            <b/>
            <vertAlign val="subscript"/>
            <sz val="9"/>
            <color indexed="81"/>
            <rFont val="Arial"/>
            <family val="2"/>
          </rPr>
          <t>GD</t>
        </r>
        <r>
          <rPr>
            <b/>
            <sz val="9"/>
            <color indexed="81"/>
            <rFont val="Arial"/>
            <family val="2"/>
          </rPr>
          <t xml:space="preserve">):
</t>
        </r>
        <r>
          <rPr>
            <sz val="9"/>
            <color indexed="81"/>
            <rFont val="Arial"/>
            <family val="2"/>
          </rPr>
          <t>Enter the Q</t>
        </r>
        <r>
          <rPr>
            <vertAlign val="subscript"/>
            <sz val="9"/>
            <color indexed="81"/>
            <rFont val="Arial"/>
            <family val="2"/>
          </rPr>
          <t>GD</t>
        </r>
        <r>
          <rPr>
            <sz val="9"/>
            <color indexed="81"/>
            <rFont val="Arial"/>
            <family val="2"/>
          </rPr>
          <t xml:space="preserve"> of the high-side MOSFET here.
MOSFET Q</t>
        </r>
        <r>
          <rPr>
            <vertAlign val="subscript"/>
            <sz val="9"/>
            <color indexed="81"/>
            <rFont val="Arial"/>
            <family val="2"/>
          </rPr>
          <t>GD</t>
        </r>
        <r>
          <rPr>
            <sz val="9"/>
            <color indexed="81"/>
            <rFont val="Arial"/>
            <family val="2"/>
          </rPr>
          <t xml:space="preserve"> affects the turn-on and-off transition times. Slow transition times result in a decrease in efficiency, especially at higher input voltages.</t>
        </r>
      </text>
    </comment>
    <comment ref="G126" authorId="2" shapeId="0" xr:uid="{2E5AE245-6221-4F7B-8982-53D997F49151}">
      <text>
        <r>
          <rPr>
            <b/>
            <sz val="9"/>
            <color indexed="81"/>
            <rFont val="Arial"/>
            <family val="2"/>
          </rPr>
          <t>Gate-Drain Charge (Q</t>
        </r>
        <r>
          <rPr>
            <b/>
            <vertAlign val="subscript"/>
            <sz val="9"/>
            <color indexed="81"/>
            <rFont val="Arial"/>
            <family val="2"/>
          </rPr>
          <t>GD</t>
        </r>
        <r>
          <rPr>
            <b/>
            <sz val="9"/>
            <color indexed="81"/>
            <rFont val="Arial"/>
            <family val="2"/>
          </rPr>
          <t xml:space="preserve">):
</t>
        </r>
        <r>
          <rPr>
            <sz val="9"/>
            <color indexed="81"/>
            <rFont val="Arial"/>
            <family val="2"/>
          </rPr>
          <t>Enter the Q</t>
        </r>
        <r>
          <rPr>
            <vertAlign val="subscript"/>
            <sz val="9"/>
            <color indexed="81"/>
            <rFont val="Arial"/>
            <family val="2"/>
          </rPr>
          <t>GD</t>
        </r>
        <r>
          <rPr>
            <sz val="9"/>
            <color indexed="81"/>
            <rFont val="Arial"/>
            <family val="2"/>
          </rPr>
          <t xml:space="preserve"> of the low-side MOSFET here.</t>
        </r>
      </text>
    </comment>
    <comment ref="F127" authorId="2" shapeId="0" xr:uid="{9A40F85A-E1BE-4D09-BB36-C6F076128B99}">
      <text>
        <r>
          <rPr>
            <b/>
            <sz val="9"/>
            <color indexed="81"/>
            <rFont val="Arial"/>
            <family val="2"/>
          </rPr>
          <t>Gate-Source Charge (Q</t>
        </r>
        <r>
          <rPr>
            <b/>
            <vertAlign val="subscript"/>
            <sz val="9"/>
            <color indexed="81"/>
            <rFont val="Arial"/>
            <family val="2"/>
          </rPr>
          <t>GS</t>
        </r>
        <r>
          <rPr>
            <b/>
            <sz val="9"/>
            <color indexed="81"/>
            <rFont val="Arial"/>
            <family val="2"/>
          </rPr>
          <t xml:space="preserve">):
</t>
        </r>
        <r>
          <rPr>
            <sz val="9"/>
            <color indexed="81"/>
            <rFont val="Arial"/>
            <family val="2"/>
          </rPr>
          <t xml:space="preserve">Enter the high-side MOSFET gate-source charge here. </t>
        </r>
      </text>
    </comment>
    <comment ref="G127" authorId="2" shapeId="0" xr:uid="{D1A1F8EC-1D5F-4F83-85D4-117ABCFFDE19}">
      <text>
        <r>
          <rPr>
            <b/>
            <sz val="9"/>
            <color indexed="81"/>
            <rFont val="Arial"/>
            <family val="2"/>
          </rPr>
          <t>Gate-Source Charge (Q</t>
        </r>
        <r>
          <rPr>
            <b/>
            <vertAlign val="subscript"/>
            <sz val="9"/>
            <color indexed="81"/>
            <rFont val="Arial"/>
            <family val="2"/>
          </rPr>
          <t>GS</t>
        </r>
        <r>
          <rPr>
            <b/>
            <sz val="9"/>
            <color indexed="81"/>
            <rFont val="Arial"/>
            <family val="2"/>
          </rPr>
          <t xml:space="preserve">):
</t>
        </r>
        <r>
          <rPr>
            <sz val="9"/>
            <color indexed="81"/>
            <rFont val="Arial"/>
            <family val="2"/>
          </rPr>
          <t xml:space="preserve">Enter the low-side MOSFET gate-source charge here. </t>
        </r>
      </text>
    </comment>
    <comment ref="G128" authorId="2" shapeId="0" xr:uid="{209FA8C3-200D-4CEE-823D-AC1D143FDFA4}">
      <text>
        <r>
          <rPr>
            <b/>
            <sz val="9"/>
            <color indexed="81"/>
            <rFont val="Arial"/>
            <family val="2"/>
          </rPr>
          <t>Output Charge (Q</t>
        </r>
        <r>
          <rPr>
            <b/>
            <vertAlign val="subscript"/>
            <sz val="9"/>
            <color indexed="81"/>
            <rFont val="Arial"/>
            <family val="2"/>
          </rPr>
          <t>OSS</t>
        </r>
        <r>
          <rPr>
            <b/>
            <sz val="9"/>
            <color indexed="81"/>
            <rFont val="Arial"/>
            <family val="2"/>
          </rPr>
          <t xml:space="preserve">):
</t>
        </r>
        <r>
          <rPr>
            <sz val="9"/>
            <color indexed="81"/>
            <rFont val="Arial"/>
            <family val="2"/>
          </rPr>
          <t xml:space="preserve">Enter the low-side MOSFET output charge here. </t>
        </r>
      </text>
    </comment>
    <comment ref="F129" authorId="2" shapeId="0" xr:uid="{16E89125-B5C8-4482-8B36-95749053C963}">
      <text>
        <r>
          <rPr>
            <b/>
            <sz val="9"/>
            <color indexed="81"/>
            <rFont val="Arial"/>
            <family val="2"/>
          </rPr>
          <t>Output Charge (C</t>
        </r>
        <r>
          <rPr>
            <b/>
            <vertAlign val="subscript"/>
            <sz val="9"/>
            <color indexed="81"/>
            <rFont val="Arial"/>
            <family val="2"/>
          </rPr>
          <t>OSS</t>
        </r>
        <r>
          <rPr>
            <b/>
            <sz val="9"/>
            <color indexed="81"/>
            <rFont val="Arial"/>
            <family val="2"/>
          </rPr>
          <t xml:space="preserve">):
</t>
        </r>
        <r>
          <rPr>
            <sz val="9"/>
            <color indexed="81"/>
            <rFont val="Arial"/>
            <family val="2"/>
          </rPr>
          <t xml:space="preserve">Enter the high-side MOSFET output capacitance at typicalinput voltagehere. </t>
        </r>
      </text>
    </comment>
    <comment ref="G129" authorId="2" shapeId="0" xr:uid="{3919427B-ED78-4D1E-ABB8-4F4F58D5F40C}">
      <text>
        <r>
          <rPr>
            <b/>
            <sz val="9"/>
            <color indexed="81"/>
            <rFont val="Arial"/>
            <family val="2"/>
          </rPr>
          <t xml:space="preserve">Output Charge (COSS):
</t>
        </r>
        <r>
          <rPr>
            <sz val="9"/>
            <color indexed="81"/>
            <rFont val="Arial"/>
            <family val="2"/>
          </rPr>
          <t xml:space="preserve">Enter the high-side MOSFET output capacitance at typicalinput voltagehere. </t>
        </r>
        <r>
          <rPr>
            <b/>
            <sz val="10"/>
            <color indexed="81"/>
            <rFont val="Tahoma"/>
            <family val="2"/>
          </rPr>
          <t xml:space="preserve">
</t>
        </r>
      </text>
    </comment>
    <comment ref="F130" authorId="2" shapeId="0" xr:uid="{61A7BC07-A543-450C-8C5E-D718BB56AB86}">
      <text>
        <r>
          <rPr>
            <b/>
            <sz val="9"/>
            <color indexed="81"/>
            <rFont val="Arial"/>
            <family val="2"/>
          </rPr>
          <t>Gate Resistance (R</t>
        </r>
        <r>
          <rPr>
            <b/>
            <vertAlign val="subscript"/>
            <sz val="9"/>
            <color indexed="81"/>
            <rFont val="Arial"/>
            <family val="2"/>
          </rPr>
          <t>G</t>
        </r>
        <r>
          <rPr>
            <b/>
            <sz val="9"/>
            <color indexed="81"/>
            <rFont val="Arial"/>
            <family val="2"/>
          </rPr>
          <t>):</t>
        </r>
        <r>
          <rPr>
            <sz val="9"/>
            <color indexed="81"/>
            <rFont val="Arial"/>
            <family val="2"/>
          </rPr>
          <t xml:space="preserve">
Enter the high-side MOSFET gate resistance here. Enter 1Ω as a default</t>
        </r>
      </text>
    </comment>
    <comment ref="G130" authorId="2" shapeId="0" xr:uid="{3A29F377-10AB-47AF-A140-077E3AEA06B4}">
      <text>
        <r>
          <rPr>
            <b/>
            <sz val="9"/>
            <color indexed="81"/>
            <rFont val="Arial"/>
            <family val="2"/>
          </rPr>
          <t>Gate Resistance (R</t>
        </r>
        <r>
          <rPr>
            <b/>
            <vertAlign val="subscript"/>
            <sz val="9"/>
            <color indexed="81"/>
            <rFont val="Arial"/>
            <family val="2"/>
          </rPr>
          <t>G</t>
        </r>
        <r>
          <rPr>
            <b/>
            <sz val="9"/>
            <color indexed="81"/>
            <rFont val="Arial"/>
            <family val="2"/>
          </rPr>
          <t>):</t>
        </r>
        <r>
          <rPr>
            <sz val="9"/>
            <color indexed="81"/>
            <rFont val="Arial"/>
            <family val="2"/>
          </rPr>
          <t xml:space="preserve">
Enter the low-side MOSFET gate resistance here. Enter 1Ω as a default</t>
        </r>
      </text>
    </comment>
    <comment ref="F131" authorId="2" shapeId="0" xr:uid="{D5518F03-6895-440C-929B-2BA6865B8F85}">
      <text>
        <r>
          <rPr>
            <b/>
            <sz val="9"/>
            <color indexed="81"/>
            <rFont val="Arial"/>
            <family val="2"/>
          </rPr>
          <t>Forward Transconductance (g</t>
        </r>
        <r>
          <rPr>
            <b/>
            <vertAlign val="subscript"/>
            <sz val="9"/>
            <color indexed="81"/>
            <rFont val="Arial"/>
            <family val="2"/>
          </rPr>
          <t>FS</t>
        </r>
        <r>
          <rPr>
            <b/>
            <sz val="9"/>
            <color indexed="81"/>
            <rFont val="Arial"/>
            <family val="2"/>
          </rPr>
          <t xml:space="preserve">):
</t>
        </r>
        <r>
          <rPr>
            <sz val="9"/>
            <color indexed="81"/>
            <rFont val="Arial"/>
            <family val="2"/>
          </rPr>
          <t>Enter the forward transconductance rating of the high-side MOSFET here.</t>
        </r>
      </text>
    </comment>
    <comment ref="G131" authorId="2" shapeId="0" xr:uid="{B706A837-BE60-4C9C-8127-6A0F94BD45A3}">
      <text>
        <r>
          <rPr>
            <b/>
            <sz val="9"/>
            <color indexed="81"/>
            <rFont val="Arial"/>
            <family val="2"/>
          </rPr>
          <t>Forward Transconductance (g</t>
        </r>
        <r>
          <rPr>
            <b/>
            <vertAlign val="subscript"/>
            <sz val="9"/>
            <color indexed="81"/>
            <rFont val="Arial"/>
            <family val="2"/>
          </rPr>
          <t>FS</t>
        </r>
        <r>
          <rPr>
            <b/>
            <sz val="9"/>
            <color indexed="81"/>
            <rFont val="Arial"/>
            <family val="2"/>
          </rPr>
          <t xml:space="preserve">):
</t>
        </r>
        <r>
          <rPr>
            <sz val="9"/>
            <color indexed="81"/>
            <rFont val="Arial"/>
            <family val="2"/>
          </rPr>
          <t>Enter the forward transconductance rating of the low-side MOSFET here.</t>
        </r>
      </text>
    </comment>
    <comment ref="F132" authorId="2" shapeId="0" xr:uid="{F1D91693-B68F-4B7F-8AE5-25283EB5037D}">
      <text>
        <r>
          <rPr>
            <b/>
            <sz val="9"/>
            <color indexed="81"/>
            <rFont val="Arial"/>
            <family val="2"/>
          </rPr>
          <t>Gate to Source Threshold Voltage (V</t>
        </r>
        <r>
          <rPr>
            <b/>
            <vertAlign val="subscript"/>
            <sz val="9"/>
            <color indexed="81"/>
            <rFont val="Arial"/>
            <family val="2"/>
          </rPr>
          <t>GS(TH)</t>
        </r>
        <r>
          <rPr>
            <b/>
            <sz val="9"/>
            <color indexed="81"/>
            <rFont val="Arial"/>
            <family val="2"/>
          </rPr>
          <t xml:space="preserve">):
</t>
        </r>
        <r>
          <rPr>
            <sz val="9"/>
            <color indexed="81"/>
            <rFont val="Arial"/>
            <family val="2"/>
          </rPr>
          <t>Enter the MOSFET gate-source threshold voltage at rated current here. This can be taken as the plateau voltage in the V</t>
        </r>
        <r>
          <rPr>
            <vertAlign val="subscript"/>
            <sz val="9"/>
            <color indexed="81"/>
            <rFont val="Arial"/>
            <family val="2"/>
          </rPr>
          <t>GS</t>
        </r>
        <r>
          <rPr>
            <sz val="9"/>
            <color indexed="81"/>
            <rFont val="Arial"/>
            <family val="2"/>
          </rPr>
          <t>-Q</t>
        </r>
        <r>
          <rPr>
            <vertAlign val="subscript"/>
            <sz val="9"/>
            <color indexed="81"/>
            <rFont val="Arial"/>
            <family val="2"/>
          </rPr>
          <t>G</t>
        </r>
        <r>
          <rPr>
            <sz val="9"/>
            <color indexed="81"/>
            <rFont val="Arial"/>
            <family val="2"/>
          </rPr>
          <t xml:space="preserve"> curve in the MOSFET datasheet.</t>
        </r>
        <r>
          <rPr>
            <sz val="10"/>
            <color indexed="81"/>
            <rFont val="Tahoma"/>
            <family val="2"/>
          </rPr>
          <t xml:space="preserve">
</t>
        </r>
      </text>
    </comment>
    <comment ref="G132" authorId="2" shapeId="0" xr:uid="{FE33BF1E-A7F3-4DE0-BE4F-8BEA765D359A}">
      <text>
        <r>
          <rPr>
            <b/>
            <sz val="9"/>
            <color indexed="81"/>
            <rFont val="Arial"/>
            <family val="2"/>
          </rPr>
          <t>Gate to Source Threshold Voltage (V</t>
        </r>
        <r>
          <rPr>
            <b/>
            <vertAlign val="subscript"/>
            <sz val="9"/>
            <color indexed="81"/>
            <rFont val="Arial"/>
            <family val="2"/>
          </rPr>
          <t>GS(TH)</t>
        </r>
        <r>
          <rPr>
            <b/>
            <sz val="9"/>
            <color indexed="81"/>
            <rFont val="Arial"/>
            <family val="2"/>
          </rPr>
          <t xml:space="preserve">):
</t>
        </r>
        <r>
          <rPr>
            <sz val="9"/>
            <color indexed="81"/>
            <rFont val="Arial"/>
            <family val="2"/>
          </rPr>
          <t>Enter the MOSFET gate-source threshold voltage at rated current here. This can be taken as the plateau voltage in the V</t>
        </r>
        <r>
          <rPr>
            <vertAlign val="subscript"/>
            <sz val="9"/>
            <color indexed="81"/>
            <rFont val="Arial"/>
            <family val="2"/>
          </rPr>
          <t>GS</t>
        </r>
        <r>
          <rPr>
            <sz val="9"/>
            <color indexed="81"/>
            <rFont val="Arial"/>
            <family val="2"/>
          </rPr>
          <t>-Q</t>
        </r>
        <r>
          <rPr>
            <vertAlign val="subscript"/>
            <sz val="9"/>
            <color indexed="81"/>
            <rFont val="Arial"/>
            <family val="2"/>
          </rPr>
          <t>G</t>
        </r>
        <r>
          <rPr>
            <sz val="9"/>
            <color indexed="81"/>
            <rFont val="Arial"/>
            <family val="2"/>
          </rPr>
          <t xml:space="preserve"> curve in the MOSFET datasheet.</t>
        </r>
        <r>
          <rPr>
            <sz val="10"/>
            <color indexed="81"/>
            <rFont val="Tahoma"/>
            <family val="2"/>
          </rPr>
          <t xml:space="preserve">
</t>
        </r>
      </text>
    </comment>
    <comment ref="F133" authorId="2" shapeId="0" xr:uid="{1E7CFE2C-A9A0-4CA4-91F4-A83537F48EEE}">
      <text>
        <r>
          <rPr>
            <b/>
            <sz val="9"/>
            <color indexed="81"/>
            <rFont val="Arial"/>
            <family val="2"/>
          </rPr>
          <t>Body Diode Forward Voltage (V</t>
        </r>
        <r>
          <rPr>
            <b/>
            <vertAlign val="subscript"/>
            <sz val="9"/>
            <color indexed="81"/>
            <rFont val="Arial"/>
            <family val="2"/>
          </rPr>
          <t>bd1</t>
        </r>
        <r>
          <rPr>
            <b/>
            <sz val="9"/>
            <color indexed="81"/>
            <rFont val="Arial"/>
            <family val="2"/>
          </rPr>
          <t xml:space="preserve">):
</t>
        </r>
        <r>
          <rPr>
            <sz val="9"/>
            <color indexed="81"/>
            <rFont val="Arial"/>
            <family val="2"/>
          </rPr>
          <t>A MOSFET has an inherent reverse body diode, and the voltage drop usually is specified at a rated current. The high-side MOSFET body diode contributes power loss during negative current events.</t>
        </r>
      </text>
    </comment>
    <comment ref="G133" authorId="2" shapeId="0" xr:uid="{09EA91B8-1FD4-4BFB-863A-F58C407AF485}">
      <text>
        <r>
          <rPr>
            <b/>
            <sz val="9"/>
            <color indexed="81"/>
            <rFont val="Arial"/>
            <family val="2"/>
          </rPr>
          <t>Body Diode Forward Voltage (V</t>
        </r>
        <r>
          <rPr>
            <b/>
            <vertAlign val="subscript"/>
            <sz val="9"/>
            <color indexed="81"/>
            <rFont val="Arial"/>
            <family val="2"/>
          </rPr>
          <t>bd1</t>
        </r>
        <r>
          <rPr>
            <b/>
            <sz val="9"/>
            <color indexed="81"/>
            <rFont val="Arial"/>
            <family val="2"/>
          </rPr>
          <t xml:space="preserve">):
</t>
        </r>
        <r>
          <rPr>
            <sz val="9"/>
            <color indexed="81"/>
            <rFont val="Arial"/>
            <family val="2"/>
          </rPr>
          <t>A MOSFET has an inherent reverse body diode, and the voltage drop usually is specified at a rated current. The low-side MOSFET body diode contributes power loss related to both conduction and reverse recovery losses.</t>
        </r>
      </text>
    </comment>
    <comment ref="G134" authorId="2" shapeId="0" xr:uid="{A430B0C8-5223-42D7-A806-80D4E76142D4}">
      <text>
        <r>
          <rPr>
            <b/>
            <sz val="9"/>
            <color indexed="81"/>
            <rFont val="Arial"/>
            <family val="2"/>
          </rPr>
          <t>Body Diode Recovery Charge (Q</t>
        </r>
        <r>
          <rPr>
            <b/>
            <vertAlign val="subscript"/>
            <sz val="9"/>
            <color indexed="81"/>
            <rFont val="Arial"/>
            <family val="2"/>
          </rPr>
          <t>RR</t>
        </r>
        <r>
          <rPr>
            <b/>
            <sz val="9"/>
            <color indexed="81"/>
            <rFont val="Arial"/>
            <family val="2"/>
          </rPr>
          <t xml:space="preserve">):
</t>
        </r>
        <r>
          <rPr>
            <sz val="9"/>
            <color indexed="81"/>
            <rFont val="Arial"/>
            <family val="2"/>
          </rPr>
          <t xml:space="preserve">Enter the reverse recovery charge of the low-side MOSFET body diode here. </t>
        </r>
      </text>
    </comment>
    <comment ref="F135" authorId="2" shapeId="0" xr:uid="{2F3CA1DF-4948-4FDA-A9F6-9F52FD21F9EE}">
      <text>
        <r>
          <rPr>
            <b/>
            <sz val="9"/>
            <color indexed="81"/>
            <rFont val="Arial"/>
            <family val="2"/>
          </rPr>
          <t>θ</t>
        </r>
        <r>
          <rPr>
            <b/>
            <vertAlign val="subscript"/>
            <sz val="9"/>
            <color indexed="81"/>
            <rFont val="Arial"/>
            <family val="2"/>
          </rPr>
          <t>JA</t>
        </r>
        <r>
          <rPr>
            <b/>
            <sz val="9"/>
            <color indexed="81"/>
            <rFont val="Arial"/>
            <family val="2"/>
          </rPr>
          <t xml:space="preserve">:
</t>
        </r>
        <r>
          <rPr>
            <sz val="9"/>
            <color indexed="81"/>
            <rFont val="Arial"/>
            <family val="2"/>
          </rPr>
          <t>θ</t>
        </r>
        <r>
          <rPr>
            <vertAlign val="subscript"/>
            <sz val="9"/>
            <color indexed="81"/>
            <rFont val="Arial"/>
            <family val="2"/>
          </rPr>
          <t>JA</t>
        </r>
        <r>
          <rPr>
            <sz val="9"/>
            <color indexed="81"/>
            <rFont val="Arial"/>
            <family val="2"/>
          </rPr>
          <t xml:space="preserve"> is the junction-to-ambient thermal resistance of the MOSFET. Higher θ</t>
        </r>
        <r>
          <rPr>
            <vertAlign val="subscript"/>
            <sz val="9"/>
            <color indexed="81"/>
            <rFont val="Arial"/>
            <family val="2"/>
          </rPr>
          <t>JA</t>
        </r>
        <r>
          <rPr>
            <sz val="9"/>
            <color indexed="81"/>
            <rFont val="Arial"/>
            <family val="2"/>
          </rPr>
          <t xml:space="preserve"> will lead to higher power loss and reduced efficiency. High current designs demand low θ</t>
        </r>
        <r>
          <rPr>
            <vertAlign val="subscript"/>
            <sz val="9"/>
            <color indexed="81"/>
            <rFont val="Arial"/>
            <family val="2"/>
          </rPr>
          <t>JA</t>
        </r>
        <r>
          <rPr>
            <sz val="9"/>
            <color indexed="81"/>
            <rFont val="Arial"/>
            <family val="2"/>
          </rPr>
          <t xml:space="preserve"> rating to help maintain low MOSFET operating junction temperature. What's imperative here is consciencious PCB design and layout to maximize heat removal from the MOSFET.</t>
        </r>
      </text>
    </comment>
    <comment ref="G135" authorId="2" shapeId="0" xr:uid="{60821B60-A875-48FF-B173-1ECA6E475D9E}">
      <text>
        <r>
          <rPr>
            <b/>
            <sz val="9"/>
            <color indexed="81"/>
            <rFont val="Arial"/>
            <family val="2"/>
          </rPr>
          <t>θ</t>
        </r>
        <r>
          <rPr>
            <b/>
            <vertAlign val="subscript"/>
            <sz val="9"/>
            <color indexed="81"/>
            <rFont val="Arial"/>
            <family val="2"/>
          </rPr>
          <t>JA</t>
        </r>
        <r>
          <rPr>
            <b/>
            <sz val="9"/>
            <color indexed="81"/>
            <rFont val="Arial"/>
            <family val="2"/>
          </rPr>
          <t xml:space="preserve">:
</t>
        </r>
        <r>
          <rPr>
            <sz val="9"/>
            <color indexed="81"/>
            <rFont val="Arial"/>
            <family val="2"/>
          </rPr>
          <t>θ</t>
        </r>
        <r>
          <rPr>
            <vertAlign val="subscript"/>
            <sz val="9"/>
            <color indexed="81"/>
            <rFont val="Arial"/>
            <family val="2"/>
          </rPr>
          <t>JA</t>
        </r>
        <r>
          <rPr>
            <sz val="9"/>
            <color indexed="81"/>
            <rFont val="Arial"/>
            <family val="2"/>
          </rPr>
          <t xml:space="preserve"> is the junction-to-ambient thermal resistance of the MOSFET. Higher θ</t>
        </r>
        <r>
          <rPr>
            <vertAlign val="subscript"/>
            <sz val="9"/>
            <color indexed="81"/>
            <rFont val="Arial"/>
            <family val="2"/>
          </rPr>
          <t>JA</t>
        </r>
        <r>
          <rPr>
            <sz val="9"/>
            <color indexed="81"/>
            <rFont val="Arial"/>
            <family val="2"/>
          </rPr>
          <t xml:space="preserve"> will lead to higher power loss and reduced efficiency. High current designs demand low θ</t>
        </r>
        <r>
          <rPr>
            <vertAlign val="subscript"/>
            <sz val="9"/>
            <color indexed="81"/>
            <rFont val="Arial"/>
            <family val="2"/>
          </rPr>
          <t>JA</t>
        </r>
        <r>
          <rPr>
            <sz val="9"/>
            <color indexed="81"/>
            <rFont val="Arial"/>
            <family val="2"/>
          </rPr>
          <t xml:space="preserve"> rating to help maintain low MOSFET operating junction temperature. What's imperative here is consciencious PCB design and layout to maximize heat removal from the MOSFET.</t>
        </r>
      </text>
    </comment>
    <comment ref="G137" authorId="3" shapeId="0" xr:uid="{DF7990D1-B384-4EF4-B3F2-4CACB3919AE5}">
      <text>
        <r>
          <rPr>
            <b/>
            <sz val="9"/>
            <color indexed="81"/>
            <rFont val="Arial"/>
            <family val="2"/>
          </rPr>
          <t xml:space="preserve">Schottky Diode Forward Voltage:
</t>
        </r>
        <r>
          <rPr>
            <sz val="9"/>
            <color indexed="81"/>
            <rFont val="Arial"/>
            <family val="2"/>
          </rPr>
          <t>If an antiparallel Schottky diode is used across the low-side FET, enter the forward voltage at the rated current here. If a Schottky diode is not used, enter "0" into this cell.</t>
        </r>
        <r>
          <rPr>
            <sz val="9"/>
            <color indexed="81"/>
            <rFont val="Tahoma"/>
            <family val="2"/>
          </rPr>
          <t xml:space="preserve">
</t>
        </r>
      </text>
    </comment>
    <comment ref="G138" authorId="3" shapeId="0" xr:uid="{CF33569B-DA2C-46A5-9750-6674432585AF}">
      <text>
        <r>
          <rPr>
            <b/>
            <sz val="9"/>
            <color indexed="81"/>
            <rFont val="Arial"/>
            <family val="2"/>
          </rPr>
          <t>Schottky Diode Reverse Recovery Charge:</t>
        </r>
        <r>
          <rPr>
            <sz val="9"/>
            <color indexed="81"/>
            <rFont val="Arial"/>
            <family val="2"/>
          </rPr>
          <t xml:space="preserve">
Enter the diode reverse recovery charge here.
If a Schottky diode is not used, enter "0" into this cell.</t>
        </r>
      </text>
    </comment>
    <comment ref="H142" authorId="1" shapeId="0" xr:uid="{C15399B3-D957-4CBB-A856-D107A5E83BBE}">
      <text>
        <r>
          <rPr>
            <b/>
            <u/>
            <sz val="9"/>
            <color indexed="81"/>
            <rFont val="Arial"/>
            <family val="2"/>
          </rPr>
          <t>External BIAS Supply</t>
        </r>
        <r>
          <rPr>
            <b/>
            <sz val="9"/>
            <color indexed="81"/>
            <rFont val="Arial"/>
            <family val="2"/>
          </rPr>
          <t xml:space="preserve">
</t>
        </r>
        <r>
          <rPr>
            <sz val="9"/>
            <color indexed="81"/>
            <rFont val="Arial"/>
            <family val="2"/>
          </rPr>
          <t xml:space="preserve">The VCC regulator is a dual-input regulator. A lower voltage supply such as the converter output or other external power supply can be connected to BIAS in order to reduce the IC power loss. The IC power loss is estimated assuming the BIAS pin is connected to the converter output. </t>
        </r>
      </text>
    </comment>
    <comment ref="H144" authorId="3" shapeId="0" xr:uid="{DBB3D4AA-805B-4DC8-BF92-81B027DA67A3}">
      <text>
        <r>
          <rPr>
            <b/>
            <u/>
            <sz val="9"/>
            <color indexed="81"/>
            <rFont val="Arial"/>
            <family val="2"/>
          </rPr>
          <t>IC Power Loss</t>
        </r>
        <r>
          <rPr>
            <sz val="9"/>
            <color indexed="81"/>
            <rFont val="Arial"/>
            <family val="2"/>
          </rPr>
          <t xml:space="preserve">
IC power loss estimate based on the typical  input voltage. </t>
        </r>
      </text>
    </comment>
    <comment ref="H145" authorId="1" shapeId="0" xr:uid="{2F0F0D5E-1295-4876-B5C1-769D45432F17}">
      <text>
        <r>
          <rPr>
            <b/>
            <u/>
            <sz val="9"/>
            <color indexed="81"/>
            <rFont val="Arial"/>
            <family val="2"/>
          </rPr>
          <t>Estimated juction temperature</t>
        </r>
        <r>
          <rPr>
            <b/>
            <sz val="9"/>
            <color indexed="81"/>
            <rFont val="Arial"/>
            <family val="2"/>
          </rPr>
          <t xml:space="preserve">
</t>
        </r>
        <r>
          <rPr>
            <sz val="9"/>
            <color indexed="81"/>
            <rFont val="Arial"/>
            <family val="2"/>
          </rPr>
          <t xml:space="preserve">Consider +/-10% estimation error including a part-to-part variation. 
Users must evaluate the device temperature at the worst case conditions with enclosures (if any).
</t>
        </r>
      </text>
    </comment>
    <comment ref="H146" authorId="1" shapeId="0" xr:uid="{CB7C7420-D307-4EAC-A784-A49246057D4F}">
      <text>
        <r>
          <rPr>
            <b/>
            <u/>
            <sz val="9"/>
            <color indexed="81"/>
            <rFont val="Arial"/>
            <family val="2"/>
          </rPr>
          <t xml:space="preserve">MOSFET driving current
</t>
        </r>
        <r>
          <rPr>
            <sz val="9"/>
            <color indexed="81"/>
            <rFont val="Arial"/>
            <family val="2"/>
          </rPr>
          <t xml:space="preserve">VCC regulator supplies the driving current for both HS and LS MOSFETs. The converter might fail start up if the driving current is greater than the VCC current limit. The text in the cell is flagged ORANGE if the driving current is greatare than 130mA.   </t>
        </r>
      </text>
    </comment>
    <comment ref="D148" authorId="1" shapeId="0" xr:uid="{A2012892-1EF9-42AD-9004-5DDBF9C7A37B}">
      <text>
        <r>
          <rPr>
            <b/>
            <sz val="9"/>
            <color indexed="81"/>
            <rFont val="Tahoma"/>
            <family val="2"/>
          </rPr>
          <t>Power Supply Recommendation:</t>
        </r>
        <r>
          <rPr>
            <sz val="9"/>
            <color indexed="81"/>
            <rFont val="Tahoma"/>
            <family val="2"/>
          </rPr>
          <t xml:space="preserve">
If the regulator is connected to an input supply through long wires or PCB traces with a large impedance, take special care to achieve stable performance. The parasitic inductance and resistance of the input cables can have an adverse affect on converter operation. The parasitic inductance in combination with the low-ESR ceramic input capacitors form an underdamped resonant circuit. This circuit can cause overvoltage transients at VIN each time the input supply is cycled ON and OFF. The parasitic resistance causes the input voltage to dip during a load transient. The best way to solve such issues is to reduce the distance from the input supply
to the regulator and use an aluminum or tantalum input capacitor in parallel with the ceramics. The moderate ESR of the electrolytic capacitors helps damp the input resonant circuit and reduce any voltage overshoots.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Lee, Eric</author>
  </authors>
  <commentList>
    <comment ref="B221" authorId="0" shapeId="0" xr:uid="{7099C626-8833-4432-854A-F26F04E99794}">
      <text>
        <r>
          <rPr>
            <b/>
            <sz val="9"/>
            <color indexed="81"/>
            <rFont val="Tahoma"/>
            <family val="2"/>
          </rPr>
          <t>Lee, Eric:</t>
        </r>
        <r>
          <rPr>
            <sz val="9"/>
            <color indexed="81"/>
            <rFont val="Tahoma"/>
            <family val="2"/>
          </rPr>
          <t xml:space="preserve">
Unexpected VCC regulator wake-up delay is 10us
Cvcc should be enough big to not trigger VCC_UVLO during 10us</t>
        </r>
      </text>
    </comment>
  </commentList>
</comments>
</file>

<file path=xl/sharedStrings.xml><?xml version="1.0" encoding="utf-8"?>
<sst xmlns="http://schemas.openxmlformats.org/spreadsheetml/2006/main" count="691" uniqueCount="548">
  <si>
    <t>Step 1: Operating Specifications</t>
  </si>
  <si>
    <r>
      <t>Input Voltage – Typ, V</t>
    </r>
    <r>
      <rPr>
        <b/>
        <vertAlign val="subscript"/>
        <sz val="10"/>
        <color theme="1"/>
        <rFont val="Arial"/>
        <family val="2"/>
      </rPr>
      <t>SUPPLY(typ)</t>
    </r>
  </si>
  <si>
    <r>
      <t>Input Voltage – Max, V</t>
    </r>
    <r>
      <rPr>
        <b/>
        <vertAlign val="subscript"/>
        <sz val="10"/>
        <color theme="1"/>
        <rFont val="Arial"/>
        <family val="2"/>
      </rPr>
      <t>SUPPLY(max)</t>
    </r>
  </si>
  <si>
    <r>
      <t>Switching Frequency, f</t>
    </r>
    <r>
      <rPr>
        <b/>
        <vertAlign val="subscript"/>
        <sz val="10"/>
        <color theme="1"/>
        <rFont val="Arial"/>
        <family val="2"/>
      </rPr>
      <t>SW</t>
    </r>
  </si>
  <si>
    <r>
      <t>Frequency Set Resistor, R</t>
    </r>
    <r>
      <rPr>
        <vertAlign val="subscript"/>
        <sz val="10"/>
        <color theme="1"/>
        <rFont val="Arial"/>
        <family val="2"/>
      </rPr>
      <t>RT</t>
    </r>
    <r>
      <rPr>
        <sz val="10"/>
        <color theme="1"/>
        <rFont val="Arial"/>
        <family val="2"/>
      </rPr>
      <t xml:space="preserve"> </t>
    </r>
  </si>
  <si>
    <t>Switching Mode</t>
  </si>
  <si>
    <t>V</t>
  </si>
  <si>
    <t>A</t>
  </si>
  <si>
    <t>kHz</t>
  </si>
  <si>
    <t>kΩ</t>
  </si>
  <si>
    <t>About</t>
  </si>
  <si>
    <t>xx</t>
  </si>
  <si>
    <t>= Input Box</t>
  </si>
  <si>
    <t>TERMS OF USE</t>
  </si>
  <si>
    <r>
      <t>Input Voltage – Min, V</t>
    </r>
    <r>
      <rPr>
        <b/>
        <vertAlign val="subscript"/>
        <sz val="10"/>
        <color theme="1"/>
        <rFont val="Arial"/>
        <family val="2"/>
      </rPr>
      <t xml:space="preserve">SUPPLY(min) </t>
    </r>
  </si>
  <si>
    <r>
      <t>Regulation Target in CV, V</t>
    </r>
    <r>
      <rPr>
        <b/>
        <vertAlign val="subscript"/>
        <sz val="10"/>
        <color theme="1"/>
        <rFont val="Arial"/>
        <family val="2"/>
      </rPr>
      <t xml:space="preserve">LOAD </t>
    </r>
  </si>
  <si>
    <t>FPWM</t>
  </si>
  <si>
    <t>Device P/N</t>
  </si>
  <si>
    <t>mΩ</t>
  </si>
  <si>
    <t>Step 2: Current Sense Resistor</t>
  </si>
  <si>
    <t>Step 3: Buck Inductor</t>
  </si>
  <si>
    <t>µH</t>
  </si>
  <si>
    <t>Minimum Inductance</t>
  </si>
  <si>
    <t>Apk</t>
  </si>
  <si>
    <t>W</t>
  </si>
  <si>
    <r>
      <t xml:space="preserve"> Selected Buck Inductance, L</t>
    </r>
    <r>
      <rPr>
        <b/>
        <vertAlign val="subscript"/>
        <sz val="10"/>
        <color theme="1"/>
        <rFont val="Arial"/>
        <family val="2"/>
      </rPr>
      <t>OUT</t>
    </r>
  </si>
  <si>
    <r>
      <t>Selected Sense Resistance, R</t>
    </r>
    <r>
      <rPr>
        <b/>
        <vertAlign val="subscript"/>
        <sz val="10"/>
        <color theme="1"/>
        <rFont val="Arial"/>
        <family val="2"/>
      </rPr>
      <t>S</t>
    </r>
  </si>
  <si>
    <r>
      <t>Power Loss at C/L, P</t>
    </r>
    <r>
      <rPr>
        <vertAlign val="subscript"/>
        <sz val="10"/>
        <color theme="1"/>
        <rFont val="Arial"/>
        <family val="2"/>
      </rPr>
      <t>RS</t>
    </r>
  </si>
  <si>
    <r>
      <t>Estimated Inductor Core Loss at V</t>
    </r>
    <r>
      <rPr>
        <b/>
        <vertAlign val="subscript"/>
        <sz val="10"/>
        <color theme="1"/>
        <rFont val="Arial"/>
        <family val="2"/>
      </rPr>
      <t>SUPPLY(typ)</t>
    </r>
  </si>
  <si>
    <r>
      <t>Dropout Mode Operation at V</t>
    </r>
    <r>
      <rPr>
        <vertAlign val="subscript"/>
        <sz val="10"/>
        <color theme="1"/>
        <rFont val="Arial"/>
        <family val="2"/>
      </rPr>
      <t>SUPPLY(min)</t>
    </r>
  </si>
  <si>
    <t>Recommended Maximum Sense Resistance</t>
  </si>
  <si>
    <t xml:space="preserve">Step 5: Enable, UVLO </t>
  </si>
  <si>
    <r>
      <t>VCC Capacitor, C</t>
    </r>
    <r>
      <rPr>
        <vertAlign val="subscript"/>
        <sz val="10"/>
        <color theme="1"/>
        <rFont val="Arial"/>
        <family val="2"/>
      </rPr>
      <t>VCC</t>
    </r>
  </si>
  <si>
    <t>µF</t>
  </si>
  <si>
    <t>nF</t>
  </si>
  <si>
    <r>
      <t>Boot Capacitor, C</t>
    </r>
    <r>
      <rPr>
        <vertAlign val="subscript"/>
        <sz val="10"/>
        <color theme="1"/>
        <rFont val="Arial"/>
        <family val="2"/>
      </rPr>
      <t>BOOT</t>
    </r>
  </si>
  <si>
    <r>
      <t>VIN pin Capacitor, C</t>
    </r>
    <r>
      <rPr>
        <vertAlign val="subscript"/>
        <sz val="10"/>
        <color theme="1"/>
        <rFont val="Arial"/>
        <family val="2"/>
      </rPr>
      <t>VIN</t>
    </r>
  </si>
  <si>
    <t>ms</t>
  </si>
  <si>
    <t>Step 6: Output Capacitors</t>
  </si>
  <si>
    <t>%</t>
  </si>
  <si>
    <t xml:space="preserve">Minimum Derated Output Capacitance </t>
  </si>
  <si>
    <t>mVpk-pk</t>
  </si>
  <si>
    <t>Derating Factor (Bulk/SuperCap)</t>
  </si>
  <si>
    <t>Derated Output Capacitance (Bulk/SuperCap)</t>
  </si>
  <si>
    <t>Derating Factor (Ceramic Capacitor)</t>
  </si>
  <si>
    <t>Derated Output Capacitance (Ceramic Capacitor)</t>
  </si>
  <si>
    <t>Derated Output Capacitance (Total)</t>
  </si>
  <si>
    <t>pF</t>
  </si>
  <si>
    <r>
      <t>Lower Standard Feedback Resistance, R</t>
    </r>
    <r>
      <rPr>
        <vertAlign val="subscript"/>
        <sz val="10"/>
        <rFont val="Arial"/>
        <family val="2"/>
      </rPr>
      <t>FBB</t>
    </r>
  </si>
  <si>
    <t>Step 7: Feedback Resistors (CV mode)</t>
  </si>
  <si>
    <t>Step 8:  Loop Compensation Design (CV mode)</t>
  </si>
  <si>
    <t>Step 10:  Loop Compensation Design (CC mode)</t>
  </si>
  <si>
    <t>Step 9: ISET Components (CC mode)</t>
  </si>
  <si>
    <t>Step 11: Efficiency</t>
  </si>
  <si>
    <t>Step 12: IC Power Loss</t>
  </si>
  <si>
    <t>Step 13: Input Capacitors</t>
  </si>
  <si>
    <t>Desired Compensation Zero Frequency</t>
  </si>
  <si>
    <t>Desired Compensation Pole Frequency</t>
  </si>
  <si>
    <r>
      <t>Inductor DCR at 25°C, R</t>
    </r>
    <r>
      <rPr>
        <b/>
        <vertAlign val="subscript"/>
        <sz val="10"/>
        <color theme="1"/>
        <rFont val="Arial"/>
        <family val="2"/>
      </rPr>
      <t>DCR</t>
    </r>
  </si>
  <si>
    <r>
      <t>Upper Enable Resistor for UVLO, R</t>
    </r>
    <r>
      <rPr>
        <b/>
        <vertAlign val="subscript"/>
        <sz val="10"/>
        <color theme="1"/>
        <rFont val="Arial"/>
        <family val="2"/>
      </rPr>
      <t>ENT</t>
    </r>
  </si>
  <si>
    <r>
      <t>Lower Enable Resistor for UVLO, R</t>
    </r>
    <r>
      <rPr>
        <vertAlign val="subscript"/>
        <sz val="10"/>
        <color theme="1"/>
        <rFont val="Arial"/>
        <family val="2"/>
      </rPr>
      <t>ENB</t>
    </r>
  </si>
  <si>
    <r>
      <t xml:space="preserve">  Rated Output Capacitance (Bulk/SuperCap), C</t>
    </r>
    <r>
      <rPr>
        <b/>
        <vertAlign val="subscript"/>
        <sz val="10"/>
        <rFont val="Arial"/>
        <family val="2"/>
      </rPr>
      <t>OUTB</t>
    </r>
  </si>
  <si>
    <r>
      <t>Effective Capacitor ESR (Bulk/SuperCap), R</t>
    </r>
    <r>
      <rPr>
        <b/>
        <vertAlign val="subscript"/>
        <sz val="10"/>
        <rFont val="Arial"/>
        <family val="2"/>
      </rPr>
      <t>ESRB</t>
    </r>
  </si>
  <si>
    <r>
      <t>Effective Capacitor ESR (Ceramic Capacitor), R</t>
    </r>
    <r>
      <rPr>
        <b/>
        <vertAlign val="subscript"/>
        <sz val="10"/>
        <rFont val="Arial"/>
        <family val="2"/>
      </rPr>
      <t>ESRHF</t>
    </r>
  </si>
  <si>
    <r>
      <t>Load Pole Frequency, f</t>
    </r>
    <r>
      <rPr>
        <vertAlign val="subscript"/>
        <sz val="10"/>
        <rFont val="Arial"/>
        <family val="2"/>
      </rPr>
      <t>LP</t>
    </r>
  </si>
  <si>
    <r>
      <t>ESR Zero Frequency, f</t>
    </r>
    <r>
      <rPr>
        <vertAlign val="subscript"/>
        <sz val="10"/>
        <rFont val="Arial"/>
        <family val="2"/>
      </rPr>
      <t>ESRZ</t>
    </r>
  </si>
  <si>
    <r>
      <t xml:space="preserve"> Selected Compensation Zero Frequency, f</t>
    </r>
    <r>
      <rPr>
        <vertAlign val="subscript"/>
        <sz val="10"/>
        <rFont val="Arial"/>
        <family val="2"/>
      </rPr>
      <t>COMPZ</t>
    </r>
  </si>
  <si>
    <r>
      <t>Selected C</t>
    </r>
    <r>
      <rPr>
        <vertAlign val="subscript"/>
        <sz val="10"/>
        <rFont val="Arial"/>
        <family val="2"/>
      </rPr>
      <t>FF</t>
    </r>
    <r>
      <rPr>
        <sz val="10"/>
        <rFont val="Arial"/>
        <family val="2"/>
      </rPr>
      <t xml:space="preserve"> Zero Frequency, f</t>
    </r>
    <r>
      <rPr>
        <vertAlign val="subscript"/>
        <sz val="10"/>
        <rFont val="Arial"/>
        <family val="2"/>
      </rPr>
      <t>CFFZ</t>
    </r>
  </si>
  <si>
    <r>
      <t>Selected Compensation Pole Frequency,  f</t>
    </r>
    <r>
      <rPr>
        <vertAlign val="subscript"/>
        <sz val="10"/>
        <rFont val="Arial"/>
        <family val="2"/>
      </rPr>
      <t>COMPP</t>
    </r>
  </si>
  <si>
    <r>
      <t>Desired Maximum R</t>
    </r>
    <r>
      <rPr>
        <vertAlign val="subscript"/>
        <sz val="10"/>
        <rFont val="Arial"/>
        <family val="2"/>
      </rPr>
      <t>COMP</t>
    </r>
  </si>
  <si>
    <r>
      <t>Desired Minimum C</t>
    </r>
    <r>
      <rPr>
        <vertAlign val="subscript"/>
        <sz val="10"/>
        <rFont val="Arial"/>
        <family val="2"/>
      </rPr>
      <t>COMP</t>
    </r>
  </si>
  <si>
    <r>
      <t>Desired C</t>
    </r>
    <r>
      <rPr>
        <vertAlign val="subscript"/>
        <sz val="10"/>
        <rFont val="Arial"/>
        <family val="2"/>
      </rPr>
      <t>HF</t>
    </r>
  </si>
  <si>
    <r>
      <t>Selected R</t>
    </r>
    <r>
      <rPr>
        <b/>
        <vertAlign val="subscript"/>
        <sz val="10"/>
        <rFont val="Arial"/>
        <family val="2"/>
      </rPr>
      <t>COMP</t>
    </r>
  </si>
  <si>
    <r>
      <t>Selected C</t>
    </r>
    <r>
      <rPr>
        <b/>
        <vertAlign val="subscript"/>
        <sz val="10"/>
        <rFont val="Arial"/>
        <family val="2"/>
      </rPr>
      <t>COMP</t>
    </r>
  </si>
  <si>
    <r>
      <t>Selected C</t>
    </r>
    <r>
      <rPr>
        <b/>
        <vertAlign val="subscript"/>
        <sz val="10"/>
        <rFont val="Arial"/>
        <family val="2"/>
      </rPr>
      <t>HF</t>
    </r>
  </si>
  <si>
    <r>
      <t>Selected Feedforward Capacitance, C</t>
    </r>
    <r>
      <rPr>
        <b/>
        <vertAlign val="subscript"/>
        <sz val="10"/>
        <rFont val="Arial"/>
        <family val="2"/>
      </rPr>
      <t>FF</t>
    </r>
  </si>
  <si>
    <r>
      <t>Selected Feedforward Resistance, R</t>
    </r>
    <r>
      <rPr>
        <b/>
        <vertAlign val="subscript"/>
        <sz val="10"/>
        <rFont val="Arial"/>
        <family val="2"/>
      </rPr>
      <t>FF</t>
    </r>
  </si>
  <si>
    <r>
      <t>Desired ISET Voltage, V</t>
    </r>
    <r>
      <rPr>
        <b/>
        <vertAlign val="subscript"/>
        <sz val="10"/>
        <color theme="1"/>
        <rFont val="Arial"/>
        <family val="2"/>
      </rPr>
      <t>ISET</t>
    </r>
  </si>
  <si>
    <r>
      <t>ISET Resistor, R</t>
    </r>
    <r>
      <rPr>
        <vertAlign val="subscript"/>
        <sz val="10"/>
        <color theme="1"/>
        <rFont val="Arial"/>
        <family val="2"/>
      </rPr>
      <t>ISET</t>
    </r>
  </si>
  <si>
    <r>
      <t>Current Regulation Soft-start Time, T</t>
    </r>
    <r>
      <rPr>
        <vertAlign val="subscript"/>
        <sz val="10"/>
        <color theme="1"/>
        <rFont val="Arial"/>
        <family val="2"/>
      </rPr>
      <t>SSCC</t>
    </r>
  </si>
  <si>
    <r>
      <t>Selected ISET Capacitor, C</t>
    </r>
    <r>
      <rPr>
        <b/>
        <vertAlign val="subscript"/>
        <sz val="10"/>
        <color theme="1"/>
        <rFont val="Arial"/>
        <family val="2"/>
      </rPr>
      <t>ISET</t>
    </r>
  </si>
  <si>
    <r>
      <t>Desired Minimum C</t>
    </r>
    <r>
      <rPr>
        <vertAlign val="subscript"/>
        <sz val="10"/>
        <rFont val="Arial"/>
        <family val="2"/>
      </rPr>
      <t>IMON</t>
    </r>
  </si>
  <si>
    <r>
      <t>Desired R</t>
    </r>
    <r>
      <rPr>
        <vertAlign val="subscript"/>
        <sz val="10"/>
        <rFont val="Arial"/>
        <family val="2"/>
      </rPr>
      <t>IMON</t>
    </r>
  </si>
  <si>
    <r>
      <t>Desired R</t>
    </r>
    <r>
      <rPr>
        <vertAlign val="subscript"/>
        <sz val="10"/>
        <rFont val="Arial"/>
        <family val="2"/>
      </rPr>
      <t>IMONHF</t>
    </r>
  </si>
  <si>
    <r>
      <t>Selected R</t>
    </r>
    <r>
      <rPr>
        <b/>
        <vertAlign val="subscript"/>
        <sz val="10"/>
        <rFont val="Arial"/>
        <family val="2"/>
      </rPr>
      <t>IMON</t>
    </r>
  </si>
  <si>
    <r>
      <t>Selected R</t>
    </r>
    <r>
      <rPr>
        <b/>
        <vertAlign val="subscript"/>
        <sz val="10"/>
        <rFont val="Arial"/>
        <family val="2"/>
      </rPr>
      <t>IMONHF</t>
    </r>
  </si>
  <si>
    <r>
      <t>Selected C</t>
    </r>
    <r>
      <rPr>
        <b/>
        <vertAlign val="subscript"/>
        <sz val="10"/>
        <rFont val="Arial"/>
        <family val="2"/>
      </rPr>
      <t>IMON</t>
    </r>
  </si>
  <si>
    <r>
      <t xml:space="preserve"> Selected IMON Zero Frequency, f</t>
    </r>
    <r>
      <rPr>
        <vertAlign val="subscript"/>
        <sz val="10"/>
        <rFont val="Arial"/>
        <family val="2"/>
      </rPr>
      <t>IMONZ</t>
    </r>
  </si>
  <si>
    <r>
      <t>Selected IMON Pole Frequency,  f</t>
    </r>
    <r>
      <rPr>
        <vertAlign val="subscript"/>
        <sz val="10"/>
        <rFont val="Arial"/>
        <family val="2"/>
      </rPr>
      <t>IMONP</t>
    </r>
  </si>
  <si>
    <t>nC</t>
  </si>
  <si>
    <t>Ω</t>
  </si>
  <si>
    <t>S</t>
  </si>
  <si>
    <t>°C/W</t>
  </si>
  <si>
    <t>External Schottky Diode (if applicable)</t>
  </si>
  <si>
    <t>High-side</t>
  </si>
  <si>
    <t>Low-side</t>
  </si>
  <si>
    <t>°C</t>
  </si>
  <si>
    <t>Yes</t>
  </si>
  <si>
    <r>
      <t>Estimated IC Power Dissipation, P</t>
    </r>
    <r>
      <rPr>
        <vertAlign val="subscript"/>
        <sz val="10"/>
        <color theme="1"/>
        <rFont val="Arial"/>
        <family val="2"/>
      </rPr>
      <t>IC</t>
    </r>
  </si>
  <si>
    <t>Input Voltage Ripple Spec</t>
  </si>
  <si>
    <t>Maximum Input Capacitor RMS Current</t>
  </si>
  <si>
    <t>A(rms)</t>
  </si>
  <si>
    <t xml:space="preserve">Maximum Input Capacitor ESR </t>
  </si>
  <si>
    <r>
      <t>Minimum Derated Input Capacitance, C</t>
    </r>
    <r>
      <rPr>
        <vertAlign val="subscript"/>
        <sz val="10"/>
        <color theme="1"/>
        <rFont val="Arial"/>
        <family val="2"/>
      </rPr>
      <t>IN</t>
    </r>
  </si>
  <si>
    <t>Device Rating</t>
  </si>
  <si>
    <t>Value</t>
  </si>
  <si>
    <t xml:space="preserve">Macro should be enabled </t>
  </si>
  <si>
    <t>User Input</t>
  </si>
  <si>
    <t>Calc suggestion / User Input /Output</t>
  </si>
  <si>
    <t>FixedParameters</t>
  </si>
  <si>
    <t>Definitions</t>
  </si>
  <si>
    <t>Name</t>
  </si>
  <si>
    <t xml:space="preserve">Number </t>
  </si>
  <si>
    <t>Displayed Unit</t>
  </si>
  <si>
    <t xml:space="preserve">multiple </t>
  </si>
  <si>
    <t>Arial 8pt</t>
  </si>
  <si>
    <t>PI</t>
  </si>
  <si>
    <t>Min 3.9V</t>
  </si>
  <si>
    <t>V.supply_min</t>
  </si>
  <si>
    <t>V.supply_typ</t>
  </si>
  <si>
    <t>Max 36V</t>
  </si>
  <si>
    <t>V.supply_max</t>
  </si>
  <si>
    <t>Min 0.8V,  Max 20V</t>
  </si>
  <si>
    <t>V.load</t>
  </si>
  <si>
    <t>Max 36A</t>
  </si>
  <si>
    <t>Min 100k, Max 2.2M</t>
  </si>
  <si>
    <t>f.sw</t>
  </si>
  <si>
    <t>P.out</t>
  </si>
  <si>
    <t>Use dropdown menu</t>
  </si>
  <si>
    <t>I.load</t>
  </si>
  <si>
    <t>LM(2)5190(-Q1)</t>
  </si>
  <si>
    <t>PFM</t>
  </si>
  <si>
    <t>LM5190(-Q1)</t>
  </si>
  <si>
    <r>
      <t>Power Good Pull-up Resistor, R</t>
    </r>
    <r>
      <rPr>
        <vertAlign val="subscript"/>
        <sz val="10"/>
        <color theme="1"/>
        <rFont val="Arial"/>
        <family val="2"/>
      </rPr>
      <t>PGOOD</t>
    </r>
  </si>
  <si>
    <t>External BIAS</t>
  </si>
  <si>
    <t>R.load</t>
  </si>
  <si>
    <t>R.t_calc</t>
  </si>
  <si>
    <t>R.t_std</t>
  </si>
  <si>
    <t>DEVICE</t>
  </si>
  <si>
    <t xml:space="preserve">Current Sense </t>
  </si>
  <si>
    <t xml:space="preserve">Electrical Specifications </t>
  </si>
  <si>
    <t>R.s_desired</t>
  </si>
  <si>
    <t>R.s</t>
  </si>
  <si>
    <t>P.rs</t>
  </si>
  <si>
    <t>V.pcl_typ</t>
  </si>
  <si>
    <t>V.pcl_min</t>
  </si>
  <si>
    <t>V.pcl_max</t>
  </si>
  <si>
    <t>Inductor</t>
  </si>
  <si>
    <t>L.out_desired</t>
  </si>
  <si>
    <t>RR.typ</t>
  </si>
  <si>
    <t>V.slope_typ</t>
  </si>
  <si>
    <t>V.slope_min</t>
  </si>
  <si>
    <t>V.slope_max</t>
  </si>
  <si>
    <t>A.s_typ</t>
  </si>
  <si>
    <t>A.s_min</t>
  </si>
  <si>
    <t>A.s_max</t>
  </si>
  <si>
    <t>L.margin</t>
  </si>
  <si>
    <t>L.outmin1</t>
  </si>
  <si>
    <t>L.outmin2</t>
  </si>
  <si>
    <t>V.ncl_max</t>
  </si>
  <si>
    <t>L.outmin3</t>
  </si>
  <si>
    <t>L.outmin4</t>
  </si>
  <si>
    <t>L.smalest</t>
  </si>
  <si>
    <t>L.out</t>
  </si>
  <si>
    <t>I.peak_tblank</t>
  </si>
  <si>
    <t>Ipeak_atvinmax</t>
  </si>
  <si>
    <t>t.blank_max</t>
  </si>
  <si>
    <t>I.peakcl</t>
  </si>
  <si>
    <t>T.on_min_ideal</t>
  </si>
  <si>
    <t>T.off_min_150</t>
  </si>
  <si>
    <t>D.on_min_150</t>
  </si>
  <si>
    <t>D.on_min_ideal</t>
  </si>
  <si>
    <t>R.dcr150</t>
  </si>
  <si>
    <t>R.dcr25</t>
  </si>
  <si>
    <t>P.core</t>
  </si>
  <si>
    <t>나중에사용</t>
  </si>
  <si>
    <t>R.ls25</t>
  </si>
  <si>
    <t>R.ls150</t>
  </si>
  <si>
    <t>R.hs25</t>
  </si>
  <si>
    <t>R.hs150</t>
  </si>
  <si>
    <t>T.on_min_150</t>
  </si>
  <si>
    <t>D.off_min_ideal</t>
  </si>
  <si>
    <t>T.off_min_ideal</t>
  </si>
  <si>
    <t>D.off_min_150</t>
  </si>
  <si>
    <t>T.onmin_IC</t>
  </si>
  <si>
    <t>T.offmin_IC</t>
  </si>
  <si>
    <t>UVLO</t>
  </si>
  <si>
    <t>V.enrising_max</t>
  </si>
  <si>
    <t>V.enfalling_max</t>
  </si>
  <si>
    <t>V.startup</t>
  </si>
  <si>
    <t>R.ent</t>
  </si>
  <si>
    <t>R.enb</t>
  </si>
  <si>
    <t>Vshutdown</t>
  </si>
  <si>
    <t>COUT_BULK</t>
  </si>
  <si>
    <t>V.overshoot</t>
  </si>
  <si>
    <t>V.undershoot</t>
  </si>
  <si>
    <t>C.outb_derated_min</t>
  </si>
  <si>
    <t>C.outb_derated_min1</t>
  </si>
  <si>
    <t>C.outb_derated_min2</t>
  </si>
  <si>
    <t>C.outb_derated_min3</t>
  </si>
  <si>
    <t>f.cross_desired</t>
  </si>
  <si>
    <t>C.outb_rated</t>
  </si>
  <si>
    <t>C.outb_derated</t>
  </si>
  <si>
    <t>R.esrb</t>
  </si>
  <si>
    <t>C.outb_derating_factor</t>
  </si>
  <si>
    <t>C.outhf_derating_factor</t>
  </si>
  <si>
    <t>C.outhf_rated</t>
  </si>
  <si>
    <t>C.outhf_derated</t>
  </si>
  <si>
    <t>R.esrhf</t>
  </si>
  <si>
    <t>C.outtotal_derated</t>
  </si>
  <si>
    <t>dI.out_max</t>
  </si>
  <si>
    <t>dV.out_max_rms</t>
  </si>
  <si>
    <t>dI.out_max_rms</t>
  </si>
  <si>
    <t>V.overshoot_calc</t>
  </si>
  <si>
    <t>V.undershoot_calc</t>
  </si>
  <si>
    <t>V.overshoot_calc1</t>
  </si>
  <si>
    <t>V.overshoot_calc2</t>
  </si>
  <si>
    <t>Feedback resistor</t>
  </si>
  <si>
    <t>R.fbt</t>
  </si>
  <si>
    <t>R.lp</t>
  </si>
  <si>
    <t>R.fbb</t>
  </si>
  <si>
    <t>V.vref</t>
  </si>
  <si>
    <t>CV mode loop compensation</t>
  </si>
  <si>
    <t>R.comp_desired</t>
  </si>
  <si>
    <t>GM</t>
  </si>
  <si>
    <t>C.comp_desired</t>
  </si>
  <si>
    <t>C.hf_desired</t>
  </si>
  <si>
    <t>f.z_err_desired</t>
  </si>
  <si>
    <t>f.p_err_desired</t>
  </si>
  <si>
    <t>R.comp</t>
  </si>
  <si>
    <t>C.comp</t>
  </si>
  <si>
    <t>C.hf</t>
  </si>
  <si>
    <t>f.z_err</t>
  </si>
  <si>
    <t>f.p_err</t>
  </si>
  <si>
    <t>C.ff</t>
  </si>
  <si>
    <t>R.ff</t>
  </si>
  <si>
    <t>f.z_cff</t>
  </si>
  <si>
    <t>ISET</t>
  </si>
  <si>
    <t>V.iset_desired</t>
  </si>
  <si>
    <t>I.iset</t>
  </si>
  <si>
    <t>R.iset</t>
  </si>
  <si>
    <t>C.iset</t>
  </si>
  <si>
    <t>T.sscc</t>
  </si>
  <si>
    <t>IMON</t>
  </si>
  <si>
    <t xml:space="preserve"> Desired IMON Zero Frequency</t>
  </si>
  <si>
    <t>Desired IMON Pole Frequency</t>
  </si>
  <si>
    <t>R.imon_desired</t>
  </si>
  <si>
    <t>C.imon_desired</t>
  </si>
  <si>
    <t>R.imonhf_desired</t>
  </si>
  <si>
    <t>f.z_imon_desired</t>
  </si>
  <si>
    <t>f.p_imon_desired</t>
  </si>
  <si>
    <t>R.imon</t>
  </si>
  <si>
    <t>C.imon</t>
  </si>
  <si>
    <t>R.imonhf</t>
  </si>
  <si>
    <t>f.z_imon</t>
  </si>
  <si>
    <t>f.p_imon</t>
  </si>
  <si>
    <t>I.imon</t>
  </si>
  <si>
    <t>GM.imon</t>
  </si>
  <si>
    <t>Efficiency</t>
  </si>
  <si>
    <t>V.imon_offset</t>
  </si>
  <si>
    <t>Q.g_hs</t>
  </si>
  <si>
    <t>Q.gd_hs</t>
  </si>
  <si>
    <t>Q.gs_hs</t>
  </si>
  <si>
    <t>Q.oss_hs</t>
  </si>
  <si>
    <t>C.oss_hs</t>
  </si>
  <si>
    <t>R.g_hs</t>
  </si>
  <si>
    <t>g.fs_hs</t>
  </si>
  <si>
    <t>V.th_hs</t>
  </si>
  <si>
    <t>V.bd_hs</t>
  </si>
  <si>
    <t>Q.rr_hs</t>
  </si>
  <si>
    <t>theta.ja_hs</t>
  </si>
  <si>
    <t>Q.g_ls</t>
  </si>
  <si>
    <t>Q.gd_ls</t>
  </si>
  <si>
    <t>Q.gs_ls</t>
  </si>
  <si>
    <t>Q.oss_ls</t>
  </si>
  <si>
    <t>C.oss_ls</t>
  </si>
  <si>
    <t>R.g_ls</t>
  </si>
  <si>
    <t>g.fs_ls</t>
  </si>
  <si>
    <t>V.th_ls</t>
  </si>
  <si>
    <t>V.bd_ls</t>
  </si>
  <si>
    <t>Q.rr_ls</t>
  </si>
  <si>
    <t>theta.ja_ls</t>
  </si>
  <si>
    <t>Q.rr_sch</t>
  </si>
  <si>
    <t>V.fwd_sch</t>
  </si>
  <si>
    <t>No</t>
  </si>
  <si>
    <t>Operating Point Condtions</t>
  </si>
  <si>
    <t>Filter Inductor</t>
  </si>
  <si>
    <t>Cout</t>
  </si>
  <si>
    <t>Cin</t>
  </si>
  <si>
    <t xml:space="preserve">High-side BUCK "Control" MOSFET Losses </t>
  </si>
  <si>
    <t>Sense Rs</t>
  </si>
  <si>
    <t>Controller IC Losses</t>
  </si>
  <si>
    <t>RESULTS</t>
  </si>
  <si>
    <t>Step</t>
  </si>
  <si>
    <t>Vin</t>
  </si>
  <si>
    <t>Mode</t>
  </si>
  <si>
    <t>Iout</t>
  </si>
  <si>
    <t>Duty Cycle BUCK Leg</t>
  </si>
  <si>
    <t>Ripple Current pk-pk</t>
  </si>
  <si>
    <t>Peak Inductor Current</t>
  </si>
  <si>
    <t>Valley Inductor Current</t>
  </si>
  <si>
    <t>SW node voltage at Q1 turn-on</t>
  </si>
  <si>
    <t>Irms Lf</t>
  </si>
  <si>
    <t>DCR    Loss</t>
  </si>
  <si>
    <t>Core Loss</t>
  </si>
  <si>
    <t>Total Inductor Loss</t>
  </si>
  <si>
    <t>Irms Cout</t>
  </si>
  <si>
    <t>Cout ESR Loss</t>
  </si>
  <si>
    <t>Total Cout Loss</t>
  </si>
  <si>
    <t>Irms Cin</t>
  </si>
  <si>
    <t>Cin ESR Loss</t>
  </si>
  <si>
    <t>Total Cin Loss</t>
  </si>
  <si>
    <t>Irms</t>
  </si>
  <si>
    <t>Transition Loss (not including capacitive loss)</t>
  </si>
  <si>
    <t>MOSFET Output Capacitance Loss</t>
  </si>
  <si>
    <t xml:space="preserve">Dead Time Loss </t>
  </si>
  <si>
    <t>Total Control MOSFET Loss</t>
  </si>
  <si>
    <t>Deadtime Loss</t>
  </si>
  <si>
    <t>Isense Shunt Loss</t>
  </si>
  <si>
    <t>Total IC Loss</t>
  </si>
  <si>
    <t>Total Loss</t>
  </si>
  <si>
    <t>Pout</t>
  </si>
  <si>
    <t>Total MOSFET Loss</t>
  </si>
  <si>
    <t>Rdcr</t>
  </si>
  <si>
    <r>
      <t>Estimated Junction Temperature (eT</t>
    </r>
    <r>
      <rPr>
        <vertAlign val="subscript"/>
        <sz val="10"/>
        <color theme="1"/>
        <rFont val="Arial"/>
        <family val="2"/>
      </rPr>
      <t>J</t>
    </r>
    <r>
      <rPr>
        <sz val="10"/>
        <color theme="1"/>
        <rFont val="Arial"/>
        <family val="2"/>
      </rPr>
      <t>)</t>
    </r>
  </si>
  <si>
    <r>
      <t>Ambient Temperature (T</t>
    </r>
    <r>
      <rPr>
        <b/>
        <vertAlign val="subscript"/>
        <sz val="10"/>
        <rFont val="Arial"/>
        <family val="2"/>
      </rPr>
      <t>A</t>
    </r>
    <r>
      <rPr>
        <b/>
        <sz val="10"/>
        <rFont val="Arial"/>
        <family val="2"/>
      </rPr>
      <t>)</t>
    </r>
  </si>
  <si>
    <t>T.amb</t>
  </si>
  <si>
    <t>C.inb_derated</t>
  </si>
  <si>
    <t>R.esr_cin</t>
  </si>
  <si>
    <t>Rhs</t>
  </si>
  <si>
    <t>Rls</t>
  </si>
  <si>
    <t>Rs</t>
  </si>
  <si>
    <t>T.rise</t>
  </si>
  <si>
    <t>T.fall</t>
  </si>
  <si>
    <t>VCC</t>
  </si>
  <si>
    <t>V.sp_hs</t>
  </si>
  <si>
    <t>V.sp_ls</t>
  </si>
  <si>
    <t>R.drv_hs_source</t>
  </si>
  <si>
    <t>R.drv_hs_sink</t>
  </si>
  <si>
    <t>R.drv_ls_source</t>
  </si>
  <si>
    <t>R.drv_ls_sink</t>
  </si>
  <si>
    <t>t.d_hoff_lon</t>
  </si>
  <si>
    <t>t.d_loff_hon</t>
  </si>
  <si>
    <t>Tref_ls</t>
  </si>
  <si>
    <t>Tref_dcr</t>
  </si>
  <si>
    <t>Tref_hs</t>
  </si>
  <si>
    <t>TC_rdson_hs</t>
  </si>
  <si>
    <t>%/C</t>
  </si>
  <si>
    <t>C/W</t>
  </si>
  <si>
    <t>TC_rdson_ls</t>
  </si>
  <si>
    <t>High_side</t>
  </si>
  <si>
    <t>Low_side</t>
  </si>
  <si>
    <t>Deadtime Loss(MOSFET)</t>
  </si>
  <si>
    <t>Deadtime Loss(Schottky diode)</t>
  </si>
  <si>
    <t>Reverse Recovery Loss (MOSFET)</t>
  </si>
  <si>
    <t>Reverse Recovery Loss (Schottky diode)</t>
  </si>
  <si>
    <t xml:space="preserve">Low-side BUCK "Sync" MOSFET + Schottky diode Losses </t>
  </si>
  <si>
    <t>Total Sync MOSFET + Ext Diode Loss</t>
  </si>
  <si>
    <t>I.q_IC</t>
  </si>
  <si>
    <r>
      <t>External BIAS from V</t>
    </r>
    <r>
      <rPr>
        <b/>
        <vertAlign val="subscript"/>
        <sz val="10"/>
        <rFont val="Arial"/>
        <family val="2"/>
      </rPr>
      <t>LOAD</t>
    </r>
  </si>
  <si>
    <t>ExtVCC</t>
  </si>
  <si>
    <t>MOSFET Driving Loss</t>
  </si>
  <si>
    <t>IC</t>
  </si>
  <si>
    <t>TOTAL</t>
  </si>
  <si>
    <t>EFF</t>
  </si>
  <si>
    <t>TOTAL LOSS</t>
  </si>
  <si>
    <t>IC LOSS</t>
  </si>
  <si>
    <t>CIN loss</t>
  </si>
  <si>
    <t>COUT loss</t>
  </si>
  <si>
    <t>Correction factors</t>
  </si>
  <si>
    <t>Trf_CorrectionFactor</t>
  </si>
  <si>
    <t>HS MOSFET</t>
  </si>
  <si>
    <t>Consolidated Efficiency &amp; Losses</t>
  </si>
  <si>
    <t xml:space="preserve">MOSFETs </t>
  </si>
  <si>
    <t>Sense resistor</t>
  </si>
  <si>
    <t>LS MOSFET // Diode</t>
  </si>
  <si>
    <t>Reverse Recovery Loss (LS)</t>
  </si>
  <si>
    <t>Reverse Recovery Loss (HS)</t>
  </si>
  <si>
    <t>VIN</t>
  </si>
  <si>
    <t>Vd_ls</t>
  </si>
  <si>
    <t>Vd_sch</t>
  </si>
  <si>
    <t>Vd_effective</t>
  </si>
  <si>
    <t>Hsratio</t>
  </si>
  <si>
    <t>Lsratio</t>
  </si>
  <si>
    <t>Reverse Recovery Loss (min)</t>
  </si>
  <si>
    <t>SCH_TYPICAL1</t>
  </si>
  <si>
    <t>Freq</t>
  </si>
  <si>
    <t>SH_GAIN</t>
  </si>
  <si>
    <t>SH_PHASE</t>
  </si>
  <si>
    <t>Wsh</t>
  </si>
  <si>
    <t>fsw_sh</t>
  </si>
  <si>
    <t>S.slope</t>
  </si>
  <si>
    <t>S.rise</t>
  </si>
  <si>
    <t>S.fall</t>
  </si>
  <si>
    <t>mc</t>
  </si>
  <si>
    <t>kfactor</t>
  </si>
  <si>
    <t>Qfactor</t>
  </si>
  <si>
    <t>A_COMP2VOUT</t>
  </si>
  <si>
    <t>Wesr_zero</t>
  </si>
  <si>
    <t>Wload_pole</t>
  </si>
  <si>
    <t>COMP2VOUT_GAIN</t>
  </si>
  <si>
    <t>COMP2VOUT_PHASE</t>
  </si>
  <si>
    <t>ZFB_BOT</t>
  </si>
  <si>
    <t>ZFB_TOP</t>
  </si>
  <si>
    <t>VOUT2FB_GAIN</t>
  </si>
  <si>
    <t>VOUT2FB_PHASE</t>
  </si>
  <si>
    <t>ZCOMP1</t>
  </si>
  <si>
    <t>ZCOMP2</t>
  </si>
  <si>
    <t>ZCOMP_TOTAL</t>
  </si>
  <si>
    <t>C.fbb</t>
  </si>
  <si>
    <t>ESD cell</t>
  </si>
  <si>
    <t>ZFF_TOP</t>
  </si>
  <si>
    <t>FB2COMP_GAIN</t>
  </si>
  <si>
    <t>FB2COMP_PHASE</t>
  </si>
  <si>
    <r>
      <t>R</t>
    </r>
    <r>
      <rPr>
        <vertAlign val="subscript"/>
        <sz val="10"/>
        <rFont val="Arial"/>
        <family val="2"/>
      </rPr>
      <t>DS(on)</t>
    </r>
    <r>
      <rPr>
        <sz val="10"/>
        <rFont val="Arial"/>
        <family val="2"/>
      </rPr>
      <t xml:space="preserve"> Loss</t>
    </r>
  </si>
  <si>
    <r>
      <t>R</t>
    </r>
    <r>
      <rPr>
        <vertAlign val="subscript"/>
        <sz val="10"/>
        <rFont val="Arial"/>
        <family val="2"/>
      </rPr>
      <t>DS(on)</t>
    </r>
    <r>
      <rPr>
        <sz val="10"/>
        <rFont val="Arial"/>
        <family val="2"/>
      </rPr>
      <t xml:space="preserve"> Loss (TC)</t>
    </r>
  </si>
  <si>
    <r>
      <t>I</t>
    </r>
    <r>
      <rPr>
        <vertAlign val="subscript"/>
        <sz val="10"/>
        <rFont val="Arial"/>
        <family val="2"/>
      </rPr>
      <t>Q</t>
    </r>
    <r>
      <rPr>
        <sz val="10"/>
        <rFont val="Arial"/>
        <family val="2"/>
      </rPr>
      <t xml:space="preserve"> Loss</t>
    </r>
  </si>
  <si>
    <r>
      <t xml:space="preserve">EFF, </t>
    </r>
    <r>
      <rPr>
        <sz val="10"/>
        <rFont val="Symbol"/>
        <family val="1"/>
        <charset val="2"/>
      </rPr>
      <t>h</t>
    </r>
  </si>
  <si>
    <t>ZCOMP12</t>
  </si>
  <si>
    <t>R.eaout</t>
  </si>
  <si>
    <t>C.eaout</t>
  </si>
  <si>
    <t>ZEAOUT</t>
  </si>
  <si>
    <t>POWERSTAGE_GAIN</t>
  </si>
  <si>
    <t>POWERSTAGE_PHASE</t>
  </si>
  <si>
    <t>VOUT2COMP_GAIN</t>
  </si>
  <si>
    <t>VOUT2COMP_PHASE</t>
  </si>
  <si>
    <t>OPENLOOP_GAIN</t>
  </si>
  <si>
    <t>OPENLOOP_PHASE</t>
  </si>
  <si>
    <t xml:space="preserve">To find </t>
  </si>
  <si>
    <t>Found at</t>
  </si>
  <si>
    <t>PM</t>
  </si>
  <si>
    <t>Phase Inversion</t>
  </si>
  <si>
    <t>Open Loop Gain</t>
  </si>
  <si>
    <t>CV_LOOP</t>
  </si>
  <si>
    <r>
      <t>f</t>
    </r>
    <r>
      <rPr>
        <b/>
        <vertAlign val="subscript"/>
        <sz val="11"/>
        <color theme="1"/>
        <rFont val="Arial"/>
        <family val="2"/>
      </rPr>
      <t>P_LOAD</t>
    </r>
  </si>
  <si>
    <r>
      <t>f</t>
    </r>
    <r>
      <rPr>
        <b/>
        <vertAlign val="subscript"/>
        <sz val="11"/>
        <color theme="1"/>
        <rFont val="Calibri"/>
        <family val="2"/>
        <scheme val="minor"/>
      </rPr>
      <t>Z_ESR</t>
    </r>
  </si>
  <si>
    <r>
      <t>f</t>
    </r>
    <r>
      <rPr>
        <b/>
        <vertAlign val="subscript"/>
        <sz val="11"/>
        <color theme="1"/>
        <rFont val="Calibri"/>
        <family val="2"/>
        <scheme val="minor"/>
      </rPr>
      <t>P_COMP</t>
    </r>
  </si>
  <si>
    <r>
      <t>f</t>
    </r>
    <r>
      <rPr>
        <b/>
        <vertAlign val="subscript"/>
        <sz val="11"/>
        <color theme="1"/>
        <rFont val="Arial"/>
        <family val="2"/>
      </rPr>
      <t xml:space="preserve"> </t>
    </r>
    <r>
      <rPr>
        <b/>
        <vertAlign val="subscript"/>
        <sz val="11"/>
        <color theme="1"/>
        <rFont val="Calibri"/>
        <family val="2"/>
        <scheme val="minor"/>
      </rPr>
      <t>Z_COMP</t>
    </r>
  </si>
  <si>
    <r>
      <t>f</t>
    </r>
    <r>
      <rPr>
        <b/>
        <sz val="11"/>
        <color theme="1"/>
        <rFont val="Calibri"/>
        <family val="2"/>
        <scheme val="minor"/>
      </rPr>
      <t>CROSS</t>
    </r>
  </si>
  <si>
    <t>CC_LOOP</t>
  </si>
  <si>
    <t>PCB_TYPICAL1</t>
  </si>
  <si>
    <t>CC</t>
  </si>
  <si>
    <t>CV</t>
  </si>
  <si>
    <t>ZIMON1</t>
  </si>
  <si>
    <t>ZIMON2</t>
  </si>
  <si>
    <t>ZIMON3</t>
  </si>
  <si>
    <t>WloadZ</t>
  </si>
  <si>
    <t>CV LOOP</t>
  </si>
  <si>
    <t>CS2IMON_GAIN</t>
  </si>
  <si>
    <t>CS2IMON_PHASE</t>
  </si>
  <si>
    <t>CC LOOP</t>
  </si>
  <si>
    <t>CS2COMP_GAIN</t>
  </si>
  <si>
    <t>CS2COMP_PHASE</t>
  </si>
  <si>
    <t>A_COMP2CS</t>
  </si>
  <si>
    <t>COMP2CS_GAIN</t>
  </si>
  <si>
    <t>COMP2CS_PHASE</t>
  </si>
  <si>
    <r>
      <t>f</t>
    </r>
    <r>
      <rPr>
        <b/>
        <vertAlign val="subscript"/>
        <sz val="11"/>
        <color theme="1"/>
        <rFont val="Arial"/>
        <family val="2"/>
      </rPr>
      <t>SH</t>
    </r>
  </si>
  <si>
    <r>
      <t>Peak Inductor Current Limit</t>
    </r>
    <r>
      <rPr>
        <vertAlign val="subscript"/>
        <sz val="10"/>
        <color theme="1"/>
        <rFont val="Arial"/>
        <family val="2"/>
      </rPr>
      <t>(max)</t>
    </r>
    <r>
      <rPr>
        <sz val="10"/>
        <color theme="1"/>
        <rFont val="Arial"/>
        <family val="2"/>
      </rPr>
      <t xml:space="preserve"> at V</t>
    </r>
    <r>
      <rPr>
        <vertAlign val="subscript"/>
        <sz val="10"/>
        <color theme="1"/>
        <rFont val="Arial"/>
        <family val="2"/>
      </rPr>
      <t>SUPPLY(max)</t>
    </r>
  </si>
  <si>
    <t>Ipeak_atvinmin</t>
  </si>
  <si>
    <t>V.sp_max</t>
  </si>
  <si>
    <r>
      <t>Estimated Output Voltage Ripple at V</t>
    </r>
    <r>
      <rPr>
        <vertAlign val="subscript"/>
        <sz val="10"/>
        <rFont val="Arial"/>
        <family val="2"/>
      </rPr>
      <t>SUPPLUY(max)</t>
    </r>
    <r>
      <rPr>
        <sz val="10"/>
        <rFont val="Arial"/>
        <family val="2"/>
      </rPr>
      <t xml:space="preserve"> (CV mode)</t>
    </r>
  </si>
  <si>
    <t>Estimated Overshoot (when switching stops at full-load to no-load) (CV mode)</t>
  </si>
  <si>
    <t>Estimated Undershoot (during no-load to full-load transition in FPWM) (CV mode)</t>
  </si>
  <si>
    <t>Desired Undershoot during 50% Load Transient in FPWM (CV mode)</t>
  </si>
  <si>
    <r>
      <t>Desired Crossover Frequency, f</t>
    </r>
    <r>
      <rPr>
        <b/>
        <vertAlign val="subscript"/>
        <sz val="10"/>
        <rFont val="Arial"/>
        <family val="2"/>
      </rPr>
      <t>CROSS(desired)</t>
    </r>
    <r>
      <rPr>
        <b/>
        <sz val="10"/>
        <rFont val="Arial"/>
        <family val="2"/>
      </rPr>
      <t xml:space="preserve"> (CV mode)</t>
    </r>
  </si>
  <si>
    <r>
      <t>Peak Inductor Current at V</t>
    </r>
    <r>
      <rPr>
        <vertAlign val="subscript"/>
        <sz val="10"/>
        <color theme="1"/>
        <rFont val="Arial"/>
        <family val="2"/>
      </rPr>
      <t>SUPPLY(max)</t>
    </r>
    <r>
      <rPr>
        <sz val="10"/>
        <color theme="1"/>
        <rFont val="Arial"/>
        <family val="2"/>
      </rPr>
      <t xml:space="preserve"> and Full Load (CV mode)</t>
    </r>
  </si>
  <si>
    <r>
      <t>On-State Resistance at 25°C, R</t>
    </r>
    <r>
      <rPr>
        <b/>
        <vertAlign val="subscript"/>
        <sz val="10"/>
        <color theme="1"/>
        <rFont val="Arial"/>
        <family val="2"/>
      </rPr>
      <t>DS(on)</t>
    </r>
    <r>
      <rPr>
        <b/>
        <sz val="10"/>
        <color theme="1"/>
        <rFont val="Arial"/>
        <family val="2"/>
      </rPr>
      <t xml:space="preserve"> </t>
    </r>
  </si>
  <si>
    <r>
      <t>Total Gate Charge, Q</t>
    </r>
    <r>
      <rPr>
        <b/>
        <vertAlign val="subscript"/>
        <sz val="10"/>
        <color theme="1"/>
        <rFont val="Arial"/>
        <family val="2"/>
      </rPr>
      <t>G</t>
    </r>
    <r>
      <rPr>
        <b/>
        <sz val="10"/>
        <color theme="1"/>
        <rFont val="Arial"/>
        <family val="2"/>
      </rPr>
      <t xml:space="preserve"> </t>
    </r>
  </si>
  <si>
    <r>
      <t>Gate-Drain Charge, Q</t>
    </r>
    <r>
      <rPr>
        <b/>
        <vertAlign val="subscript"/>
        <sz val="10"/>
        <color theme="1"/>
        <rFont val="Arial"/>
        <family val="2"/>
      </rPr>
      <t xml:space="preserve">GD </t>
    </r>
  </si>
  <si>
    <r>
      <t>Gate-Source Charge, Q</t>
    </r>
    <r>
      <rPr>
        <b/>
        <vertAlign val="subscript"/>
        <sz val="10"/>
        <color theme="1"/>
        <rFont val="Arial"/>
        <family val="2"/>
      </rPr>
      <t xml:space="preserve">GS </t>
    </r>
  </si>
  <si>
    <r>
      <t>Output Charge, Q</t>
    </r>
    <r>
      <rPr>
        <b/>
        <vertAlign val="subscript"/>
        <sz val="10"/>
        <color theme="1"/>
        <rFont val="Arial"/>
        <family val="2"/>
      </rPr>
      <t xml:space="preserve">OSS </t>
    </r>
  </si>
  <si>
    <r>
      <t>Output Capacitance, C</t>
    </r>
    <r>
      <rPr>
        <b/>
        <vertAlign val="subscript"/>
        <sz val="10"/>
        <color theme="1"/>
        <rFont val="Arial"/>
        <family val="2"/>
      </rPr>
      <t xml:space="preserve">OSS </t>
    </r>
  </si>
  <si>
    <r>
      <t>Gate Resistance, R</t>
    </r>
    <r>
      <rPr>
        <b/>
        <vertAlign val="subscript"/>
        <sz val="10"/>
        <color theme="1"/>
        <rFont val="Arial"/>
        <family val="2"/>
      </rPr>
      <t xml:space="preserve">G </t>
    </r>
  </si>
  <si>
    <r>
      <t>Transconductance, g</t>
    </r>
    <r>
      <rPr>
        <b/>
        <vertAlign val="subscript"/>
        <sz val="10"/>
        <color theme="1"/>
        <rFont val="Arial"/>
        <family val="2"/>
      </rPr>
      <t>FS</t>
    </r>
    <r>
      <rPr>
        <b/>
        <sz val="10"/>
        <color theme="1"/>
        <rFont val="Arial"/>
        <family val="2"/>
      </rPr>
      <t xml:space="preserve"> </t>
    </r>
  </si>
  <si>
    <r>
      <t>Gate-Source Threshold Voltage, V</t>
    </r>
    <r>
      <rPr>
        <b/>
        <vertAlign val="subscript"/>
        <sz val="10"/>
        <color theme="1"/>
        <rFont val="Arial"/>
        <family val="2"/>
      </rPr>
      <t xml:space="preserve">TH </t>
    </r>
  </si>
  <si>
    <r>
      <t>Body Diode Forward Voltage, V</t>
    </r>
    <r>
      <rPr>
        <b/>
        <vertAlign val="subscript"/>
        <sz val="10"/>
        <color theme="1"/>
        <rFont val="Arial"/>
        <family val="2"/>
      </rPr>
      <t>BD</t>
    </r>
    <r>
      <rPr>
        <b/>
        <sz val="10"/>
        <color theme="1"/>
        <rFont val="Arial"/>
        <family val="2"/>
      </rPr>
      <t xml:space="preserve"> </t>
    </r>
  </si>
  <si>
    <r>
      <t>Body Diode Rev Recovery Charge, Q</t>
    </r>
    <r>
      <rPr>
        <b/>
        <vertAlign val="subscript"/>
        <sz val="10"/>
        <color theme="1"/>
        <rFont val="Arial"/>
        <family val="2"/>
      </rPr>
      <t xml:space="preserve">RR </t>
    </r>
  </si>
  <si>
    <r>
      <t>Thermal Resistance, θ</t>
    </r>
    <r>
      <rPr>
        <b/>
        <vertAlign val="subscript"/>
        <sz val="10"/>
        <color theme="1"/>
        <rFont val="Arial"/>
        <family val="2"/>
      </rPr>
      <t xml:space="preserve">JA </t>
    </r>
  </si>
  <si>
    <r>
      <t>Schottky Fwd Voltage, V</t>
    </r>
    <r>
      <rPr>
        <b/>
        <vertAlign val="subscript"/>
        <sz val="10"/>
        <color theme="1"/>
        <rFont val="Arial"/>
        <family val="2"/>
      </rPr>
      <t xml:space="preserve">FWDsch </t>
    </r>
  </si>
  <si>
    <r>
      <t>Schottky Rev Recovery Charge, Q</t>
    </r>
    <r>
      <rPr>
        <b/>
        <vertAlign val="subscript"/>
        <sz val="10"/>
        <color theme="1"/>
        <rFont val="Arial"/>
        <family val="2"/>
      </rPr>
      <t xml:space="preserve">RRsch </t>
    </r>
  </si>
  <si>
    <t>R.fbt_min</t>
  </si>
  <si>
    <t>Input capacitor</t>
  </si>
  <si>
    <t>V.in_ripple_required</t>
  </si>
  <si>
    <t>Cinmin at Vinmax</t>
  </si>
  <si>
    <t>Cinmin at 50%DC</t>
  </si>
  <si>
    <t>Cinmin_required</t>
  </si>
  <si>
    <t>I.ripple_rms at VinMax</t>
  </si>
  <si>
    <t>I.ripple_rms at 50%</t>
  </si>
  <si>
    <t>I.ripple_in</t>
  </si>
  <si>
    <t>Max ESR</t>
  </si>
  <si>
    <t>Gain at f.p_imon</t>
  </si>
  <si>
    <t>MaxOperatinvVIN</t>
  </si>
  <si>
    <t>500k_GAIN</t>
  </si>
  <si>
    <t>500k_PHASE</t>
  </si>
  <si>
    <r>
      <t>Internal Soft-start Time in CV mode, T</t>
    </r>
    <r>
      <rPr>
        <vertAlign val="subscript"/>
        <sz val="10"/>
        <color theme="1"/>
        <rFont val="Arial"/>
        <family val="2"/>
      </rPr>
      <t>SSCV</t>
    </r>
  </si>
  <si>
    <r>
      <t>Upper Feedback Resistance, R</t>
    </r>
    <r>
      <rPr>
        <b/>
        <vertAlign val="subscript"/>
        <sz val="10"/>
        <rFont val="Arial"/>
        <family val="2"/>
      </rPr>
      <t>FBT</t>
    </r>
  </si>
  <si>
    <r>
      <t>Recommended Inductance for 40% Pk-Pk Ripple Current at V</t>
    </r>
    <r>
      <rPr>
        <vertAlign val="subscript"/>
        <sz val="10"/>
        <color theme="1"/>
        <rFont val="Arial"/>
        <family val="2"/>
      </rPr>
      <t>SUPPLY(typ)</t>
    </r>
  </si>
  <si>
    <t>IVCC</t>
  </si>
  <si>
    <t>MOSFET driving current</t>
  </si>
  <si>
    <t>mA</t>
  </si>
  <si>
    <r>
      <t>Step 4: C</t>
    </r>
    <r>
      <rPr>
        <b/>
        <vertAlign val="subscript"/>
        <sz val="12"/>
        <color rgb="FF0000FF"/>
        <rFont val="Arial"/>
        <family val="2"/>
      </rPr>
      <t>VCC</t>
    </r>
    <r>
      <rPr>
        <b/>
        <sz val="12"/>
        <color rgb="FF0000FF"/>
        <rFont val="Arial"/>
        <family val="2"/>
      </rPr>
      <t>, C</t>
    </r>
    <r>
      <rPr>
        <b/>
        <vertAlign val="subscript"/>
        <sz val="12"/>
        <color rgb="FF0000FF"/>
        <rFont val="Arial"/>
        <family val="2"/>
      </rPr>
      <t>BOOT</t>
    </r>
    <r>
      <rPr>
        <b/>
        <sz val="12"/>
        <color rgb="FF0000FF"/>
        <rFont val="Arial"/>
        <family val="2"/>
      </rPr>
      <t>, C</t>
    </r>
    <r>
      <rPr>
        <b/>
        <vertAlign val="subscript"/>
        <sz val="12"/>
        <color rgb="FF0000FF"/>
        <rFont val="Arial"/>
        <family val="2"/>
      </rPr>
      <t>VIN</t>
    </r>
    <r>
      <rPr>
        <b/>
        <sz val="12"/>
        <color rgb="FF0000FF"/>
        <rFont val="Arial"/>
        <family val="2"/>
      </rPr>
      <t>, R</t>
    </r>
    <r>
      <rPr>
        <b/>
        <vertAlign val="subscript"/>
        <sz val="12"/>
        <color rgb="FF0000FF"/>
        <rFont val="Arial"/>
        <family val="2"/>
      </rPr>
      <t xml:space="preserve">PGOOD, </t>
    </r>
    <r>
      <rPr>
        <b/>
        <sz val="12"/>
        <color rgb="FF0000FF"/>
        <rFont val="Arial"/>
        <family val="2"/>
      </rPr>
      <t>T</t>
    </r>
    <r>
      <rPr>
        <b/>
        <vertAlign val="subscript"/>
        <sz val="12"/>
        <color rgb="FF0000FF"/>
        <rFont val="Arial"/>
        <family val="2"/>
      </rPr>
      <t>SSCV</t>
    </r>
  </si>
  <si>
    <t>MinCboot</t>
  </si>
  <si>
    <t>MinCvcc</t>
  </si>
  <si>
    <t xml:space="preserve">Make V(BOOT) drop less than 1V </t>
  </si>
  <si>
    <t xml:space="preserve">10 times bigger than Min Cboot </t>
  </si>
  <si>
    <t>V.sp_hs_100A</t>
  </si>
  <si>
    <t>V.sp_ls_100A</t>
  </si>
  <si>
    <t>V.sp_max_100A</t>
  </si>
  <si>
    <r>
      <t>Required Peak Inductor C/L Setpoint at V</t>
    </r>
    <r>
      <rPr>
        <b/>
        <vertAlign val="subscript"/>
        <sz val="10"/>
        <color theme="1"/>
        <rFont val="Arial"/>
        <family val="2"/>
      </rPr>
      <t>SUPPLY(MAX)</t>
    </r>
    <r>
      <rPr>
        <b/>
        <sz val="10"/>
        <color theme="1"/>
        <rFont val="Arial"/>
        <family val="2"/>
      </rPr>
      <t>, I</t>
    </r>
    <r>
      <rPr>
        <b/>
        <vertAlign val="subscript"/>
        <sz val="10"/>
        <color theme="1"/>
        <rFont val="Arial"/>
        <family val="2"/>
      </rPr>
      <t>PEAKCL</t>
    </r>
  </si>
  <si>
    <t>Estimated Shutdown Voltage</t>
  </si>
  <si>
    <t>Desired Start-up Voltage</t>
  </si>
  <si>
    <t>MinCvcc2</t>
  </si>
  <si>
    <t>DESIGN_GUIDE1</t>
  </si>
  <si>
    <r>
      <rPr>
        <b/>
        <sz val="10"/>
        <color theme="1"/>
        <rFont val="Arial"/>
        <family val="2"/>
      </rPr>
      <t>DESIGN GOAL</t>
    </r>
    <r>
      <rPr>
        <sz val="10"/>
        <color theme="1"/>
        <rFont val="Arial"/>
        <family val="2"/>
      </rPr>
      <t xml:space="preserve">
Type 1) Typical buck converter using only CV 
    - Make CV loop stable with PM&gt;60° and GM&gt;15dB in STEP 8. Skip STEP 9 &amp;10
Type 2) Buck converter using both CC and CV. DC load can be connected to the output during the output capacitor charging 
   - Make both CC and CV loops stable with PM&gt;60° and GM&gt;15dB in STEP 8, 9 &amp;10
Type 3) Super-capacitor charger. DC load is connected to the super capacitor after the capacitor is fully charged. : 
   - Make CC loop stable with PM&gt;60° and GM&gt;15dB and high band-width in STEP 9 &amp; 10. 
   - Make CV loop stable with PM&gt;60° and GM&gt;15dB in STEP 8   
.</t>
    </r>
  </si>
  <si>
    <r>
      <t>Switching Skip at V</t>
    </r>
    <r>
      <rPr>
        <vertAlign val="subscript"/>
        <sz val="10"/>
        <color theme="1"/>
        <rFont val="Arial"/>
        <family val="2"/>
      </rPr>
      <t>SUPPLY(max)</t>
    </r>
  </si>
  <si>
    <r>
      <t xml:space="preserve">  Rated Output Capacitance (Ceramic Capacitor/Local C</t>
    </r>
    <r>
      <rPr>
        <b/>
        <vertAlign val="subscript"/>
        <sz val="10"/>
        <rFont val="Arial"/>
        <family val="2"/>
      </rPr>
      <t>OUT</t>
    </r>
    <r>
      <rPr>
        <b/>
        <sz val="10"/>
        <rFont val="Arial"/>
        <family val="2"/>
      </rPr>
      <t>), C</t>
    </r>
    <r>
      <rPr>
        <b/>
        <vertAlign val="subscript"/>
        <sz val="10"/>
        <rFont val="Arial"/>
        <family val="2"/>
      </rPr>
      <t>OUTHF</t>
    </r>
  </si>
  <si>
    <t>(Typical buck converter using only CV mode)</t>
  </si>
  <si>
    <t xml:space="preserve">Application type 1 </t>
  </si>
  <si>
    <t xml:space="preserve">Application type 2 </t>
  </si>
  <si>
    <t>3. Skip STEP 9 &amp;10</t>
  </si>
  <si>
    <t>Application type 3</t>
  </si>
  <si>
    <r>
      <t>Regulation Target in CC / Full load current in CV, I</t>
    </r>
    <r>
      <rPr>
        <b/>
        <vertAlign val="subscript"/>
        <sz val="10"/>
        <color theme="1"/>
        <rFont val="Arial"/>
        <family val="2"/>
      </rPr>
      <t>LOAD</t>
    </r>
  </si>
  <si>
    <t xml:space="preserve">5. Make it sure to meet the following equation. </t>
  </si>
  <si>
    <t xml:space="preserve">10. Make it sure to meet the following equation. </t>
  </si>
  <si>
    <t>2. On STEP 7, Select the feedback resistor divider.</t>
  </si>
  <si>
    <t>0. On STEP 1, Input the CC mode regulation target.</t>
  </si>
  <si>
    <t>6. On STEP 9,  Select ISET componenets.</t>
  </si>
  <si>
    <r>
      <t>3. On STEP 8, Select R</t>
    </r>
    <r>
      <rPr>
        <vertAlign val="subscript"/>
        <sz val="10"/>
        <color theme="1"/>
        <rFont val="Arial"/>
        <family val="2"/>
      </rPr>
      <t>COMP</t>
    </r>
    <r>
      <rPr>
        <sz val="10"/>
        <color theme="1"/>
        <rFont val="Arial"/>
        <family val="2"/>
      </rPr>
      <t xml:space="preserve"> as 10kΩ.</t>
    </r>
  </si>
  <si>
    <r>
      <t>4. On STEP 8, Adjust C</t>
    </r>
    <r>
      <rPr>
        <vertAlign val="subscript"/>
        <sz val="10"/>
        <color theme="1"/>
        <rFont val="Arial"/>
        <family val="2"/>
      </rPr>
      <t>COMP</t>
    </r>
    <r>
      <rPr>
        <sz val="10"/>
        <color theme="1"/>
        <rFont val="Arial"/>
        <family val="2"/>
      </rPr>
      <t xml:space="preserve"> to locate the compensation zero (f</t>
    </r>
    <r>
      <rPr>
        <vertAlign val="subscript"/>
        <sz val="10"/>
        <color theme="1"/>
        <rFont val="Arial"/>
        <family val="2"/>
      </rPr>
      <t>COMPZ</t>
    </r>
    <r>
      <rPr>
        <sz val="10"/>
        <color theme="1"/>
        <rFont val="Arial"/>
        <family val="2"/>
      </rPr>
      <t>) at 1/10 of the load pole.</t>
    </r>
  </si>
  <si>
    <r>
      <t>5. On STEP 8, Adjust C</t>
    </r>
    <r>
      <rPr>
        <vertAlign val="subscript"/>
        <sz val="10"/>
        <color theme="1"/>
        <rFont val="Arial"/>
        <family val="2"/>
      </rPr>
      <t>HF</t>
    </r>
    <r>
      <rPr>
        <sz val="10"/>
        <color theme="1"/>
        <rFont val="Arial"/>
        <family val="2"/>
      </rPr>
      <t xml:space="preserve"> to locate the compensation pole (f</t>
    </r>
    <r>
      <rPr>
        <vertAlign val="subscript"/>
        <sz val="10"/>
        <color theme="1"/>
        <rFont val="Arial"/>
        <family val="2"/>
      </rPr>
      <t>COMPP</t>
    </r>
    <r>
      <rPr>
        <sz val="10"/>
        <color theme="1"/>
        <rFont val="Arial"/>
        <family val="2"/>
      </rPr>
      <t>) at the effective ESR zero of the output capacitors.</t>
    </r>
  </si>
  <si>
    <r>
      <t>6. On STEP 10, Select R</t>
    </r>
    <r>
      <rPr>
        <vertAlign val="subscript"/>
        <sz val="10"/>
        <color theme="1"/>
        <rFont val="Arial"/>
        <family val="2"/>
      </rPr>
      <t>IMON</t>
    </r>
    <r>
      <rPr>
        <sz val="10"/>
        <color theme="1"/>
        <rFont val="Arial"/>
        <family val="2"/>
      </rPr>
      <t>.</t>
    </r>
  </si>
  <si>
    <r>
      <t>8. On STEP 10, Adjust R</t>
    </r>
    <r>
      <rPr>
        <vertAlign val="subscript"/>
        <sz val="10"/>
        <color theme="1"/>
        <rFont val="Arial"/>
        <family val="2"/>
      </rPr>
      <t>IMONHF</t>
    </r>
    <r>
      <rPr>
        <sz val="10"/>
        <color theme="1"/>
        <rFont val="Arial"/>
        <family val="2"/>
      </rPr>
      <t xml:space="preserve"> to make PM&gt;60° and GM&gt;15dB.</t>
    </r>
  </si>
  <si>
    <r>
      <t>9. Revisit STEP 8, Adjust the R</t>
    </r>
    <r>
      <rPr>
        <vertAlign val="subscript"/>
        <sz val="10"/>
        <color theme="1"/>
        <rFont val="Arial"/>
        <family val="2"/>
      </rPr>
      <t>COMP</t>
    </r>
    <r>
      <rPr>
        <sz val="10"/>
        <color theme="1"/>
        <rFont val="Arial"/>
        <family val="2"/>
      </rPr>
      <t xml:space="preserve"> and the C</t>
    </r>
    <r>
      <rPr>
        <vertAlign val="subscript"/>
        <sz val="10"/>
        <color theme="1"/>
        <rFont val="Arial"/>
        <family val="2"/>
      </rPr>
      <t>COMP</t>
    </r>
    <r>
      <rPr>
        <sz val="10"/>
        <color theme="1"/>
        <rFont val="Arial"/>
        <family val="2"/>
      </rPr>
      <t xml:space="preserve"> together while keeping the f</t>
    </r>
    <r>
      <rPr>
        <vertAlign val="subscript"/>
        <sz val="10"/>
        <color theme="1"/>
        <rFont val="Arial"/>
        <family val="2"/>
      </rPr>
      <t>COMPZ</t>
    </r>
    <r>
      <rPr>
        <sz val="10"/>
        <color theme="1"/>
        <rFont val="Arial"/>
        <family val="2"/>
      </rPr>
      <t xml:space="preserve"> at 1/10 of the load pole. Make the CC mode crossover frequency at around 1/20 of the switching frequency.</t>
    </r>
  </si>
  <si>
    <r>
      <t>7. On STEP 10, Adjust the C</t>
    </r>
    <r>
      <rPr>
        <vertAlign val="subscript"/>
        <sz val="10"/>
        <color theme="1"/>
        <rFont val="Arial"/>
        <family val="2"/>
      </rPr>
      <t>IMON</t>
    </r>
    <r>
      <rPr>
        <sz val="10"/>
        <color theme="1"/>
        <rFont val="Arial"/>
        <family val="2"/>
      </rPr>
      <t xml:space="preserve"> to locate the IMON pole (f</t>
    </r>
    <r>
      <rPr>
        <vertAlign val="subscript"/>
        <sz val="10"/>
        <color theme="1"/>
        <rFont val="Arial"/>
        <family val="2"/>
      </rPr>
      <t>IMONP</t>
    </r>
    <r>
      <rPr>
        <sz val="10"/>
        <color theme="1"/>
        <rFont val="Arial"/>
        <family val="2"/>
      </rPr>
      <t>) at the compensation zero (f</t>
    </r>
    <r>
      <rPr>
        <vertAlign val="subscript"/>
        <sz val="10"/>
        <color theme="1"/>
        <rFont val="Arial"/>
        <family val="2"/>
      </rPr>
      <t>COMPZ</t>
    </r>
    <r>
      <rPr>
        <sz val="10"/>
        <color theme="1"/>
        <rFont val="Arial"/>
        <family val="2"/>
      </rPr>
      <t>).</t>
    </r>
  </si>
  <si>
    <t>1. On STEP 6,  Ignore the minimum output capacitance requirement, Input the super-capacitor value.</t>
  </si>
  <si>
    <t>1. On STEP 7, Select the feedback resistor divider.</t>
  </si>
  <si>
    <t>2. On STEP 8, Make the CV loop stable with PM&gt;60° and GM&gt;15dB.</t>
  </si>
  <si>
    <t>3. On STEP 9, Select ISET componenets.</t>
  </si>
  <si>
    <t>4. On STEP 10, Make the CC loop stable with PM&gt;60° and GM&gt;15dB.</t>
  </si>
  <si>
    <t>0. On STEP 1, Input the CV mode full load current.</t>
  </si>
  <si>
    <t>(CCCV converter. Buck converter using both CC and CV regulations. Design to start up at full load)</t>
  </si>
  <si>
    <t>Changed from 2p to 20p</t>
  </si>
  <si>
    <t>200kHz parasitic Pole (Changed from 500kHz to 200kHz</t>
  </si>
  <si>
    <t>(Super-capacitor charger. No/Light load during the Super-cap charging)</t>
  </si>
  <si>
    <t>No sub-harmonic</t>
  </si>
  <si>
    <t>CCM atmax VIN at full load</t>
  </si>
  <si>
    <t xml:space="preserve">No N-CL trigger in FPWM at max VIN </t>
  </si>
  <si>
    <t xml:space="preserve">No peak-CLat full load  at min VIN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</si>
</sst>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0.0"/>
    <numFmt numFmtId="165" formatCode="0.0000"/>
    <numFmt numFmtId="166" formatCode="_(* #,##0.000000_);_(* \(#,##0.000000\);_(* &quot;-&quot;??_);_(@_)"/>
    <numFmt numFmtId="167" formatCode="0.000"/>
    <numFmt numFmtId="168" formatCode="0.000E+00"/>
    <numFmt numFmtId="169" formatCode="0.0%"/>
    <numFmt numFmtId="170" formatCode="_(* #,##0.0_);_(* \(#,##0.0\);_(* &quot;-&quot;??_);_(@_)"/>
    <numFmt numFmtId="171" formatCode="_(* #,##0.00000_);_(* \(#,##0.00000\);_(* &quot;-&quot;??_);_(@_)"/>
    <numFmt numFmtId="172" formatCode="_(* #,##0.0_);_(* \(#,##0.0\);_(* &quot;-&quot;?_);_(@_)"/>
  </numFmts>
  <fonts count="48" x14ac:knownFonts="1">
    <font>
      <sz val="10"/>
      <color theme="1"/>
      <name val="Arial"/>
      <family val="2"/>
    </font>
    <font>
      <sz val="10"/>
      <color theme="1"/>
      <name val="Arial"/>
      <family val="2"/>
    </font>
    <font>
      <b/>
      <sz val="10"/>
      <color theme="1"/>
      <name val="Arial"/>
      <family val="2"/>
    </font>
    <font>
      <b/>
      <vertAlign val="subscript"/>
      <sz val="10"/>
      <color theme="1"/>
      <name val="Arial"/>
      <family val="2"/>
    </font>
    <font>
      <vertAlign val="subscript"/>
      <sz val="10"/>
      <color theme="1"/>
      <name val="Arial"/>
      <family val="2"/>
    </font>
    <font>
      <u/>
      <sz val="10"/>
      <color theme="10"/>
      <name val="Arial"/>
      <family val="2"/>
    </font>
    <font>
      <b/>
      <sz val="12"/>
      <color indexed="9"/>
      <name val="Calibri"/>
      <family val="2"/>
    </font>
    <font>
      <u/>
      <sz val="10"/>
      <color theme="0" tint="-0.499984740745262"/>
      <name val="Arial"/>
      <family val="2"/>
    </font>
    <font>
      <b/>
      <sz val="12"/>
      <color rgb="FF003366"/>
      <name val="Calibri"/>
      <family val="2"/>
    </font>
    <font>
      <sz val="11"/>
      <color rgb="FFFF0000"/>
      <name val="Calibri"/>
      <family val="2"/>
      <scheme val="minor"/>
    </font>
    <font>
      <b/>
      <sz val="10"/>
      <color indexed="9"/>
      <name val="Calibri"/>
      <family val="2"/>
    </font>
    <font>
      <b/>
      <sz val="10"/>
      <color indexed="9"/>
      <name val="Arial"/>
      <family val="2"/>
    </font>
    <font>
      <sz val="10"/>
      <name val="Arial"/>
      <family val="2"/>
    </font>
    <font>
      <b/>
      <sz val="12"/>
      <color indexed="10"/>
      <name val="Arial"/>
      <family val="2"/>
    </font>
    <font>
      <sz val="9"/>
      <color indexed="81"/>
      <name val="Arial"/>
      <family val="2"/>
    </font>
    <font>
      <b/>
      <sz val="9"/>
      <color indexed="81"/>
      <name val="Arial"/>
      <family val="2"/>
    </font>
    <font>
      <b/>
      <u/>
      <sz val="11"/>
      <color indexed="10"/>
      <name val="Arial"/>
      <family val="2"/>
    </font>
    <font>
      <sz val="11"/>
      <color indexed="10"/>
      <name val="Arial"/>
      <family val="2"/>
    </font>
    <font>
      <b/>
      <sz val="10"/>
      <name val="Arial"/>
      <family val="2"/>
    </font>
    <font>
      <vertAlign val="subscript"/>
      <sz val="10"/>
      <name val="Arial"/>
      <family val="2"/>
    </font>
    <font>
      <b/>
      <vertAlign val="subscript"/>
      <sz val="10"/>
      <name val="Arial"/>
      <family val="2"/>
    </font>
    <font>
      <b/>
      <sz val="10"/>
      <color indexed="12"/>
      <name val="Arial"/>
      <family val="2"/>
    </font>
    <font>
      <sz val="11"/>
      <color theme="1"/>
      <name val="Calibri"/>
      <family val="2"/>
      <scheme val="minor"/>
    </font>
    <font>
      <b/>
      <sz val="11"/>
      <color theme="1"/>
      <name val="Calibri"/>
      <family val="2"/>
      <scheme val="minor"/>
    </font>
    <font>
      <sz val="20"/>
      <color rgb="FFFFFF00"/>
      <name val="Calibri"/>
      <family val="2"/>
      <scheme val="minor"/>
    </font>
    <font>
      <sz val="8"/>
      <color theme="1"/>
      <name val="Arial"/>
      <family val="2"/>
    </font>
    <font>
      <b/>
      <sz val="8"/>
      <color theme="1"/>
      <name val="Arial"/>
      <family val="2"/>
    </font>
    <font>
      <b/>
      <u/>
      <sz val="9"/>
      <color indexed="81"/>
      <name val="Arial"/>
      <family val="2"/>
    </font>
    <font>
      <sz val="10"/>
      <color rgb="FFFF0000"/>
      <name val="Arial"/>
      <family val="2"/>
    </font>
    <font>
      <sz val="10"/>
      <name val="Symbol"/>
      <family val="1"/>
      <charset val="2"/>
    </font>
    <font>
      <b/>
      <sz val="12"/>
      <name val="Arial"/>
      <family val="2"/>
    </font>
    <font>
      <b/>
      <sz val="11"/>
      <color theme="1"/>
      <name val="Arial"/>
      <family val="2"/>
    </font>
    <font>
      <b/>
      <vertAlign val="subscript"/>
      <sz val="11"/>
      <color theme="1"/>
      <name val="Arial"/>
      <family val="2"/>
    </font>
    <font>
      <b/>
      <vertAlign val="subscript"/>
      <sz val="11"/>
      <color theme="1"/>
      <name val="Calibri"/>
      <family val="2"/>
      <scheme val="minor"/>
    </font>
    <font>
      <b/>
      <sz val="14"/>
      <color theme="1"/>
      <name val="Arial"/>
      <family val="2"/>
    </font>
    <font>
      <sz val="10"/>
      <color rgb="FF0000FF"/>
      <name val="Arial"/>
      <family val="2"/>
    </font>
    <font>
      <b/>
      <sz val="12"/>
      <color rgb="FF0000FF"/>
      <name val="Arial"/>
      <family val="2"/>
    </font>
    <font>
      <b/>
      <sz val="10"/>
      <color rgb="FF0000FF"/>
      <name val="Arial"/>
      <family val="2"/>
    </font>
    <font>
      <sz val="9"/>
      <color indexed="81"/>
      <name val="Tahoma"/>
      <family val="2"/>
    </font>
    <font>
      <b/>
      <sz val="10"/>
      <color indexed="81"/>
      <name val="Tahoma"/>
      <family val="2"/>
    </font>
    <font>
      <sz val="10"/>
      <color indexed="81"/>
      <name val="Tahoma"/>
      <family val="2"/>
    </font>
    <font>
      <b/>
      <sz val="9"/>
      <color indexed="81"/>
      <name val="Tahoma"/>
      <family val="2"/>
    </font>
    <font>
      <u/>
      <sz val="9"/>
      <color indexed="81"/>
      <name val="Arial"/>
      <family val="2"/>
    </font>
    <font>
      <b/>
      <vertAlign val="subscript"/>
      <sz val="9"/>
      <color indexed="81"/>
      <name val="Arial"/>
      <family val="2"/>
    </font>
    <font>
      <vertAlign val="subscript"/>
      <sz val="9"/>
      <color indexed="81"/>
      <name val="Arial"/>
      <family val="2"/>
    </font>
    <font>
      <b/>
      <vertAlign val="subscript"/>
      <sz val="12"/>
      <color rgb="FF0000FF"/>
      <name val="Arial"/>
      <family val="2"/>
    </font>
    <font>
      <b/>
      <sz val="18"/>
      <color theme="1"/>
      <name val="Arial"/>
      <family val="2"/>
    </font>
    <font>
      <b/>
      <sz val="10"/>
      <color rgb="FF000000"/>
      <name val="Arial"/>
    </font>
  </fonts>
  <fills count="24">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499984740745262"/>
        <bgColor indexed="64"/>
      </patternFill>
    </fill>
    <fill>
      <patternFill patternType="solid">
        <fgColor rgb="FF7030A0"/>
        <bgColor indexed="64"/>
      </patternFill>
    </fill>
    <fill>
      <patternFill patternType="solid">
        <fgColor rgb="FFFFC000"/>
        <bgColor indexed="64"/>
      </patternFill>
    </fill>
    <fill>
      <patternFill patternType="solid">
        <fgColor theme="8"/>
        <bgColor indexed="64"/>
      </patternFill>
    </fill>
    <fill>
      <patternFill patternType="solid">
        <fgColor rgb="FFFF0000"/>
        <bgColor indexed="64"/>
      </patternFill>
    </fill>
    <fill>
      <patternFill patternType="solid">
        <fgColor theme="7"/>
        <bgColor indexed="64"/>
      </patternFill>
    </fill>
    <fill>
      <patternFill patternType="solid">
        <fgColor theme="0" tint="-0.14999847407452621"/>
        <bgColor indexed="64"/>
      </patternFill>
    </fill>
    <fill>
      <patternFill patternType="solid">
        <fgColor indexed="22"/>
        <bgColor indexed="64"/>
      </patternFill>
    </fill>
    <fill>
      <patternFill patternType="solid">
        <fgColor rgb="FFC0C0C0"/>
        <bgColor indexed="64"/>
      </patternFill>
    </fill>
    <fill>
      <patternFill patternType="solid">
        <fgColor indexed="44"/>
        <bgColor indexed="64"/>
      </patternFill>
    </fill>
    <fill>
      <patternFill patternType="solid">
        <fgColor indexed="46"/>
        <bgColor indexed="64"/>
      </patternFill>
    </fill>
    <fill>
      <patternFill patternType="solid">
        <fgColor indexed="47"/>
        <bgColor indexed="64"/>
      </patternFill>
    </fill>
    <fill>
      <patternFill patternType="solid">
        <fgColor rgb="FFFFFFCC"/>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rgb="FF2F75B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8" tint="0.399975585192419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5">
    <xf numFmtId="0" fontId="0" fillId="0" borderId="0"/>
    <xf numFmtId="0" fontId="5" fillId="0" borderId="0" applyNumberFormat="0" applyFill="0" applyBorder="0" applyAlignment="0" applyProtection="0"/>
    <xf numFmtId="0" fontId="22" fillId="0" borderId="0"/>
    <xf numFmtId="43" fontId="1" fillId="0" borderId="0" applyFont="0" applyFill="0" applyBorder="0" applyAlignment="0" applyProtection="0"/>
    <xf numFmtId="0" fontId="12" fillId="0" borderId="0"/>
  </cellStyleXfs>
  <cellXfs count="170">
    <xf numFmtId="0" fontId="0" fillId="0" borderId="0" xfId="0"/>
    <xf numFmtId="0" fontId="0" fillId="2" borderId="0" xfId="0" applyFill="1"/>
    <xf numFmtId="0" fontId="2" fillId="2" borderId="0" xfId="0" applyFont="1" applyFill="1" applyBorder="1" applyAlignment="1" applyProtection="1">
      <alignment horizontal="right" vertical="center"/>
    </xf>
    <xf numFmtId="0" fontId="2" fillId="2" borderId="0" xfId="0" applyFont="1" applyFill="1" applyBorder="1"/>
    <xf numFmtId="164" fontId="2" fillId="2" borderId="0" xfId="0" applyNumberFormat="1" applyFont="1" applyFill="1" applyBorder="1" applyProtection="1">
      <protection locked="0"/>
    </xf>
    <xf numFmtId="0" fontId="0" fillId="4" borderId="0" xfId="0" applyFill="1"/>
    <xf numFmtId="0" fontId="1" fillId="4" borderId="0" xfId="0" applyFont="1" applyFill="1"/>
    <xf numFmtId="0" fontId="6" fillId="4" borderId="0" xfId="0" applyFont="1" applyFill="1" applyBorder="1" applyAlignment="1" applyProtection="1">
      <alignment horizontal="left" vertical="center"/>
    </xf>
    <xf numFmtId="0" fontId="7" fillId="4" borderId="0" xfId="1" applyFont="1" applyFill="1" applyBorder="1" applyAlignment="1" applyProtection="1">
      <alignment horizontal="left" vertical="center"/>
    </xf>
    <xf numFmtId="0" fontId="8" fillId="4" borderId="0" xfId="0" applyFont="1" applyFill="1" applyBorder="1" applyAlignment="1" applyProtection="1">
      <alignment horizontal="left" vertical="center"/>
    </xf>
    <xf numFmtId="0" fontId="9" fillId="4" borderId="0" xfId="0" applyFont="1" applyFill="1"/>
    <xf numFmtId="0" fontId="6" fillId="4" borderId="0" xfId="0" quotePrefix="1" applyFont="1" applyFill="1" applyBorder="1" applyAlignment="1" applyProtection="1">
      <alignment vertical="center"/>
    </xf>
    <xf numFmtId="0" fontId="11" fillId="4" borderId="0" xfId="0" applyFont="1" applyFill="1" applyBorder="1" applyAlignment="1" applyProtection="1">
      <alignment horizontal="left"/>
    </xf>
    <xf numFmtId="0" fontId="11" fillId="4" borderId="0" xfId="0" applyFont="1" applyFill="1" applyBorder="1" applyAlignment="1" applyProtection="1">
      <alignment vertical="center"/>
    </xf>
    <xf numFmtId="0" fontId="12" fillId="4" borderId="0" xfId="0" applyFont="1" applyFill="1" applyBorder="1" applyProtection="1"/>
    <xf numFmtId="0" fontId="0" fillId="2" borderId="0" xfId="0" applyFont="1" applyFill="1" applyBorder="1" applyAlignment="1" applyProtection="1">
      <alignment horizontal="right" vertical="center"/>
    </xf>
    <xf numFmtId="164" fontId="0" fillId="2" borderId="0" xfId="0" applyNumberFormat="1" applyFont="1" applyFill="1" applyBorder="1" applyProtection="1">
      <protection locked="0"/>
    </xf>
    <xf numFmtId="0" fontId="0" fillId="2" borderId="0" xfId="0" applyFont="1" applyFill="1" applyBorder="1"/>
    <xf numFmtId="164" fontId="0" fillId="2" borderId="0" xfId="0" applyNumberFormat="1" applyFont="1" applyFill="1" applyBorder="1" applyAlignment="1" applyProtection="1">
      <alignment horizontal="right"/>
      <protection locked="0"/>
    </xf>
    <xf numFmtId="0" fontId="0" fillId="2" borderId="0" xfId="0" applyFill="1" applyAlignment="1">
      <alignment horizontal="right"/>
    </xf>
    <xf numFmtId="0" fontId="2" fillId="2" borderId="0" xfId="0" applyFont="1" applyFill="1" applyAlignment="1">
      <alignment horizontal="right"/>
    </xf>
    <xf numFmtId="0" fontId="0" fillId="2" borderId="0" xfId="0" applyFont="1" applyFill="1" applyAlignment="1">
      <alignment horizontal="right"/>
    </xf>
    <xf numFmtId="0" fontId="18" fillId="2" borderId="0" xfId="0" applyFont="1" applyFill="1" applyBorder="1" applyAlignment="1" applyProtection="1">
      <alignment horizontal="right" vertical="center"/>
    </xf>
    <xf numFmtId="0" fontId="12" fillId="2" borderId="0" xfId="0" applyFont="1" applyFill="1" applyBorder="1" applyAlignment="1" applyProtection="1">
      <alignment horizontal="right" vertical="center"/>
    </xf>
    <xf numFmtId="2" fontId="2" fillId="2" borderId="0" xfId="0" applyNumberFormat="1" applyFont="1" applyFill="1" applyBorder="1" applyProtection="1">
      <protection locked="0"/>
    </xf>
    <xf numFmtId="0" fontId="10" fillId="3" borderId="1" xfId="0" applyFont="1" applyFill="1" applyBorder="1" applyAlignment="1" applyProtection="1">
      <alignment vertical="center"/>
    </xf>
    <xf numFmtId="1" fontId="0" fillId="2" borderId="0" xfId="0" applyNumberFormat="1" applyFont="1" applyFill="1" applyBorder="1" applyProtection="1">
      <protection locked="0"/>
    </xf>
    <xf numFmtId="0" fontId="2" fillId="2" borderId="0" xfId="0" applyFont="1" applyFill="1"/>
    <xf numFmtId="0" fontId="21" fillId="2" borderId="0" xfId="0" applyFont="1" applyFill="1" applyBorder="1" applyAlignment="1" applyProtection="1">
      <alignment horizontal="right" vertical="center"/>
    </xf>
    <xf numFmtId="164" fontId="0" fillId="2" borderId="0" xfId="0" applyNumberFormat="1" applyFill="1"/>
    <xf numFmtId="1" fontId="0" fillId="2" borderId="0" xfId="0" applyNumberFormat="1" applyFill="1"/>
    <xf numFmtId="0" fontId="22" fillId="0" borderId="0" xfId="2"/>
    <xf numFmtId="0" fontId="23" fillId="0" borderId="0" xfId="0" applyFont="1"/>
    <xf numFmtId="0" fontId="0" fillId="0" borderId="0" xfId="0" applyAlignment="1">
      <alignment horizontal="left"/>
    </xf>
    <xf numFmtId="0" fontId="23" fillId="0" borderId="0" xfId="0" applyFont="1" applyAlignment="1">
      <alignment horizontal="left"/>
    </xf>
    <xf numFmtId="0" fontId="24" fillId="5" borderId="0" xfId="0" applyFont="1" applyFill="1"/>
    <xf numFmtId="0" fontId="25" fillId="0" borderId="0" xfId="0" applyFont="1"/>
    <xf numFmtId="0" fontId="0" fillId="6" borderId="0" xfId="0" applyFill="1"/>
    <xf numFmtId="0" fontId="0" fillId="7" borderId="0" xfId="0" applyFill="1"/>
    <xf numFmtId="0" fontId="0" fillId="0" borderId="0" xfId="0" applyFill="1"/>
    <xf numFmtId="0" fontId="0" fillId="8" borderId="0" xfId="0" applyFill="1"/>
    <xf numFmtId="0" fontId="26" fillId="0" borderId="0" xfId="0" applyFont="1"/>
    <xf numFmtId="0" fontId="2" fillId="0" borderId="0" xfId="0" applyFont="1"/>
    <xf numFmtId="164" fontId="2" fillId="3" borderId="0" xfId="0" applyNumberFormat="1" applyFont="1" applyFill="1" applyBorder="1" applyProtection="1">
      <protection locked="0"/>
    </xf>
    <xf numFmtId="164" fontId="2" fillId="3" borderId="0" xfId="0" applyNumberFormat="1" applyFont="1" applyFill="1" applyBorder="1" applyAlignment="1" applyProtection="1">
      <alignment horizontal="right"/>
      <protection locked="0"/>
    </xf>
    <xf numFmtId="0" fontId="0" fillId="9" borderId="0" xfId="0" applyFill="1"/>
    <xf numFmtId="0" fontId="0" fillId="3" borderId="0" xfId="0" applyFill="1"/>
    <xf numFmtId="2" fontId="0" fillId="0" borderId="0" xfId="0" applyNumberFormat="1"/>
    <xf numFmtId="1" fontId="2" fillId="3" borderId="0" xfId="0" applyNumberFormat="1" applyFont="1" applyFill="1" applyBorder="1" applyProtection="1">
      <protection locked="0"/>
    </xf>
    <xf numFmtId="2" fontId="2" fillId="3" borderId="0" xfId="0" applyNumberFormat="1" applyFont="1" applyFill="1" applyBorder="1" applyProtection="1">
      <protection locked="0"/>
    </xf>
    <xf numFmtId="11" fontId="0" fillId="0" borderId="0" xfId="0" applyNumberFormat="1"/>
    <xf numFmtId="0" fontId="0" fillId="0" borderId="0" xfId="0" applyFont="1"/>
    <xf numFmtId="1" fontId="0" fillId="0" borderId="0" xfId="0" applyNumberFormat="1"/>
    <xf numFmtId="0" fontId="0" fillId="10" borderId="0" xfId="0" applyFill="1"/>
    <xf numFmtId="1" fontId="0" fillId="10" borderId="0" xfId="0" applyNumberFormat="1" applyFill="1"/>
    <xf numFmtId="0" fontId="2" fillId="0" borderId="0" xfId="0" applyFont="1" applyAlignment="1">
      <alignment horizontal="left"/>
    </xf>
    <xf numFmtId="0" fontId="0" fillId="0" borderId="0" xfId="0" applyFill="1" applyAlignment="1">
      <alignment wrapText="1"/>
    </xf>
    <xf numFmtId="11" fontId="0" fillId="0" borderId="0" xfId="3" applyNumberFormat="1" applyFont="1"/>
    <xf numFmtId="166" fontId="0" fillId="0" borderId="0" xfId="3" applyNumberFormat="1" applyFont="1"/>
    <xf numFmtId="166" fontId="0" fillId="0" borderId="0" xfId="3" applyNumberFormat="1" applyFont="1" applyFill="1" applyAlignment="1">
      <alignment wrapText="1"/>
    </xf>
    <xf numFmtId="166" fontId="0" fillId="0" borderId="0" xfId="3" applyNumberFormat="1" applyFont="1" applyFill="1"/>
    <xf numFmtId="0" fontId="12" fillId="0" borderId="0" xfId="4"/>
    <xf numFmtId="0" fontId="12" fillId="0" borderId="0" xfId="4" applyAlignment="1">
      <alignment horizontal="center"/>
    </xf>
    <xf numFmtId="167" fontId="12" fillId="0" borderId="0" xfId="4" applyNumberFormat="1"/>
    <xf numFmtId="2" fontId="12" fillId="0" borderId="0" xfId="4" applyNumberFormat="1"/>
    <xf numFmtId="165" fontId="12" fillId="0" borderId="0" xfId="4" applyNumberFormat="1"/>
    <xf numFmtId="0" fontId="12" fillId="0" borderId="0" xfId="4" applyNumberFormat="1"/>
    <xf numFmtId="10" fontId="12" fillId="0" borderId="0" xfId="4" applyNumberFormat="1"/>
    <xf numFmtId="10" fontId="28" fillId="0" borderId="0" xfId="4" applyNumberFormat="1" applyFont="1" applyAlignment="1">
      <alignment horizontal="center"/>
    </xf>
    <xf numFmtId="0" fontId="12" fillId="0" borderId="0" xfId="4" applyFont="1"/>
    <xf numFmtId="167" fontId="12" fillId="0" borderId="0" xfId="4" applyNumberFormat="1" applyBorder="1"/>
    <xf numFmtId="2" fontId="12" fillId="0" borderId="0" xfId="4" applyNumberFormat="1" applyBorder="1"/>
    <xf numFmtId="0" fontId="12" fillId="0" borderId="0" xfId="4" applyBorder="1"/>
    <xf numFmtId="2" fontId="12" fillId="0" borderId="0" xfId="4" applyNumberFormat="1" applyAlignment="1">
      <alignment horizontal="center"/>
    </xf>
    <xf numFmtId="167" fontId="12" fillId="0" borderId="0" xfId="4" applyNumberFormat="1" applyAlignment="1"/>
    <xf numFmtId="167" fontId="12" fillId="0" borderId="0" xfId="4" applyNumberFormat="1" applyAlignment="1">
      <alignment horizontal="right"/>
    </xf>
    <xf numFmtId="169" fontId="12" fillId="0" borderId="0" xfId="4" applyNumberFormat="1"/>
    <xf numFmtId="0" fontId="12" fillId="0" borderId="0" xfId="4" applyNumberFormat="1" applyFont="1" applyProtection="1">
      <protection locked="0"/>
    </xf>
    <xf numFmtId="0" fontId="12" fillId="0" borderId="0" xfId="4" applyNumberFormat="1" applyProtection="1">
      <protection locked="0"/>
    </xf>
    <xf numFmtId="2" fontId="12" fillId="3" borderId="0" xfId="4" applyNumberFormat="1" applyFill="1"/>
    <xf numFmtId="167" fontId="12" fillId="3" borderId="0" xfId="4" applyNumberFormat="1" applyFill="1"/>
    <xf numFmtId="0" fontId="12" fillId="0" borderId="0" xfId="4" applyFill="1"/>
    <xf numFmtId="164" fontId="12" fillId="0" borderId="0" xfId="4" applyNumberFormat="1"/>
    <xf numFmtId="167" fontId="30" fillId="0" borderId="0" xfId="4" applyNumberFormat="1" applyFont="1"/>
    <xf numFmtId="165" fontId="0" fillId="0" borderId="0" xfId="0" applyNumberFormat="1"/>
    <xf numFmtId="2" fontId="12" fillId="0" borderId="0" xfId="4" applyNumberFormat="1" applyFill="1"/>
    <xf numFmtId="167" fontId="12" fillId="0" borderId="0" xfId="4" applyNumberFormat="1" applyFill="1"/>
    <xf numFmtId="167" fontId="12" fillId="0" borderId="0" xfId="4" applyNumberFormat="1" applyFill="1" applyAlignment="1">
      <alignment horizontal="right"/>
    </xf>
    <xf numFmtId="167" fontId="12" fillId="0" borderId="0" xfId="4" applyNumberFormat="1" applyFill="1" applyAlignment="1"/>
    <xf numFmtId="2" fontId="12" fillId="0" borderId="0" xfId="4" applyNumberFormat="1" applyFill="1" applyAlignment="1">
      <alignment horizontal="center"/>
    </xf>
    <xf numFmtId="165" fontId="12" fillId="0" borderId="0" xfId="4" applyNumberFormat="1" applyFill="1"/>
    <xf numFmtId="169" fontId="12" fillId="0" borderId="0" xfId="4" applyNumberFormat="1" applyFill="1"/>
    <xf numFmtId="0" fontId="12" fillId="0" borderId="0" xfId="4" applyNumberFormat="1" applyFont="1" applyFill="1" applyProtection="1">
      <protection locked="0"/>
    </xf>
    <xf numFmtId="0" fontId="12" fillId="0" borderId="0" xfId="4" applyNumberFormat="1" applyFill="1" applyProtection="1">
      <protection locked="0"/>
    </xf>
    <xf numFmtId="167" fontId="30" fillId="0" borderId="0" xfId="4" applyNumberFormat="1" applyFont="1" applyFill="1"/>
    <xf numFmtId="167" fontId="30" fillId="0" borderId="0" xfId="4" applyNumberFormat="1" applyFont="1" applyFill="1" applyAlignment="1">
      <alignment horizontal="right"/>
    </xf>
    <xf numFmtId="169" fontId="30" fillId="0" borderId="0" xfId="4" applyNumberFormat="1" applyFont="1" applyFill="1"/>
    <xf numFmtId="0" fontId="0" fillId="18" borderId="0" xfId="0" applyFill="1" applyAlignment="1">
      <alignment horizontal="right"/>
    </xf>
    <xf numFmtId="0" fontId="0" fillId="19" borderId="0" xfId="0" applyFill="1" applyAlignment="1">
      <alignment horizontal="right"/>
    </xf>
    <xf numFmtId="171" fontId="0" fillId="0" borderId="0" xfId="3" applyNumberFormat="1" applyFont="1"/>
    <xf numFmtId="0" fontId="12" fillId="11" borderId="1" xfId="4" applyFont="1" applyFill="1" applyBorder="1" applyAlignment="1">
      <alignment horizontal="center"/>
    </xf>
    <xf numFmtId="0" fontId="12" fillId="17" borderId="1" xfId="4" applyFont="1" applyFill="1" applyBorder="1" applyAlignment="1">
      <alignment horizontal="center" vertical="center" wrapText="1"/>
    </xf>
    <xf numFmtId="165" fontId="12" fillId="17" borderId="1" xfId="4" applyNumberFormat="1" applyFont="1" applyFill="1" applyBorder="1" applyAlignment="1">
      <alignment horizontal="center" vertical="center" wrapText="1"/>
    </xf>
    <xf numFmtId="167" fontId="12" fillId="17" borderId="1" xfId="4" applyNumberFormat="1" applyFont="1" applyFill="1" applyBorder="1" applyAlignment="1">
      <alignment horizontal="center" vertical="center" wrapText="1"/>
    </xf>
    <xf numFmtId="2" fontId="12" fillId="17" borderId="1" xfId="4" applyNumberFormat="1" applyFont="1" applyFill="1" applyBorder="1" applyAlignment="1">
      <alignment horizontal="center" vertical="center" wrapText="1"/>
    </xf>
    <xf numFmtId="2" fontId="12" fillId="13" borderId="1" xfId="4" applyNumberFormat="1" applyFont="1" applyFill="1" applyBorder="1" applyAlignment="1">
      <alignment horizontal="center" vertical="center" wrapText="1"/>
    </xf>
    <xf numFmtId="165" fontId="12" fillId="13" borderId="1" xfId="4" applyNumberFormat="1" applyFont="1" applyFill="1" applyBorder="1" applyAlignment="1">
      <alignment horizontal="center" vertical="center" wrapText="1"/>
    </xf>
    <xf numFmtId="0" fontId="12" fillId="13" borderId="1" xfId="4" applyFont="1" applyFill="1" applyBorder="1" applyAlignment="1">
      <alignment horizontal="center" vertical="center" wrapText="1"/>
    </xf>
    <xf numFmtId="0" fontId="12" fillId="14" borderId="1" xfId="4" applyNumberFormat="1" applyFont="1" applyFill="1" applyBorder="1" applyAlignment="1">
      <alignment horizontal="center" vertical="center" wrapText="1"/>
    </xf>
    <xf numFmtId="168" fontId="12" fillId="13" borderId="1" xfId="4" applyNumberFormat="1" applyFont="1" applyFill="1" applyBorder="1" applyAlignment="1">
      <alignment horizontal="center" vertical="center" wrapText="1"/>
    </xf>
    <xf numFmtId="0" fontId="12" fillId="14" borderId="1" xfId="4" applyFont="1" applyFill="1" applyBorder="1" applyAlignment="1">
      <alignment horizontal="center" vertical="center" wrapText="1"/>
    </xf>
    <xf numFmtId="0" fontId="28" fillId="13" borderId="1" xfId="4" applyFont="1" applyFill="1" applyBorder="1" applyAlignment="1">
      <alignment horizontal="center" vertical="center" wrapText="1"/>
    </xf>
    <xf numFmtId="0" fontId="12" fillId="15" borderId="1" xfId="4" applyFont="1" applyFill="1" applyBorder="1" applyAlignment="1">
      <alignment horizontal="center" vertical="center" wrapText="1"/>
    </xf>
    <xf numFmtId="2" fontId="12" fillId="15" borderId="1" xfId="4" applyNumberFormat="1" applyFont="1" applyFill="1" applyBorder="1" applyAlignment="1">
      <alignment horizontal="center" vertical="center" wrapText="1"/>
    </xf>
    <xf numFmtId="167" fontId="12" fillId="16" borderId="1" xfId="4" applyNumberFormat="1" applyFont="1" applyFill="1" applyBorder="1" applyAlignment="1">
      <alignment horizontal="center" vertical="center"/>
    </xf>
    <xf numFmtId="165" fontId="12" fillId="16" borderId="1" xfId="4" applyNumberFormat="1" applyFont="1" applyFill="1" applyBorder="1" applyAlignment="1">
      <alignment horizontal="center" vertical="center" wrapText="1"/>
    </xf>
    <xf numFmtId="0" fontId="0" fillId="17" borderId="0" xfId="0" applyFill="1" applyAlignment="1">
      <alignment horizontal="right"/>
    </xf>
    <xf numFmtId="170" fontId="0" fillId="17" borderId="0" xfId="3" applyNumberFormat="1" applyFont="1" applyFill="1" applyAlignment="1">
      <alignment horizontal="right"/>
    </xf>
    <xf numFmtId="0" fontId="12" fillId="6" borderId="0" xfId="4" applyFill="1" applyAlignment="1">
      <alignment horizontal="left"/>
    </xf>
    <xf numFmtId="0" fontId="12" fillId="6" borderId="0" xfId="4" applyFill="1"/>
    <xf numFmtId="0" fontId="12" fillId="6" borderId="0" xfId="4" applyFill="1" applyAlignment="1">
      <alignment horizontal="right"/>
    </xf>
    <xf numFmtId="0" fontId="2" fillId="7" borderId="0" xfId="0" applyFont="1" applyFill="1"/>
    <xf numFmtId="0" fontId="2" fillId="8" borderId="0" xfId="0" applyFont="1" applyFill="1"/>
    <xf numFmtId="43" fontId="0" fillId="0" borderId="0" xfId="0" applyNumberFormat="1"/>
    <xf numFmtId="0" fontId="2" fillId="20" borderId="0" xfId="0" applyFont="1" applyFill="1"/>
    <xf numFmtId="172" fontId="0" fillId="0" borderId="0" xfId="0" applyNumberFormat="1"/>
    <xf numFmtId="172" fontId="0" fillId="21" borderId="0" xfId="0" applyNumberFormat="1" applyFill="1"/>
    <xf numFmtId="2" fontId="0" fillId="0" borderId="0" xfId="0" applyNumberFormat="1" applyFill="1"/>
    <xf numFmtId="0" fontId="1" fillId="2" borderId="0" xfId="0" applyFont="1" applyFill="1"/>
    <xf numFmtId="0" fontId="0" fillId="0" borderId="6" xfId="0" applyFill="1" applyBorder="1"/>
    <xf numFmtId="0" fontId="0" fillId="0" borderId="7" xfId="0" applyBorder="1"/>
    <xf numFmtId="0" fontId="0" fillId="0" borderId="8" xfId="0" applyBorder="1"/>
    <xf numFmtId="0" fontId="31" fillId="0" borderId="5" xfId="0" applyFont="1" applyFill="1" applyBorder="1"/>
    <xf numFmtId="0" fontId="31" fillId="0" borderId="0" xfId="0" applyFont="1" applyFill="1"/>
    <xf numFmtId="0" fontId="34" fillId="3" borderId="0" xfId="0" applyFont="1" applyFill="1"/>
    <xf numFmtId="2" fontId="34" fillId="3" borderId="0" xfId="0" applyNumberFormat="1" applyFont="1" applyFill="1"/>
    <xf numFmtId="0" fontId="2" fillId="17" borderId="0" xfId="0" applyFont="1" applyFill="1" applyAlignment="1">
      <alignment horizontal="right"/>
    </xf>
    <xf numFmtId="0" fontId="0" fillId="22" borderId="0" xfId="0" applyFill="1"/>
    <xf numFmtId="0" fontId="2" fillId="3" borderId="0" xfId="0" applyFont="1" applyFill="1"/>
    <xf numFmtId="167" fontId="2" fillId="3" borderId="0" xfId="0" applyNumberFormat="1" applyFont="1" applyFill="1" applyBorder="1" applyProtection="1">
      <protection locked="0"/>
    </xf>
    <xf numFmtId="0" fontId="0" fillId="23" borderId="0" xfId="0" applyFill="1" applyAlignment="1">
      <alignment horizontal="right"/>
    </xf>
    <xf numFmtId="0" fontId="35" fillId="2" borderId="0" xfId="0" applyFont="1" applyFill="1"/>
    <xf numFmtId="0" fontId="36" fillId="2" borderId="0" xfId="0" applyFont="1" applyFill="1" applyBorder="1" applyAlignment="1" applyProtection="1">
      <alignment horizontal="left" vertical="center"/>
    </xf>
    <xf numFmtId="0" fontId="37" fillId="2" borderId="0" xfId="0" applyFont="1" applyFill="1" applyBorder="1" applyAlignment="1" applyProtection="1">
      <alignment horizontal="right" vertical="center"/>
    </xf>
    <xf numFmtId="0" fontId="28" fillId="2" borderId="0" xfId="0" applyFont="1" applyFill="1"/>
    <xf numFmtId="2" fontId="0" fillId="2" borderId="0" xfId="0" applyNumberFormat="1" applyFill="1"/>
    <xf numFmtId="167" fontId="0" fillId="0" borderId="0" xfId="0" applyNumberFormat="1"/>
    <xf numFmtId="164" fontId="0" fillId="2" borderId="0" xfId="0" applyNumberFormat="1" applyFont="1" applyFill="1" applyBorder="1" applyProtection="1"/>
    <xf numFmtId="2" fontId="0" fillId="2" borderId="0" xfId="0" applyNumberFormat="1" applyFont="1" applyFill="1" applyBorder="1" applyProtection="1"/>
    <xf numFmtId="164" fontId="0" fillId="2" borderId="0" xfId="0" applyNumberFormat="1" applyFont="1" applyFill="1" applyBorder="1" applyAlignment="1" applyProtection="1">
      <alignment horizontal="right"/>
    </xf>
    <xf numFmtId="1" fontId="0" fillId="2" borderId="0" xfId="0" applyNumberFormat="1" applyFont="1" applyFill="1" applyBorder="1" applyProtection="1"/>
    <xf numFmtId="164" fontId="12" fillId="2" borderId="0" xfId="0" applyNumberFormat="1" applyFont="1" applyFill="1" applyBorder="1" applyProtection="1"/>
    <xf numFmtId="2" fontId="0" fillId="2" borderId="0" xfId="0" applyNumberFormat="1" applyFont="1" applyFill="1" applyBorder="1" applyAlignment="1" applyProtection="1">
      <alignment horizontal="right"/>
    </xf>
    <xf numFmtId="0" fontId="2" fillId="0" borderId="0" xfId="0" applyFont="1" applyAlignment="1">
      <alignment wrapText="1"/>
    </xf>
    <xf numFmtId="0" fontId="0" fillId="0" borderId="0" xfId="0" applyFill="1" applyAlignment="1">
      <alignment horizontal="right"/>
    </xf>
    <xf numFmtId="1" fontId="0" fillId="2" borderId="0" xfId="0" applyNumberFormat="1" applyFont="1" applyFill="1" applyBorder="1" applyAlignment="1" applyProtection="1">
      <alignment horizontal="right"/>
    </xf>
    <xf numFmtId="0" fontId="0" fillId="2" borderId="0" xfId="0" applyFill="1" applyAlignment="1">
      <alignment horizontal="left" vertical="center" wrapText="1" indent="2"/>
    </xf>
    <xf numFmtId="0" fontId="46" fillId="0" borderId="0" xfId="0" applyFont="1"/>
    <xf numFmtId="0" fontId="34" fillId="0" borderId="0" xfId="0" applyFont="1"/>
    <xf numFmtId="2" fontId="2" fillId="3" borderId="0" xfId="0" applyNumberFormat="1" applyFont="1" applyFill="1" applyProtection="1">
      <protection locked="0"/>
    </xf>
    <xf numFmtId="0" fontId="2" fillId="3" borderId="0" xfId="0" applyFont="1" applyFill="1" applyAlignment="1" applyProtection="1">
      <alignment horizontal="right"/>
      <protection locked="0"/>
    </xf>
    <xf numFmtId="0" fontId="11" fillId="4" borderId="0" xfId="0" applyFont="1" applyFill="1" applyBorder="1" applyAlignment="1" applyProtection="1">
      <alignment horizontal="center" vertical="center"/>
    </xf>
    <xf numFmtId="0" fontId="12" fillId="11" borderId="1" xfId="4" applyFont="1" applyFill="1" applyBorder="1" applyAlignment="1">
      <alignment horizontal="center"/>
    </xf>
    <xf numFmtId="0" fontId="12" fillId="12" borderId="2" xfId="4" applyFont="1" applyFill="1" applyBorder="1" applyAlignment="1">
      <alignment horizontal="center"/>
    </xf>
    <xf numFmtId="0" fontId="12" fillId="12" borderId="3" xfId="4" applyFont="1" applyFill="1" applyBorder="1" applyAlignment="1">
      <alignment horizontal="center"/>
    </xf>
    <xf numFmtId="0" fontId="12" fillId="12" borderId="4" xfId="4" applyFont="1" applyFill="1" applyBorder="1" applyAlignment="1">
      <alignment horizontal="center"/>
    </xf>
    <xf numFmtId="0" fontId="12" fillId="11" borderId="2" xfId="4" applyFont="1" applyFill="1" applyBorder="1" applyAlignment="1">
      <alignment horizontal="center"/>
    </xf>
    <xf numFmtId="0" fontId="12" fillId="11" borderId="3" xfId="4" applyFont="1" applyFill="1" applyBorder="1" applyAlignment="1">
      <alignment horizontal="center"/>
    </xf>
    <xf numFmtId="0" fontId="12" fillId="11" borderId="4" xfId="4" applyFont="1" applyFill="1" applyBorder="1" applyAlignment="1">
      <alignment horizontal="center"/>
    </xf>
    <xf numFmtId="168" fontId="12" fillId="11" borderId="1" xfId="4" applyNumberFormat="1" applyFont="1" applyFill="1" applyBorder="1" applyAlignment="1">
      <alignment horizontal="center"/>
    </xf>
  </cellXfs>
  <cellStyles count="5">
    <cellStyle name="Comma" xfId="3" builtinId="3"/>
    <cellStyle name="Hyperlink" xfId="1" builtinId="8"/>
    <cellStyle name="Normal" xfId="0" builtinId="0"/>
    <cellStyle name="Normal 2" xfId="2" xr:uid="{5847C10D-DD5E-4708-8BFB-B918008C1FC6}"/>
    <cellStyle name="Normal 3" xfId="4" xr:uid="{6BAEB65F-A9D5-4E14-B5F2-C0548D7B4498}"/>
  </cellStyles>
  <dxfs count="23">
    <dxf>
      <font>
        <color rgb="FFFFC000"/>
      </font>
    </dxf>
    <dxf>
      <font>
        <color rgb="FFFFC000"/>
      </font>
    </dxf>
    <dxf>
      <font>
        <color rgb="FFFF0000"/>
      </font>
      <fill>
        <patternFill>
          <bgColor theme="0"/>
        </patternFill>
      </fill>
    </dxf>
    <dxf>
      <font>
        <color rgb="FFFFC000"/>
      </font>
    </dxf>
    <dxf>
      <font>
        <color rgb="FFFFC000"/>
      </font>
    </dxf>
    <dxf>
      <font>
        <color rgb="FFFFC000"/>
      </font>
    </dxf>
    <dxf>
      <font>
        <color rgb="FFFF0000"/>
      </font>
    </dxf>
    <dxf>
      <font>
        <color theme="7"/>
      </font>
    </dxf>
    <dxf>
      <font>
        <color theme="7"/>
      </font>
    </dxf>
    <dxf>
      <font>
        <color rgb="FFFF0000"/>
      </font>
    </dxf>
    <dxf>
      <font>
        <color rgb="FFFF0000"/>
      </font>
    </dxf>
    <dxf>
      <font>
        <color rgb="FFFF0000"/>
      </font>
    </dxf>
    <dxf>
      <font>
        <color rgb="FFFF0000"/>
      </font>
    </dxf>
    <dxf>
      <font>
        <color rgb="FFFF0000"/>
      </font>
    </dxf>
    <dxf>
      <font>
        <color rgb="FFFF0000"/>
      </font>
    </dxf>
    <dxf>
      <font>
        <color rgb="FFFFC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0000FF"/>
      <color rgb="FF2F75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Sample</a:t>
            </a:r>
            <a:r>
              <a:rPr lang="en-US" baseline="0"/>
              <a:t> &amp; Hold</a:t>
            </a:r>
            <a:endParaRPr lang="en-US"/>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Bode!$G$11</c:f>
              <c:strCache>
                <c:ptCount val="1"/>
                <c:pt idx="0">
                  <c:v>SH_GAIN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Bode!$G$12:$G$138</c:f>
              <c:numCache>
                <c:formatCode>_(* #,##0.000000_);_(* \(#,##0.000000\);_(* "-"??_);_(@_)</c:formatCode>
                <c:ptCount val="127"/>
                <c:pt idx="0">
                  <c:v>-4.9247335823552587E-10</c:v>
                </c:pt>
                <c:pt idx="1">
                  <c:v>-1.1080730117707991E-9</c:v>
                </c:pt>
                <c:pt idx="2">
                  <c:v>-1.9698992190744381E-9</c:v>
                </c:pt>
                <c:pt idx="3">
                  <c:v>-3.0779703024416068E-9</c:v>
                </c:pt>
                <c:pt idx="4">
                  <c:v>-4.4322698683996066E-9</c:v>
                </c:pt>
                <c:pt idx="5">
                  <c:v>-6.0328133463030885E-9</c:v>
                </c:pt>
                <c:pt idx="6">
                  <c:v>-7.8795949503233739E-9</c:v>
                </c:pt>
                <c:pt idx="7">
                  <c:v>-9.9726117876351236E-9</c:v>
                </c:pt>
                <c:pt idx="8">
                  <c:v>-1.2311865787071279E-8</c:v>
                </c:pt>
                <c:pt idx="9">
                  <c:v>-1.4897372378070278E-8</c:v>
                </c:pt>
                <c:pt idx="10">
                  <c:v>-1.7729096845063156E-8</c:v>
                </c:pt>
                <c:pt idx="11">
                  <c:v>-2.0807067153787322E-8</c:v>
                </c:pt>
                <c:pt idx="12">
                  <c:v>-2.4131274625557338E-8</c:v>
                </c:pt>
                <c:pt idx="13">
                  <c:v>-2.770171829632845E-8</c:v>
                </c:pt>
                <c:pt idx="14">
                  <c:v>-3.1518396237749369E-8</c:v>
                </c:pt>
                <c:pt idx="15">
                  <c:v>-3.558131230745457E-8</c:v>
                </c:pt>
                <c:pt idx="16">
                  <c:v>-3.9890464577134658E-8</c:v>
                </c:pt>
                <c:pt idx="17">
                  <c:v>-4.4445853047156113E-8</c:v>
                </c:pt>
                <c:pt idx="18">
                  <c:v>-4.9247485432526135E-8</c:v>
                </c:pt>
                <c:pt idx="19">
                  <c:v>-1.1080684864289028E-7</c:v>
                </c:pt>
                <c:pt idx="20">
                  <c:v>-1.9698995594171002E-7</c:v>
                </c:pt>
                <c:pt idx="21">
                  <c:v>-3.0779679552569285E-7</c:v>
                </c:pt>
                <c:pt idx="22">
                  <c:v>-4.4322737412318668E-7</c:v>
                </c:pt>
                <c:pt idx="23">
                  <c:v>-6.0328169288599316E-7</c:v>
                </c:pt>
                <c:pt idx="24">
                  <c:v>-7.8795975317533256E-7</c:v>
                </c:pt>
                <c:pt idx="25">
                  <c:v>-9.9726153631096399E-7</c:v>
                </c:pt>
                <c:pt idx="26">
                  <c:v>-1.2311870508232368E-6</c:v>
                </c:pt>
                <c:pt idx="27">
                  <c:v>-1.4897362919513321E-6</c:v>
                </c:pt>
                <c:pt idx="28">
                  <c:v>-1.7729092483935543E-6</c:v>
                </c:pt>
                <c:pt idx="29">
                  <c:v>-2.0807059283441797E-6</c:v>
                </c:pt>
                <c:pt idx="30">
                  <c:v>-2.4131263180273645E-6</c:v>
                </c:pt>
                <c:pt idx="31">
                  <c:v>-2.7701704125556324E-6</c:v>
                </c:pt>
                <c:pt idx="32">
                  <c:v>-3.1518381956789873E-6</c:v>
                </c:pt>
                <c:pt idx="33">
                  <c:v>-3.5581296831796693E-6</c:v>
                </c:pt>
                <c:pt idx="34">
                  <c:v>-3.9890448486189112E-6</c:v>
                </c:pt>
                <c:pt idx="35">
                  <c:v>-4.4445837081977868E-6</c:v>
                </c:pt>
                <c:pt idx="36">
                  <c:v>-4.9247462320390461E-6</c:v>
                </c:pt>
                <c:pt idx="37">
                  <c:v>-1.1080671565265836E-5</c:v>
                </c:pt>
                <c:pt idx="38">
                  <c:v>-1.9698953123788512E-5</c:v>
                </c:pt>
                <c:pt idx="39">
                  <c:v>-3.0779576986221033E-5</c:v>
                </c:pt>
                <c:pt idx="40">
                  <c:v>-4.4322525283689037E-5</c:v>
                </c:pt>
                <c:pt idx="41">
                  <c:v>-6.0327776140916273E-5</c:v>
                </c:pt>
                <c:pt idx="42">
                  <c:v>-7.8795303729153489E-5</c:v>
                </c:pt>
                <c:pt idx="43">
                  <c:v>-9.9725078231333343E-5</c:v>
                </c:pt>
                <c:pt idx="44">
                  <c:v>-1.231170658747088E-4</c:v>
                </c:pt>
                <c:pt idx="45">
                  <c:v>-1.4897122890078981E-4</c:v>
                </c:pt>
                <c:pt idx="46">
                  <c:v>-1.7728752556419013E-4</c:v>
                </c:pt>
                <c:pt idx="47">
                  <c:v>-2.0806591017484997E-4</c:v>
                </c:pt>
                <c:pt idx="48">
                  <c:v>-2.4130633305730493E-4</c:v>
                </c:pt>
                <c:pt idx="49">
                  <c:v>-2.7700874055815264E-4</c:v>
                </c:pt>
                <c:pt idx="50">
                  <c:v>-3.151730750534993E-4</c:v>
                </c:pt>
                <c:pt idx="51">
                  <c:v>-3.5579927494288553E-4</c:v>
                </c:pt>
                <c:pt idx="52">
                  <c:v>-3.9888727465765757E-4</c:v>
                </c:pt>
                <c:pt idx="53">
                  <c:v>-4.4443700467028396E-4</c:v>
                </c:pt>
                <c:pt idx="54">
                  <c:v>-4.924483914737559E-4</c:v>
                </c:pt>
                <c:pt idx="55">
                  <c:v>-1.1079343716932444E-3</c:v>
                </c:pt>
                <c:pt idx="56">
                  <c:v>-1.9694757012414339E-3</c:v>
                </c:pt>
                <c:pt idx="57">
                  <c:v>-3.0769334293589447E-3</c:v>
                </c:pt>
                <c:pt idx="58">
                  <c:v>-4.4301290363829319E-3</c:v>
                </c:pt>
                <c:pt idx="59">
                  <c:v>-6.0288445320483396E-3</c:v>
                </c:pt>
                <c:pt idx="60">
                  <c:v>-7.8728225753175937E-3</c:v>
                </c:pt>
                <c:pt idx="61">
                  <c:v>-9.9617666158390971E-3</c:v>
                </c:pt>
                <c:pt idx="62">
                  <c:v>-1.2295341056493023E-2</c:v>
                </c:pt>
                <c:pt idx="63">
                  <c:v>-1.4873171437259046E-2</c:v>
                </c:pt>
                <c:pt idx="64">
                  <c:v>-1.7694844639869402E-2</c:v>
                </c:pt>
                <c:pt idx="65">
                  <c:v>-2.0759909113181613E-2</c:v>
                </c:pt>
                <c:pt idx="66">
                  <c:v>-2.4067875118983839E-2</c:v>
                </c:pt>
                <c:pt idx="67">
                  <c:v>-2.7618214997861143E-2</c:v>
                </c:pt>
                <c:pt idx="68">
                  <c:v>-3.1410363455032196E-2</c:v>
                </c:pt>
                <c:pt idx="69">
                  <c:v>-3.544371786553225E-2</c:v>
                </c:pt>
                <c:pt idx="70">
                  <c:v>-3.9717638598720524E-2</c:v>
                </c:pt>
                <c:pt idx="71">
                  <c:v>-4.4231449361505179E-2</c:v>
                </c:pt>
                <c:pt idx="72">
                  <c:v>-4.8984437559967842E-2</c:v>
                </c:pt>
                <c:pt idx="73">
                  <c:v>-0.10948716423207261</c:v>
                </c:pt>
                <c:pt idx="74">
                  <c:v>-0.19287097030292386</c:v>
                </c:pt>
                <c:pt idx="75">
                  <c:v>-0.2978984212187436</c:v>
                </c:pt>
                <c:pt idx="76">
                  <c:v>-0.42308660795933573</c:v>
                </c:pt>
                <c:pt idx="77">
                  <c:v>-0.56677280078279502</c:v>
                </c:pt>
                <c:pt idx="78">
                  <c:v>-0.72718084842199782</c:v>
                </c:pt>
                <c:pt idx="79">
                  <c:v>-0.90248363432243173</c:v>
                </c:pt>
                <c:pt idx="80">
                  <c:v>-1.0908581339488543</c:v>
                </c:pt>
                <c:pt idx="81">
                  <c:v>-1.2905309881520501</c:v>
                </c:pt>
                <c:pt idx="82">
                  <c:v>-1.4998137827245013</c:v>
                </c:pt>
                <c:pt idx="83">
                  <c:v>-1.717128253350328</c:v>
                </c:pt>
                <c:pt idx="84">
                  <c:v>-1.9410223552619628</c:v>
                </c:pt>
                <c:pt idx="85">
                  <c:v>-2.1701785544573693</c:v>
                </c:pt>
                <c:pt idx="86">
                  <c:v>-2.4034158616277863</c:v>
                </c:pt>
                <c:pt idx="87">
                  <c:v>-2.6396871083784577</c:v>
                </c:pt>
                <c:pt idx="88">
                  <c:v>-2.8780728251414613</c:v>
                </c:pt>
                <c:pt idx="89">
                  <c:v>-3.1177728780563889</c:v>
                </c:pt>
                <c:pt idx="90">
                  <c:v>-3.3580968001160088</c:v>
                </c:pt>
                <c:pt idx="91">
                  <c:v>-5.702412179117383</c:v>
                </c:pt>
                <c:pt idx="92">
                  <c:v>-7.8250743806743914</c:v>
                </c:pt>
                <c:pt idx="93">
                  <c:v>-9.7165173953115431</c:v>
                </c:pt>
                <c:pt idx="94">
                  <c:v>-11.418133417242952</c:v>
                </c:pt>
                <c:pt idx="95">
                  <c:v>-12.969168978030911</c:v>
                </c:pt>
                <c:pt idx="96">
                  <c:v>-14.399235118588747</c:v>
                </c:pt>
                <c:pt idx="97">
                  <c:v>-15.729685424004723</c:v>
                </c:pt>
                <c:pt idx="98">
                  <c:v>-16.97597868235076</c:v>
                </c:pt>
                <c:pt idx="99">
                  <c:v>-18.149561557755614</c:v>
                </c:pt>
                <c:pt idx="100">
                  <c:v>-19.259168620966118</c:v>
                </c:pt>
                <c:pt idx="101">
                  <c:v>-20.311680241893313</c:v>
                </c:pt>
                <c:pt idx="102">
                  <c:v>-21.312681338334336</c:v>
                </c:pt>
                <c:pt idx="103">
                  <c:v>-22.266825963494398</c:v>
                </c:pt>
                <c:pt idx="104">
                  <c:v>-23.178077834392941</c:v>
                </c:pt>
                <c:pt idx="105">
                  <c:v>-24.049871873882701</c:v>
                </c:pt>
                <c:pt idx="106">
                  <c:v>-24.88522527360319</c:v>
                </c:pt>
                <c:pt idx="107">
                  <c:v>-25.686815996076323</c:v>
                </c:pt>
                <c:pt idx="108">
                  <c:v>-26.457039975793791</c:v>
                </c:pt>
                <c:pt idx="109">
                  <c:v>-32.824151733011206</c:v>
                </c:pt>
                <c:pt idx="110">
                  <c:v>-37.559381448817383</c:v>
                </c:pt>
                <c:pt idx="111">
                  <c:v>-41.309105993652707</c:v>
                </c:pt>
                <c:pt idx="112">
                  <c:v>-44.406050008128474</c:v>
                </c:pt>
                <c:pt idx="113">
                  <c:v>-47.041002492349762</c:v>
                </c:pt>
                <c:pt idx="114">
                  <c:v>-49.332607569748461</c:v>
                </c:pt>
                <c:pt idx="115">
                  <c:v>-51.359361964876484</c:v>
                </c:pt>
                <c:pt idx="116">
                  <c:v>-53.175772843592391</c:v>
                </c:pt>
                <c:pt idx="117">
                  <c:v>-54.821176969660698</c:v>
                </c:pt>
                <c:pt idx="118">
                  <c:v>-56.324867363682294</c:v>
                </c:pt>
                <c:pt idx="119">
                  <c:v>-57.709231547925896</c:v>
                </c:pt>
                <c:pt idx="120">
                  <c:v>-58.99175696970417</c:v>
                </c:pt>
                <c:pt idx="121">
                  <c:v>-60.186359794774127</c:v>
                </c:pt>
                <c:pt idx="122">
                  <c:v>-61.304292997859292</c:v>
                </c:pt>
                <c:pt idx="123">
                  <c:v>-62.354783706311892</c:v>
                </c:pt>
                <c:pt idx="124">
                  <c:v>-63.34549101987907</c:v>
                </c:pt>
                <c:pt idx="125">
                  <c:v>-64.282841643398442</c:v>
                </c:pt>
                <c:pt idx="126">
                  <c:v>-65.17228041952886</c:v>
                </c:pt>
              </c:numCache>
            </c:numRef>
          </c:yVal>
          <c:smooth val="0"/>
          <c:extLst>
            <c:ext xmlns:c16="http://schemas.microsoft.com/office/drawing/2014/chart" uri="{C3380CC4-5D6E-409C-BE32-E72D297353CC}">
              <c16:uniqueId val="{00000000-3967-4091-A9E3-161CA4227048}"/>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Bode!$H$11</c:f>
              <c:strCache>
                <c:ptCount val="1"/>
                <c:pt idx="0">
                  <c:v>SH_PHASE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Bode!$H$12:$H$138</c:f>
              <c:numCache>
                <c:formatCode>_(* #,##0.000000_);_(* \(#,##0.000000\);_(* "-"??_);_(@_)</c:formatCode>
                <c:ptCount val="127"/>
                <c:pt idx="0">
                  <c:v>-7.0081914891390962E-4</c:v>
                </c:pt>
                <c:pt idx="1">
                  <c:v>-1.0512287233291251E-3</c:v>
                </c:pt>
                <c:pt idx="2">
                  <c:v>-1.4016382976942603E-3</c:v>
                </c:pt>
                <c:pt idx="3">
                  <c:v>-1.752047871992614E-3</c:v>
                </c:pt>
                <c:pt idx="4">
                  <c:v>-2.1024574462074927E-3</c:v>
                </c:pt>
                <c:pt idx="5">
                  <c:v>-2.4528670203221958E-3</c:v>
                </c:pt>
                <c:pt idx="6">
                  <c:v>-2.8032765943200371E-3</c:v>
                </c:pt>
                <c:pt idx="7">
                  <c:v>-3.1536861681843121E-3</c:v>
                </c:pt>
                <c:pt idx="8">
                  <c:v>-3.5040957418983384E-3</c:v>
                </c:pt>
                <c:pt idx="9">
                  <c:v>-3.8545053154454226E-3</c:v>
                </c:pt>
                <c:pt idx="10">
                  <c:v>-4.20491488880885E-3</c:v>
                </c:pt>
                <c:pt idx="11">
                  <c:v>-4.5553244619719394E-3</c:v>
                </c:pt>
                <c:pt idx="12">
                  <c:v>-4.9057340349179888E-3</c:v>
                </c:pt>
                <c:pt idx="13">
                  <c:v>-5.2561436076303094E-3</c:v>
                </c:pt>
                <c:pt idx="14">
                  <c:v>-5.6065531800922027E-3</c:v>
                </c:pt>
                <c:pt idx="15">
                  <c:v>-5.956962752286998E-3</c:v>
                </c:pt>
                <c:pt idx="16">
                  <c:v>-6.3073723241979518E-3</c:v>
                </c:pt>
                <c:pt idx="17">
                  <c:v>-6.6577818958083786E-3</c:v>
                </c:pt>
                <c:pt idx="18">
                  <c:v>-7.0081914671016104E-3</c:v>
                </c:pt>
                <c:pt idx="19">
                  <c:v>-1.0512287158914823E-2</c:v>
                </c:pt>
                <c:pt idx="20">
                  <c:v>-1.4016382800642877E-2</c:v>
                </c:pt>
                <c:pt idx="21">
                  <c:v>-1.7520478375590669E-2</c:v>
                </c:pt>
                <c:pt idx="22">
                  <c:v>-2.1024573867063218E-2</c:v>
                </c:pt>
                <c:pt idx="23">
                  <c:v>-2.4528669258365544E-2</c:v>
                </c:pt>
                <c:pt idx="24">
                  <c:v>-2.8032764532802467E-2</c:v>
                </c:pt>
                <c:pt idx="25">
                  <c:v>-3.153685967367903E-2</c:v>
                </c:pt>
                <c:pt idx="26">
                  <c:v>-3.5040954664300218E-2</c:v>
                </c:pt>
                <c:pt idx="27">
                  <c:v>-3.8545049487970988E-2</c:v>
                </c:pt>
                <c:pt idx="28">
                  <c:v>-4.2049144127996228E-2</c:v>
                </c:pt>
                <c:pt idx="29">
                  <c:v>-4.5553238567681016E-2</c:v>
                </c:pt>
                <c:pt idx="30">
                  <c:v>-4.9057332790330324E-2</c:v>
                </c:pt>
                <c:pt idx="31">
                  <c:v>-5.2561426779249174E-2</c:v>
                </c:pt>
                <c:pt idx="32">
                  <c:v>-5.6065520517742481E-2</c:v>
                </c:pt>
                <c:pt idx="33">
                  <c:v>-5.9569613989115498E-2</c:v>
                </c:pt>
                <c:pt idx="34">
                  <c:v>-6.3073707176672544E-2</c:v>
                </c:pt>
                <c:pt idx="35">
                  <c:v>-6.6577800063719661E-2</c:v>
                </c:pt>
                <c:pt idx="36">
                  <c:v>-7.0081892633561474E-2</c:v>
                </c:pt>
                <c:pt idx="37">
                  <c:v>-0.10512279721280021</c:v>
                </c:pt>
                <c:pt idx="38">
                  <c:v>-0.14016365170714276</c:v>
                </c:pt>
                <c:pt idx="39">
                  <c:v>-0.17520443942188033</c:v>
                </c:pt>
                <c:pt idx="40">
                  <c:v>-0.21024514366252556</c:v>
                </c:pt>
                <c:pt idx="41">
                  <c:v>-0.24528574773486486</c:v>
                </c:pt>
                <c:pt idx="42">
                  <c:v>-0.2803262349450158</c:v>
                </c:pt>
                <c:pt idx="43">
                  <c:v>-0.31536658859948202</c:v>
                </c:pt>
                <c:pt idx="44">
                  <c:v>-0.35040679200520708</c:v>
                </c:pt>
                <c:pt idx="45">
                  <c:v>-0.38544682846963052</c:v>
                </c:pt>
                <c:pt idx="46">
                  <c:v>-0.42048668130074068</c:v>
                </c:pt>
                <c:pt idx="47">
                  <c:v>-0.45552633380713503</c:v>
                </c:pt>
                <c:pt idx="48">
                  <c:v>-0.490565769298068</c:v>
                </c:pt>
                <c:pt idx="49">
                  <c:v>-0.52560497108351301</c:v>
                </c:pt>
                <c:pt idx="50">
                  <c:v>-0.56064392247421235</c:v>
                </c:pt>
                <c:pt idx="51">
                  <c:v>-0.59568260678173679</c:v>
                </c:pt>
                <c:pt idx="52">
                  <c:v>-0.63072100731852909</c:v>
                </c:pt>
                <c:pt idx="53">
                  <c:v>-0.66575910739798227</c:v>
                </c:pt>
                <c:pt idx="54">
                  <c:v>-0.70079689033446302</c:v>
                </c:pt>
                <c:pt idx="55">
                  <c:v>-1.0511536068174498</c:v>
                </c:pt>
                <c:pt idx="56">
                  <c:v>-1.4014602642905176</c:v>
                </c:pt>
                <c:pt idx="57">
                  <c:v>-1.7517002020886445</c:v>
                </c:pt>
                <c:pt idx="58">
                  <c:v>-2.1018567815237796</c:v>
                </c:pt>
                <c:pt idx="59">
                  <c:v>-2.4519133913449362</c:v>
                </c:pt>
                <c:pt idx="60">
                  <c:v>-2.8018534531757542</c:v>
                </c:pt>
                <c:pt idx="61">
                  <c:v>-3.1516604269248529</c:v>
                </c:pt>
                <c:pt idx="62">
                  <c:v>-3.5013178161647365</c:v>
                </c:pt>
                <c:pt idx="63">
                  <c:v>-3.8508091734748362</c:v>
                </c:pt>
                <c:pt idx="64">
                  <c:v>-4.2001181057443091</c:v>
                </c:pt>
                <c:pt idx="65">
                  <c:v>-4.5492282794304693</c:v>
                </c:pt>
                <c:pt idx="66">
                  <c:v>-4.8981234257685928</c:v>
                </c:pt>
                <c:pt idx="67">
                  <c:v>-5.2467873459289818</c:v>
                </c:pt>
                <c:pt idx="68">
                  <c:v>-5.5952039161173657</c:v>
                </c:pt>
                <c:pt idx="69">
                  <c:v>-5.9433570926145416</c:v>
                </c:pt>
                <c:pt idx="70">
                  <c:v>-6.291230916751517</c:v>
                </c:pt>
                <c:pt idx="71">
                  <c:v>-6.6388095198164097</c:v>
                </c:pt>
                <c:pt idx="72">
                  <c:v>-6.9860771278893141</c:v>
                </c:pt>
                <c:pt idx="73">
                  <c:v>-10.438255278447237</c:v>
                </c:pt>
                <c:pt idx="74">
                  <c:v>-13.842858506114018</c:v>
                </c:pt>
                <c:pt idx="75">
                  <c:v>-17.186335634521356</c:v>
                </c:pt>
                <c:pt idx="76">
                  <c:v>-20.456886911763053</c:v>
                </c:pt>
                <c:pt idx="77">
                  <c:v>-23.64465599608851</c:v>
                </c:pt>
                <c:pt idx="78">
                  <c:v>-26.741806382814495</c:v>
                </c:pt>
                <c:pt idx="79">
                  <c:v>-29.742494504052498</c:v>
                </c:pt>
                <c:pt idx="80">
                  <c:v>-32.642759041617282</c:v>
                </c:pt>
                <c:pt idx="81">
                  <c:v>-35.440349388678982</c:v>
                </c:pt>
                <c:pt idx="82">
                  <c:v>-38.134516177192218</c:v>
                </c:pt>
                <c:pt idx="83">
                  <c:v>-40.725784303067869</c:v>
                </c:pt>
                <c:pt idx="84">
                  <c:v>-43.215724988967573</c:v>
                </c:pt>
                <c:pt idx="85">
                  <c:v>-45.606739055485193</c:v>
                </c:pt>
                <c:pt idx="86">
                  <c:v>-47.901859403290089</c:v>
                </c:pt>
                <c:pt idx="87">
                  <c:v>-50.104577145967731</c:v>
                </c:pt>
                <c:pt idx="88">
                  <c:v>-52.218693047859972</c:v>
                </c:pt>
                <c:pt idx="89">
                  <c:v>-54.24819392019527</c:v>
                </c:pt>
                <c:pt idx="90">
                  <c:v>-56.197152321398661</c:v>
                </c:pt>
                <c:pt idx="91">
                  <c:v>-72.100835118219749</c:v>
                </c:pt>
                <c:pt idx="92">
                  <c:v>-83.57014359114838</c:v>
                </c:pt>
                <c:pt idx="93">
                  <c:v>-92.466786695621082</c:v>
                </c:pt>
                <c:pt idx="94">
                  <c:v>-99.737352725262653</c:v>
                </c:pt>
                <c:pt idx="95">
                  <c:v>-105.88400660511957</c:v>
                </c:pt>
                <c:pt idx="96">
                  <c:v>-111.19502219601733</c:v>
                </c:pt>
                <c:pt idx="97">
                  <c:v>-115.8504077324545</c:v>
                </c:pt>
                <c:pt idx="98">
                  <c:v>-119.97174814603167</c:v>
                </c:pt>
                <c:pt idx="99">
                  <c:v>-123.64686388522185</c:v>
                </c:pt>
                <c:pt idx="100">
                  <c:v>-126.94264013355482</c:v>
                </c:pt>
                <c:pt idx="101">
                  <c:v>-129.91206110978294</c:v>
                </c:pt>
                <c:pt idx="102">
                  <c:v>-132.59828995229614</c:v>
                </c:pt>
                <c:pt idx="103">
                  <c:v>-135.0371814008671</c:v>
                </c:pt>
                <c:pt idx="104">
                  <c:v>-137.25892711787802</c:v>
                </c:pt>
                <c:pt idx="105">
                  <c:v>-139.28919764306025</c:v>
                </c:pt>
                <c:pt idx="106">
                  <c:v>-141.14997636619825</c:v>
                </c:pt>
                <c:pt idx="107">
                  <c:v>-142.86019418609479</c:v>
                </c:pt>
                <c:pt idx="108">
                  <c:v>-144.43622785223064</c:v>
                </c:pt>
                <c:pt idx="109">
                  <c:v>-155.21925320941048</c:v>
                </c:pt>
                <c:pt idx="110">
                  <c:v>-161.09507061278705</c:v>
                </c:pt>
                <c:pt idx="111">
                  <c:v>-164.75144932834738</c:v>
                </c:pt>
                <c:pt idx="112">
                  <c:v>-167.23495893568682</c:v>
                </c:pt>
                <c:pt idx="113">
                  <c:v>-169.02814770901111</c:v>
                </c:pt>
                <c:pt idx="114">
                  <c:v>-170.38220788660462</c:v>
                </c:pt>
                <c:pt idx="115">
                  <c:v>-171.44016812786589</c:v>
                </c:pt>
                <c:pt idx="116">
                  <c:v>-172.2892441152481</c:v>
                </c:pt>
                <c:pt idx="117">
                  <c:v>-172.98556176131393</c:v>
                </c:pt>
                <c:pt idx="118">
                  <c:v>-173.56684204261035</c:v>
                </c:pt>
                <c:pt idx="119">
                  <c:v>-174.05935741092273</c:v>
                </c:pt>
                <c:pt idx="120">
                  <c:v>-174.48196077272473</c:v>
                </c:pt>
                <c:pt idx="121">
                  <c:v>-174.84852768716087</c:v>
                </c:pt>
                <c:pt idx="122">
                  <c:v>-175.16949489917906</c:v>
                </c:pt>
                <c:pt idx="123">
                  <c:v>-175.45286214497384</c:v>
                </c:pt>
                <c:pt idx="124">
                  <c:v>-175.7048634215239</c:v>
                </c:pt>
                <c:pt idx="125">
                  <c:v>-175.93042818948237</c:v>
                </c:pt>
                <c:pt idx="126">
                  <c:v>-176.13350533018021</c:v>
                </c:pt>
              </c:numCache>
            </c:numRef>
          </c:yVal>
          <c:smooth val="0"/>
          <c:extLst>
            <c:ext xmlns:c16="http://schemas.microsoft.com/office/drawing/2014/chart" uri="{C3380CC4-5D6E-409C-BE32-E72D297353CC}">
              <c16:uniqueId val="{00000001-3967-4091-A9E3-161CA4227048}"/>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10"/>
          <c:min val="-1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0"/>
          <c:min val="-9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POWER STAGE</a:t>
            </a:r>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Bode!$BD$11</c:f>
              <c:strCache>
                <c:ptCount val="1"/>
                <c:pt idx="0">
                  <c:v>POWERSTAGE_GAIN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Bode!$BD$12:$BD$138</c:f>
              <c:numCache>
                <c:formatCode>_(* #,##0.00_);_(* \(#,##0.00\);_(* "-"??_);_(@_)</c:formatCode>
                <c:ptCount val="127"/>
                <c:pt idx="0">
                  <c:v>-1.8401305208715775</c:v>
                </c:pt>
                <c:pt idx="1">
                  <c:v>-1.8401301911874595</c:v>
                </c:pt>
                <c:pt idx="2">
                  <c:v>-1.8401297296299262</c:v>
                </c:pt>
                <c:pt idx="3">
                  <c:v>-1.8401291361990539</c:v>
                </c:pt>
                <c:pt idx="4">
                  <c:v>-1.8401284108951825</c:v>
                </c:pt>
                <c:pt idx="5">
                  <c:v>-1.8401275537186654</c:v>
                </c:pt>
                <c:pt idx="6">
                  <c:v>-1.8401265646698532</c:v>
                </c:pt>
                <c:pt idx="7">
                  <c:v>-1.8401254437490766</c:v>
                </c:pt>
                <c:pt idx="8">
                  <c:v>-1.8401241909570574</c:v>
                </c:pt>
                <c:pt idx="9">
                  <c:v>-1.8401228062940784</c:v>
                </c:pt>
                <c:pt idx="10">
                  <c:v>-1.8401212897609616</c:v>
                </c:pt>
                <c:pt idx="11">
                  <c:v>-1.840119641358207</c:v>
                </c:pt>
                <c:pt idx="12">
                  <c:v>-1.8401178610867031</c:v>
                </c:pt>
                <c:pt idx="13">
                  <c:v>-1.8401159489471079</c:v>
                </c:pt>
                <c:pt idx="14">
                  <c:v>-1.8401139049403723</c:v>
                </c:pt>
                <c:pt idx="15">
                  <c:v>-1.8401117290672635</c:v>
                </c:pt>
                <c:pt idx="16">
                  <c:v>-1.8401094213287597</c:v>
                </c:pt>
                <c:pt idx="17">
                  <c:v>-1.8401069817258626</c:v>
                </c:pt>
                <c:pt idx="18">
                  <c:v>-1.8401044102596564</c:v>
                </c:pt>
                <c:pt idx="19">
                  <c:v>-1.840071443393601</c:v>
                </c:pt>
                <c:pt idx="20">
                  <c:v>-1.84002529180248</c:v>
                </c:pt>
                <c:pt idx="21">
                  <c:v>-1.8399659575079963</c:v>
                </c:pt>
                <c:pt idx="22">
                  <c:v>-1.8398934431082898</c:v>
                </c:pt>
                <c:pt idx="23">
                  <c:v>-1.839807751778747</c:v>
                </c:pt>
                <c:pt idx="24">
                  <c:v>-1.8397088872711498</c:v>
                </c:pt>
                <c:pt idx="25">
                  <c:v>-1.8395968539133951</c:v>
                </c:pt>
                <c:pt idx="26">
                  <c:v>-1.83947165660888</c:v>
                </c:pt>
                <c:pt idx="27">
                  <c:v>-1.8393333008361674</c:v>
                </c:pt>
                <c:pt idx="28">
                  <c:v>-1.8391817926481144</c:v>
                </c:pt>
                <c:pt idx="29">
                  <c:v>-1.8390171386715384</c:v>
                </c:pt>
                <c:pt idx="30">
                  <c:v>-1.8388393461062231</c:v>
                </c:pt>
                <c:pt idx="31">
                  <c:v>-1.8386484227242383</c:v>
                </c:pt>
                <c:pt idx="32">
                  <c:v>-1.8384443768688625</c:v>
                </c:pt>
                <c:pt idx="33">
                  <c:v>-1.8382272174542129</c:v>
                </c:pt>
                <c:pt idx="34">
                  <c:v>-1.8379969539632957</c:v>
                </c:pt>
                <c:pt idx="35">
                  <c:v>-1.8377535964482896</c:v>
                </c:pt>
                <c:pt idx="36">
                  <c:v>-1.8374971555282062</c:v>
                </c:pt>
                <c:pt idx="37">
                  <c:v>-1.8342158983644248</c:v>
                </c:pt>
                <c:pt idx="38">
                  <c:v>-1.8296421412230151</c:v>
                </c:pt>
                <c:pt idx="39">
                  <c:v>-1.8237956233199852</c:v>
                </c:pt>
                <c:pt idx="40">
                  <c:v>-1.8167013530990004</c:v>
                </c:pt>
                <c:pt idx="41">
                  <c:v>-1.8083893408185723</c:v>
                </c:pt>
                <c:pt idx="42">
                  <c:v>-1.798894282946238</c:v>
                </c:pt>
                <c:pt idx="43">
                  <c:v>-1.7882552045147695</c:v>
                </c:pt>
                <c:pt idx="44">
                  <c:v>-1.7765150662296916</c:v>
                </c:pt>
                <c:pt idx="45">
                  <c:v>-1.7637203435373674</c:v>
                </c:pt>
                <c:pt idx="46">
                  <c:v>-1.7499205850887929</c:v>
                </c:pt>
                <c:pt idx="47">
                  <c:v>-1.7351679580470702</c:v>
                </c:pt>
                <c:pt idx="48">
                  <c:v>-1.7195167875210953</c:v>
                </c:pt>
                <c:pt idx="49">
                  <c:v>-1.7030230970644213</c:v>
                </c:pt>
                <c:pt idx="50">
                  <c:v>-1.6857441566933693</c:v>
                </c:pt>
                <c:pt idx="51">
                  <c:v>-1.6677380442755609</c:v>
                </c:pt>
                <c:pt idx="52">
                  <c:v>-1.6490632254408715</c:v>
                </c:pt>
                <c:pt idx="53">
                  <c:v>-1.6297781564156653</c:v>
                </c:pt>
                <c:pt idx="54">
                  <c:v>-1.6099409133908043</c:v>
                </c:pt>
                <c:pt idx="55">
                  <c:v>-1.3931175172236694</c:v>
                </c:pt>
                <c:pt idx="56">
                  <c:v>-1.1730699894045307</c:v>
                </c:pt>
                <c:pt idx="57">
                  <c:v>-0.97607592329035531</c:v>
                </c:pt>
                <c:pt idx="58">
                  <c:v>-0.81094394583374074</c:v>
                </c:pt>
                <c:pt idx="59">
                  <c:v>-0.67700659995943224</c:v>
                </c:pt>
                <c:pt idx="60">
                  <c:v>-0.56994114812452401</c:v>
                </c:pt>
                <c:pt idx="61">
                  <c:v>-0.48473502051547995</c:v>
                </c:pt>
                <c:pt idx="62">
                  <c:v>-0.4168655785049441</c:v>
                </c:pt>
                <c:pt idx="63">
                  <c:v>-0.36262309008139709</c:v>
                </c:pt>
                <c:pt idx="64">
                  <c:v>-0.31909080117663469</c:v>
                </c:pt>
                <c:pt idx="65">
                  <c:v>-0.28401734954134855</c:v>
                </c:pt>
                <c:pt idx="66">
                  <c:v>-0.2556757215639911</c:v>
                </c:pt>
                <c:pt idx="67">
                  <c:v>-0.23274052431928388</c:v>
                </c:pt>
                <c:pt idx="68">
                  <c:v>-0.21419033560180697</c:v>
                </c:pt>
                <c:pt idx="69">
                  <c:v>-0.19923307095863474</c:v>
                </c:pt>
                <c:pt idx="70">
                  <c:v>-0.18724997800726514</c:v>
                </c:pt>
                <c:pt idx="71">
                  <c:v>-0.17775390517357503</c:v>
                </c:pt>
                <c:pt idx="72">
                  <c:v>-0.17035823247400822</c:v>
                </c:pt>
                <c:pt idx="73">
                  <c:v>-0.16551176632009743</c:v>
                </c:pt>
                <c:pt idx="74">
                  <c:v>-0.22481637164114127</c:v>
                </c:pt>
                <c:pt idx="75">
                  <c:v>-0.31847393327748774</c:v>
                </c:pt>
                <c:pt idx="76">
                  <c:v>-0.43742486271784686</c:v>
                </c:pt>
                <c:pt idx="77">
                  <c:v>-0.57732917262802153</c:v>
                </c:pt>
                <c:pt idx="78">
                  <c:v>-0.73527411309002821</c:v>
                </c:pt>
                <c:pt idx="79">
                  <c:v>-0.90888430834114586</c:v>
                </c:pt>
                <c:pt idx="80">
                  <c:v>-1.0960461594497726</c:v>
                </c:pt>
                <c:pt idx="81">
                  <c:v>-1.2948207427161327</c:v>
                </c:pt>
                <c:pt idx="82">
                  <c:v>-1.5034197307655977</c:v>
                </c:pt>
                <c:pt idx="83">
                  <c:v>-1.7202016813031404</c:v>
                </c:pt>
                <c:pt idx="84">
                  <c:v>-1.9436730217717908</c:v>
                </c:pt>
                <c:pt idx="85">
                  <c:v>-2.172488014662135</c:v>
                </c:pt>
                <c:pt idx="86">
                  <c:v>-2.4054459737614944</c:v>
                </c:pt>
                <c:pt idx="87">
                  <c:v>-2.6414856383438456</c:v>
                </c:pt>
                <c:pt idx="88">
                  <c:v>-2.8796772413828693</c:v>
                </c:pt>
                <c:pt idx="89">
                  <c:v>-3.1192129833540263</c:v>
                </c:pt>
                <c:pt idx="90">
                  <c:v>-3.3593965958045633</c:v>
                </c:pt>
                <c:pt idx="91">
                  <c:v>-5.7029900962570785</c:v>
                </c:pt>
                <c:pt idx="92">
                  <c:v>-7.8253995044043005</c:v>
                </c:pt>
                <c:pt idx="93">
                  <c:v>-9.7167254879321359</c:v>
                </c:pt>
                <c:pt idx="94">
                  <c:v>-11.418277931075231</c:v>
                </c:pt>
                <c:pt idx="95">
                  <c:v>-12.969275153703952</c:v>
                </c:pt>
                <c:pt idx="96">
                  <c:v>-14.399316410454226</c:v>
                </c:pt>
                <c:pt idx="97">
                  <c:v>-15.729749655218859</c:v>
                </c:pt>
                <c:pt idx="98">
                  <c:v>-16.976030709984421</c:v>
                </c:pt>
                <c:pt idx="99">
                  <c:v>-18.149604556014118</c:v>
                </c:pt>
                <c:pt idx="100">
                  <c:v>-19.259204751584029</c:v>
                </c:pt>
                <c:pt idx="101">
                  <c:v>-20.311711027836019</c:v>
                </c:pt>
                <c:pt idx="102">
                  <c:v>-21.312707883418469</c:v>
                </c:pt>
                <c:pt idx="103">
                  <c:v>-22.26684908725575</c:v>
                </c:pt>
                <c:pt idx="104">
                  <c:v>-23.178098158042751</c:v>
                </c:pt>
                <c:pt idx="105">
                  <c:v>-24.049889876861979</c:v>
                </c:pt>
                <c:pt idx="106">
                  <c:v>-24.885241331833402</c:v>
                </c:pt>
                <c:pt idx="107">
                  <c:v>-25.686830408462171</c:v>
                </c:pt>
                <c:pt idx="108">
                  <c:v>-26.457052982982155</c:v>
                </c:pt>
                <c:pt idx="109">
                  <c:v>-32.824157514006835</c:v>
                </c:pt>
                <c:pt idx="110">
                  <c:v>-37.559384700631981</c:v>
                </c:pt>
                <c:pt idx="111">
                  <c:v>-41.30910807481537</c:v>
                </c:pt>
                <c:pt idx="112">
                  <c:v>-44.406051453380798</c:v>
                </c:pt>
                <c:pt idx="113">
                  <c:v>-47.041003554168022</c:v>
                </c:pt>
                <c:pt idx="114">
                  <c:v>-49.332608382703228</c:v>
                </c:pt>
                <c:pt idx="115">
                  <c:v>-51.359362607211153</c:v>
                </c:pt>
                <c:pt idx="116">
                  <c:v>-53.175773363883501</c:v>
                </c:pt>
                <c:pt idx="117">
                  <c:v>-54.821177399653379</c:v>
                </c:pt>
                <c:pt idx="118">
                  <c:v>-56.324867724995613</c:v>
                </c:pt>
                <c:pt idx="119">
                  <c:v>-57.709231855790478</c:v>
                </c:pt>
                <c:pt idx="120">
                  <c:v>-58.991757235158865</c:v>
                </c:pt>
                <c:pt idx="121">
                  <c:v>-60.186360026014647</c:v>
                </c:pt>
                <c:pt idx="122">
                  <c:v>-61.304293201097991</c:v>
                </c:pt>
                <c:pt idx="123">
                  <c:v>-62.354783886343427</c:v>
                </c:pt>
                <c:pt idx="124">
                  <c:v>-63.345491180462766</c:v>
                </c:pt>
                <c:pt idx="125">
                  <c:v>-64.282841787523452</c:v>
                </c:pt>
                <c:pt idx="126">
                  <c:v>-65.172280549601652</c:v>
                </c:pt>
              </c:numCache>
            </c:numRef>
          </c:yVal>
          <c:smooth val="0"/>
          <c:extLst>
            <c:ext xmlns:c16="http://schemas.microsoft.com/office/drawing/2014/chart" uri="{C3380CC4-5D6E-409C-BE32-E72D297353CC}">
              <c16:uniqueId val="{00000000-6754-4C2F-BCC4-E7819C298648}"/>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Bode!$BE$11</c:f>
              <c:strCache>
                <c:ptCount val="1"/>
                <c:pt idx="0">
                  <c:v>POWERSTAGE_PHASE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Bode!$BE$12:$BE$138</c:f>
              <c:numCache>
                <c:formatCode>_(* #,##0.00_);_(* \(#,##0.00\);_(* "-"??_);_(@_)</c:formatCode>
                <c:ptCount val="127"/>
                <c:pt idx="0">
                  <c:v>3.8903349700056592E-3</c:v>
                </c:pt>
                <c:pt idx="1">
                  <c:v>5.8355012096697103E-3</c:v>
                </c:pt>
                <c:pt idx="2">
                  <c:v>7.780665954928297E-3</c:v>
                </c:pt>
                <c:pt idx="3">
                  <c:v>9.725828707647606E-3</c:v>
                </c:pt>
                <c:pt idx="4">
                  <c:v>1.1670988969696289E-2</c:v>
                </c:pt>
                <c:pt idx="5">
                  <c:v>1.3616146242943203E-2</c:v>
                </c:pt>
                <c:pt idx="6">
                  <c:v>1.5561300029261132E-2</c:v>
                </c:pt>
                <c:pt idx="7">
                  <c:v>1.7506449830524549E-2</c:v>
                </c:pt>
                <c:pt idx="8">
                  <c:v>1.9451595148610959E-2</c:v>
                </c:pt>
                <c:pt idx="9">
                  <c:v>2.1396735485399866E-2</c:v>
                </c:pt>
                <c:pt idx="10">
                  <c:v>2.3341870342777984E-2</c:v>
                </c:pt>
                <c:pt idx="11">
                  <c:v>2.5286999222631622E-2</c:v>
                </c:pt>
                <c:pt idx="12">
                  <c:v>2.7232121626855225E-2</c:v>
                </c:pt>
                <c:pt idx="13">
                  <c:v>2.9177237057346251E-2</c:v>
                </c:pt>
                <c:pt idx="14">
                  <c:v>3.1122345016006126E-2</c:v>
                </c:pt>
                <c:pt idx="15">
                  <c:v>3.3067445004744345E-2</c:v>
                </c:pt>
                <c:pt idx="16">
                  <c:v>3.5012536525474043E-2</c:v>
                </c:pt>
                <c:pt idx="17">
                  <c:v>3.6957619080116418E-2</c:v>
                </c:pt>
                <c:pt idx="18">
                  <c:v>3.8902692170596748E-2</c:v>
                </c:pt>
                <c:pt idx="19">
                  <c:v>5.8352792975902401E-2</c:v>
                </c:pt>
                <c:pt idx="20">
                  <c:v>7.7801399547584096E-2</c:v>
                </c:pt>
                <c:pt idx="21">
                  <c:v>9.7248013978376152E-2</c:v>
                </c:pt>
                <c:pt idx="22">
                  <c:v>0.11669213850720203</c:v>
                </c:pt>
                <c:pt idx="23">
                  <c:v>0.13613327555568716</c:v>
                </c:pt>
                <c:pt idx="24">
                  <c:v>0.15557092776465031</c:v>
                </c:pt>
                <c:pt idx="25">
                  <c:v>0.17500459803053139</c:v>
                </c:pt>
                <c:pt idx="26">
                  <c:v>0.19443378954177401</c:v>
                </c:pt>
                <c:pt idx="27">
                  <c:v>0.21385800581524789</c:v>
                </c:pt>
                <c:pt idx="28">
                  <c:v>0.23327675073249407</c:v>
                </c:pt>
                <c:pt idx="29">
                  <c:v>0.25268952857598881</c:v>
                </c:pt>
                <c:pt idx="30">
                  <c:v>0.2720958440653537</c:v>
                </c:pt>
                <c:pt idx="31">
                  <c:v>0.29149520239347743</c:v>
                </c:pt>
                <c:pt idx="32">
                  <c:v>0.31088710926249091</c:v>
                </c:pt>
                <c:pt idx="33">
                  <c:v>0.33027107091984365</c:v>
                </c:pt>
                <c:pt idx="34">
                  <c:v>0.34964659419408101</c:v>
                </c:pt>
                <c:pt idx="35">
                  <c:v>0.36901318653072485</c:v>
                </c:pt>
                <c:pt idx="36">
                  <c:v>0.38837035602789793</c:v>
                </c:pt>
                <c:pt idx="37">
                  <c:v>0.58131611396558736</c:v>
                </c:pt>
                <c:pt idx="38">
                  <c:v>0.77278469646351644</c:v>
                </c:pt>
                <c:pt idx="39">
                  <c:v>0.96230042474245225</c:v>
                </c:pt>
                <c:pt idx="40">
                  <c:v>1.1494016140923544</c:v>
                </c:pt>
                <c:pt idx="41">
                  <c:v>1.3336436685644963</c:v>
                </c:pt>
                <c:pt idx="42">
                  <c:v>1.5146019221617357</c:v>
                </c:pt>
                <c:pt idx="43">
                  <c:v>1.6918741907079116</c:v>
                </c:pt>
                <c:pt idx="44">
                  <c:v>1.8650830056959409</c:v>
                </c:pt>
                <c:pt idx="45">
                  <c:v>2.0338775089638088</c:v>
                </c:pt>
                <c:pt idx="46">
                  <c:v>2.1979349947685387</c:v>
                </c:pt>
                <c:pt idx="47">
                  <c:v>2.356962093456668</c:v>
                </c:pt>
                <c:pt idx="48">
                  <c:v>2.5106955982399604</c:v>
                </c:pt>
                <c:pt idx="49">
                  <c:v>2.6589029433567548</c:v>
                </c:pt>
                <c:pt idx="50">
                  <c:v>2.8013823479806237</c:v>
                </c:pt>
                <c:pt idx="51">
                  <c:v>2.9379626454918455</c:v>
                </c:pt>
                <c:pt idx="52">
                  <c:v>3.0685028220655393</c:v>
                </c:pt>
                <c:pt idx="53">
                  <c:v>3.1928912919295325</c:v>
                </c:pt>
                <c:pt idx="54">
                  <c:v>3.3110449390749825</c:v>
                </c:pt>
                <c:pt idx="55">
                  <c:v>4.1490073692355622</c:v>
                </c:pt>
                <c:pt idx="56">
                  <c:v>4.4265161430474427</c:v>
                </c:pt>
                <c:pt idx="57">
                  <c:v>4.2960872841843081</c:v>
                </c:pt>
                <c:pt idx="58">
                  <c:v>3.9096521993460724</c:v>
                </c:pt>
                <c:pt idx="59">
                  <c:v>3.3796842988724798</c:v>
                </c:pt>
                <c:pt idx="60">
                  <c:v>2.7785867250906957</c:v>
                </c:pt>
                <c:pt idx="61">
                  <c:v>2.1494180004409889</c:v>
                </c:pt>
                <c:pt idx="62">
                  <c:v>1.5163936268026226</c:v>
                </c:pt>
                <c:pt idx="63">
                  <c:v>0.89238997008279419</c:v>
                </c:pt>
                <c:pt idx="64">
                  <c:v>0.28370681517796204</c:v>
                </c:pt>
                <c:pt idx="65">
                  <c:v>-0.3070705552060442</c:v>
                </c:pt>
                <c:pt idx="66">
                  <c:v>-0.87939765061041353</c:v>
                </c:pt>
                <c:pt idx="67">
                  <c:v>-1.4338068111265772</c:v>
                </c:pt>
                <c:pt idx="68">
                  <c:v>-1.9713583222968825</c:v>
                </c:pt>
                <c:pt idx="69">
                  <c:v>-2.4933320127459697</c:v>
                </c:pt>
                <c:pt idx="70">
                  <c:v>-3.0010575692264356</c:v>
                </c:pt>
                <c:pt idx="71">
                  <c:v>-3.4958245916173487</c:v>
                </c:pt>
                <c:pt idx="72">
                  <c:v>-3.9788382305146257</c:v>
                </c:pt>
                <c:pt idx="73">
                  <c:v>-8.3566516173771319</c:v>
                </c:pt>
                <c:pt idx="74">
                  <c:v>-12.260430410230674</c:v>
                </c:pt>
                <c:pt idx="75">
                  <c:v>-15.912374142806495</c:v>
                </c:pt>
                <c:pt idx="76">
                  <c:v>-19.391586204170007</c:v>
                </c:pt>
                <c:pt idx="77">
                  <c:v>-22.729635673204026</c:v>
                </c:pt>
                <c:pt idx="78">
                  <c:v>-25.940077706489483</c:v>
                </c:pt>
                <c:pt idx="79">
                  <c:v>-29.029183490650816</c:v>
                </c:pt>
                <c:pt idx="80">
                  <c:v>-32.000351427519014</c:v>
                </c:pt>
                <c:pt idx="81">
                  <c:v>-34.856054445387663</c:v>
                </c:pt>
                <c:pt idx="82">
                  <c:v>-37.598711493627867</c:v>
                </c:pt>
                <c:pt idx="83">
                  <c:v>-40.23105088443549</c:v>
                </c:pt>
                <c:pt idx="84">
                  <c:v>-42.756223163239582</c:v>
                </c:pt>
                <c:pt idx="85">
                  <c:v>-45.177790453519037</c:v>
                </c:pt>
                <c:pt idx="86">
                  <c:v>-47.499658508228869</c:v>
                </c:pt>
                <c:pt idx="87">
                  <c:v>-49.725987078995139</c:v>
                </c:pt>
                <c:pt idx="88">
                  <c:v>-51.861097725546024</c:v>
                </c:pt>
                <c:pt idx="89">
                  <c:v>-53.909388901905189</c:v>
                </c:pt>
                <c:pt idx="90">
                  <c:v>-55.875262809489641</c:v>
                </c:pt>
                <c:pt idx="91">
                  <c:v>-71.886157237927918</c:v>
                </c:pt>
                <c:pt idx="92">
                  <c:v>-83.409112889864474</c:v>
                </c:pt>
                <c:pt idx="93">
                  <c:v>-92.337953878834583</c:v>
                </c:pt>
                <c:pt idx="94">
                  <c:v>-99.629988307057161</c:v>
                </c:pt>
                <c:pt idx="95">
                  <c:v>-105.79197802915562</c:v>
                </c:pt>
                <c:pt idx="96">
                  <c:v>-111.11449609493133</c:v>
                </c:pt>
                <c:pt idx="97">
                  <c:v>-115.77882830731342</c:v>
                </c:pt>
                <c:pt idx="98">
                  <c:v>-119.90732623296363</c:v>
                </c:pt>
                <c:pt idx="99">
                  <c:v>-123.58829822017684</c:v>
                </c:pt>
                <c:pt idx="100">
                  <c:v>-126.88895473873571</c:v>
                </c:pt>
                <c:pt idx="101">
                  <c:v>-129.86250521570696</c:v>
                </c:pt>
                <c:pt idx="102">
                  <c:v>-132.55227365809534</c:v>
                </c:pt>
                <c:pt idx="103">
                  <c:v>-134.99423277916242</c:v>
                </c:pt>
                <c:pt idx="104">
                  <c:v>-137.21866272330192</c:v>
                </c:pt>
                <c:pt idx="105">
                  <c:v>-139.2513016941333</c:v>
                </c:pt>
                <c:pt idx="106">
                  <c:v>-141.11418570965913</c:v>
                </c:pt>
                <c:pt idx="107">
                  <c:v>-142.82628721776732</c:v>
                </c:pt>
                <c:pt idx="108">
                  <c:v>-144.40401620753769</c:v>
                </c:pt>
                <c:pt idx="109">
                  <c:v>-155.19777869465511</c:v>
                </c:pt>
                <c:pt idx="110">
                  <c:v>-161.07896470441838</c:v>
                </c:pt>
                <c:pt idx="111">
                  <c:v>-164.73856459339424</c:v>
                </c:pt>
                <c:pt idx="112">
                  <c:v>-167.22422165282094</c:v>
                </c:pt>
                <c:pt idx="113">
                  <c:v>-169.01894432176545</c:v>
                </c:pt>
                <c:pt idx="114">
                  <c:v>-170.37415492166744</c:v>
                </c:pt>
                <c:pt idx="115">
                  <c:v>-171.43300993614193</c:v>
                </c:pt>
                <c:pt idx="116">
                  <c:v>-172.28280174226606</c:v>
                </c:pt>
                <c:pt idx="117">
                  <c:v>-172.97970505831347</c:v>
                </c:pt>
                <c:pt idx="118">
                  <c:v>-173.56147339799136</c:v>
                </c:pt>
                <c:pt idx="119">
                  <c:v>-174.05440173882172</c:v>
                </c:pt>
                <c:pt idx="120">
                  <c:v>-174.47735907709554</c:v>
                </c:pt>
                <c:pt idx="121">
                  <c:v>-174.84423277115982</c:v>
                </c:pt>
                <c:pt idx="122">
                  <c:v>-175.16546841536635</c:v>
                </c:pt>
                <c:pt idx="123">
                  <c:v>-175.44907251310195</c:v>
                </c:pt>
                <c:pt idx="124">
                  <c:v>-175.7012843247179</c:v>
                </c:pt>
                <c:pt idx="125">
                  <c:v>-175.92703746616195</c:v>
                </c:pt>
                <c:pt idx="126">
                  <c:v>-176.13028414300101</c:v>
                </c:pt>
              </c:numCache>
            </c:numRef>
          </c:yVal>
          <c:smooth val="0"/>
          <c:extLst>
            <c:ext xmlns:c16="http://schemas.microsoft.com/office/drawing/2014/chart" uri="{C3380CC4-5D6E-409C-BE32-E72D297353CC}">
              <c16:uniqueId val="{00000001-6754-4C2F-BCC4-E7819C298648}"/>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20"/>
          <c:min val="-8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90"/>
          <c:min val="-18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CS2COMP</a:t>
            </a:r>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Bode!$BF$11</c:f>
              <c:strCache>
                <c:ptCount val="1"/>
                <c:pt idx="0">
                  <c:v>CS2COMP_GAIN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Bode!$BF$12:$BF$138</c:f>
              <c:numCache>
                <c:formatCode>General</c:formatCode>
                <c:ptCount val="127"/>
                <c:pt idx="0">
                  <c:v>86.321568645068069</c:v>
                </c:pt>
                <c:pt idx="1">
                  <c:v>82.840335693960796</c:v>
                </c:pt>
                <c:pt idx="2">
                  <c:v>80.355856985970775</c:v>
                </c:pt>
                <c:pt idx="3">
                  <c:v>78.424288205406896</c:v>
                </c:pt>
                <c:pt idx="4">
                  <c:v>76.844268222627051</c:v>
                </c:pt>
                <c:pt idx="5">
                  <c:v>75.507505877498843</c:v>
                </c:pt>
                <c:pt idx="6">
                  <c:v>74.349076456197253</c:v>
                </c:pt>
                <c:pt idx="7">
                  <c:v>73.326990877140943</c:v>
                </c:pt>
                <c:pt idx="8">
                  <c:v>72.412529574952742</c:v>
                </c:pt>
                <c:pt idx="9">
                  <c:v>71.585183545692018</c:v>
                </c:pt>
                <c:pt idx="10">
                  <c:v>70.829796657556329</c:v>
                </c:pt>
                <c:pt idx="11">
                  <c:v>70.134851797863831</c:v>
                </c:pt>
                <c:pt idx="12">
                  <c:v>69.491392142611105</c:v>
                </c:pt>
                <c:pt idx="13">
                  <c:v>68.892314585631766</c:v>
                </c:pt>
                <c:pt idx="14">
                  <c:v>68.331891191942859</c:v>
                </c:pt>
                <c:pt idx="15">
                  <c:v>67.805435720096298</c:v>
                </c:pt>
                <c:pt idx="16">
                  <c:v>67.309065455773066</c:v>
                </c:pt>
                <c:pt idx="17">
                  <c:v>66.839527433889288</c:v>
                </c:pt>
                <c:pt idx="18">
                  <c:v>66.394069231058324</c:v>
                </c:pt>
                <c:pt idx="19">
                  <c:v>62.872524125035532</c:v>
                </c:pt>
                <c:pt idx="20">
                  <c:v>60.373710103998306</c:v>
                </c:pt>
                <c:pt idx="21">
                  <c:v>58.435341018391597</c:v>
                </c:pt>
                <c:pt idx="22">
                  <c:v>56.851464596320227</c:v>
                </c:pt>
                <c:pt idx="23">
                  <c:v>55.512210701687692</c:v>
                </c:pt>
                <c:pt idx="24">
                  <c:v>54.351993792690209</c:v>
                </c:pt>
                <c:pt idx="25">
                  <c:v>53.328508743264052</c:v>
                </c:pt>
                <c:pt idx="26">
                  <c:v>52.412869425376229</c:v>
                </c:pt>
                <c:pt idx="27">
                  <c:v>51.58447230872622</c:v>
                </c:pt>
                <c:pt idx="28">
                  <c:v>50.828104393147825</c:v>
                </c:pt>
                <c:pt idx="29">
                  <c:v>50.132212700241794</c:v>
                </c:pt>
                <c:pt idx="30">
                  <c:v>49.487816889025879</c:v>
                </c:pt>
                <c:pt idx="31">
                  <c:v>48.887797923170027</c:v>
                </c:pt>
                <c:pt idx="32">
                  <c:v>48.326416775373936</c:v>
                </c:pt>
                <c:pt idx="33">
                  <c:v>47.7989792968811</c:v>
                </c:pt>
                <c:pt idx="34">
                  <c:v>47.301597021899724</c:v>
                </c:pt>
                <c:pt idx="35">
                  <c:v>46.83101272906918</c:v>
                </c:pt>
                <c:pt idx="36">
                  <c:v>46.384470798365442</c:v>
                </c:pt>
                <c:pt idx="37">
                  <c:v>42.849688557156568</c:v>
                </c:pt>
                <c:pt idx="38">
                  <c:v>40.332922697628433</c:v>
                </c:pt>
                <c:pt idx="39">
                  <c:v>38.371848357161674</c:v>
                </c:pt>
                <c:pt idx="40">
                  <c:v>36.760653389955785</c:v>
                </c:pt>
                <c:pt idx="41">
                  <c:v>35.389671866783203</c:v>
                </c:pt>
                <c:pt idx="42">
                  <c:v>34.193561086675622</c:v>
                </c:pt>
                <c:pt idx="43">
                  <c:v>33.13028703144726</c:v>
                </c:pt>
                <c:pt idx="44">
                  <c:v>32.171256190952711</c:v>
                </c:pt>
                <c:pt idx="45">
                  <c:v>31.296173532424085</c:v>
                </c:pt>
                <c:pt idx="46">
                  <c:v>30.490145312309444</c:v>
                </c:pt>
                <c:pt idx="47">
                  <c:v>29.74194382223547</c:v>
                </c:pt>
                <c:pt idx="48">
                  <c:v>29.042915635600117</c:v>
                </c:pt>
                <c:pt idx="49">
                  <c:v>28.386266317988685</c:v>
                </c:pt>
                <c:pt idx="50">
                  <c:v>27.766575622238509</c:v>
                </c:pt>
                <c:pt idx="51">
                  <c:v>27.179459319420111</c:v>
                </c:pt>
                <c:pt idx="52">
                  <c:v>26.621327443649541</c:v>
                </c:pt>
                <c:pt idx="53">
                  <c:v>26.089207766377015</c:v>
                </c:pt>
                <c:pt idx="54">
                  <c:v>25.580614519428615</c:v>
                </c:pt>
                <c:pt idx="55">
                  <c:v>21.444084323566699</c:v>
                </c:pt>
                <c:pt idx="56">
                  <c:v>18.447991177200532</c:v>
                </c:pt>
                <c:pt idx="57">
                  <c:v>16.167719446790471</c:v>
                </c:pt>
                <c:pt idx="58">
                  <c:v>14.378400174710777</c:v>
                </c:pt>
                <c:pt idx="59">
                  <c:v>12.937060470517556</c:v>
                </c:pt>
                <c:pt idx="60">
                  <c:v>11.747328390110997</c:v>
                </c:pt>
                <c:pt idx="61">
                  <c:v>10.742711054029742</c:v>
                </c:pt>
                <c:pt idx="62">
                  <c:v>9.8766501862800862</c:v>
                </c:pt>
                <c:pt idx="63">
                  <c:v>9.1161267166330706</c:v>
                </c:pt>
                <c:pt idx="64">
                  <c:v>8.4374311780205122</c:v>
                </c:pt>
                <c:pt idx="65">
                  <c:v>7.8233252192935065</c:v>
                </c:pt>
                <c:pt idx="66">
                  <c:v>7.2611152815806612</c:v>
                </c:pt>
                <c:pt idx="67">
                  <c:v>6.7413321288447339</c:v>
                </c:pt>
                <c:pt idx="68">
                  <c:v>6.2568171134047539</c:v>
                </c:pt>
                <c:pt idx="69">
                  <c:v>5.8020841697791985</c:v>
                </c:pt>
                <c:pt idx="70">
                  <c:v>5.3728704221510322</c:v>
                </c:pt>
                <c:pt idx="71">
                  <c:v>4.9658169121582292</c:v>
                </c:pt>
                <c:pt idx="72">
                  <c:v>4.578239820660885</c:v>
                </c:pt>
                <c:pt idx="73">
                  <c:v>1.4347325921158633</c:v>
                </c:pt>
                <c:pt idx="74">
                  <c:v>-0.89915714247941469</c:v>
                </c:pt>
                <c:pt idx="75">
                  <c:v>-2.7654805327954284</c:v>
                </c:pt>
                <c:pt idx="76">
                  <c:v>-4.3229519586800196</c:v>
                </c:pt>
                <c:pt idx="77">
                  <c:v>-5.6616203387362445</c:v>
                </c:pt>
                <c:pt idx="78">
                  <c:v>-6.8377974942274733</c:v>
                </c:pt>
                <c:pt idx="79">
                  <c:v>-7.8889952237808174</c:v>
                </c:pt>
                <c:pt idx="80">
                  <c:v>-8.8413950154794172</c:v>
                </c:pt>
                <c:pt idx="81">
                  <c:v>-9.7139484319215725</c:v>
                </c:pt>
                <c:pt idx="82">
                  <c:v>-10.520782270368166</c:v>
                </c:pt>
                <c:pt idx="83">
                  <c:v>-11.272684099850775</c:v>
                </c:pt>
                <c:pt idx="84">
                  <c:v>-11.97805924927613</c:v>
                </c:pt>
                <c:pt idx="85">
                  <c:v>-12.643569435320501</c:v>
                </c:pt>
                <c:pt idx="86">
                  <c:v>-13.274571954748184</c:v>
                </c:pt>
                <c:pt idx="87">
                  <c:v>-13.875429676908011</c:v>
                </c:pt>
                <c:pt idx="88">
                  <c:v>-14.44973486428742</c:v>
                </c:pt>
                <c:pt idx="89">
                  <c:v>-15.000474031884348</c:v>
                </c:pt>
                <c:pt idx="90">
                  <c:v>-15.530151540280645</c:v>
                </c:pt>
                <c:pt idx="91">
                  <c:v>-20.013986940207445</c:v>
                </c:pt>
                <c:pt idx="92">
                  <c:v>-23.582371125510349</c:v>
                </c:pt>
                <c:pt idx="93">
                  <c:v>-26.595755996782792</c:v>
                </c:pt>
                <c:pt idx="94">
                  <c:v>-29.210948418122008</c:v>
                </c:pt>
                <c:pt idx="95">
                  <c:v>-31.518605917420892</c:v>
                </c:pt>
                <c:pt idx="96">
                  <c:v>-33.579965492814381</c:v>
                </c:pt>
                <c:pt idx="97">
                  <c:v>-35.439664959951216</c:v>
                </c:pt>
                <c:pt idx="98">
                  <c:v>-37.131556813431693</c:v>
                </c:pt>
                <c:pt idx="99">
                  <c:v>-38.681947127222244</c:v>
                </c:pt>
                <c:pt idx="100">
                  <c:v>-40.11164467600986</c:v>
                </c:pt>
                <c:pt idx="101">
                  <c:v>-41.437351473310386</c:v>
                </c:pt>
                <c:pt idx="102">
                  <c:v>-42.672644580976609</c:v>
                </c:pt>
                <c:pt idx="103">
                  <c:v>-43.828687073351574</c:v>
                </c:pt>
                <c:pt idx="104">
                  <c:v>-44.914752503348467</c:v>
                </c:pt>
                <c:pt idx="105">
                  <c:v>-45.938617709381184</c:v>
                </c:pt>
                <c:pt idx="106">
                  <c:v>-46.906860952065763</c:v>
                </c:pt>
                <c:pt idx="107">
                  <c:v>-47.825090944097965</c:v>
                </c:pt>
                <c:pt idx="108">
                  <c:v>-48.698124762760969</c:v>
                </c:pt>
                <c:pt idx="109">
                  <c:v>-55.647899996028059</c:v>
                </c:pt>
                <c:pt idx="110">
                  <c:v>-60.612108572627129</c:v>
                </c:pt>
                <c:pt idx="111">
                  <c:v>-64.472990072292887</c:v>
                </c:pt>
                <c:pt idx="112">
                  <c:v>-67.631786561911923</c:v>
                </c:pt>
                <c:pt idx="113">
                  <c:v>-70.304553090993721</c:v>
                </c:pt>
                <c:pt idx="114">
                  <c:v>-72.620914382833774</c:v>
                </c:pt>
                <c:pt idx="115">
                  <c:v>-74.664739977207475</c:v>
                </c:pt>
                <c:pt idx="116">
                  <c:v>-76.493411357894928</c:v>
                </c:pt>
                <c:pt idx="117">
                  <c:v>-78.14791365701312</c:v>
                </c:pt>
                <c:pt idx="118">
                  <c:v>-79.65853928611007</c:v>
                </c:pt>
                <c:pt idx="119">
                  <c:v>-81.048309911712735</c:v>
                </c:pt>
                <c:pt idx="120">
                  <c:v>-82.335130923838918</c:v>
                </c:pt>
                <c:pt idx="121">
                  <c:v>-83.533202924909602</c:v>
                </c:pt>
                <c:pt idx="122">
                  <c:v>-84.653977866175907</c:v>
                </c:pt>
                <c:pt idx="123">
                  <c:v>-85.706825426373001</c:v>
                </c:pt>
                <c:pt idx="124">
                  <c:v>-86.699508984814969</c:v>
                </c:pt>
                <c:pt idx="125">
                  <c:v>-87.638532945931942</c:v>
                </c:pt>
                <c:pt idx="126">
                  <c:v>-88.529401001695817</c:v>
                </c:pt>
              </c:numCache>
            </c:numRef>
          </c:yVal>
          <c:smooth val="0"/>
          <c:extLst>
            <c:ext xmlns:c16="http://schemas.microsoft.com/office/drawing/2014/chart" uri="{C3380CC4-5D6E-409C-BE32-E72D297353CC}">
              <c16:uniqueId val="{00000000-9F5A-44B3-A2FD-277C482835DC}"/>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Bode!$BG$11</c:f>
              <c:strCache>
                <c:ptCount val="1"/>
                <c:pt idx="0">
                  <c:v>CS2COMP_PHASE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Bode!$BG$12:$BG$138</c:f>
              <c:numCache>
                <c:formatCode>General</c:formatCode>
                <c:ptCount val="127"/>
                <c:pt idx="0">
                  <c:v>-82.57614794959629</c:v>
                </c:pt>
                <c:pt idx="1">
                  <c:v>-85.044836399525835</c:v>
                </c:pt>
                <c:pt idx="2">
                  <c:v>-86.28957009515193</c:v>
                </c:pt>
                <c:pt idx="3">
                  <c:v>-87.040460836449881</c:v>
                </c:pt>
                <c:pt idx="4">
                  <c:v>-87.543544603637812</c:v>
                </c:pt>
                <c:pt idx="5">
                  <c:v>-87.904763159824341</c:v>
                </c:pt>
                <c:pt idx="6">
                  <c:v>-88.177220253838229</c:v>
                </c:pt>
                <c:pt idx="7">
                  <c:v>-88.390462337018221</c:v>
                </c:pt>
                <c:pt idx="8">
                  <c:v>-88.562234596322256</c:v>
                </c:pt>
                <c:pt idx="9">
                  <c:v>-88.703837010144355</c:v>
                </c:pt>
                <c:pt idx="10">
                  <c:v>-88.822806532747876</c:v>
                </c:pt>
                <c:pt idx="11">
                  <c:v>-88.924362926694272</c:v>
                </c:pt>
                <c:pt idx="12">
                  <c:v>-89.012235614980355</c:v>
                </c:pt>
                <c:pt idx="13">
                  <c:v>-89.089160092974822</c:v>
                </c:pt>
                <c:pt idx="14">
                  <c:v>-89.157188331672415</c:v>
                </c:pt>
                <c:pt idx="15">
                  <c:v>-89.217889701584326</c:v>
                </c:pt>
                <c:pt idx="16">
                  <c:v>-89.272484962155389</c:v>
                </c:pt>
                <c:pt idx="17">
                  <c:v>-89.321937961215212</c:v>
                </c:pt>
                <c:pt idx="18">
                  <c:v>-89.367019837638495</c:v>
                </c:pt>
                <c:pt idx="19">
                  <c:v>-89.673575834104099</c:v>
                </c:pt>
                <c:pt idx="20">
                  <c:v>-89.855523351068456</c:v>
                </c:pt>
                <c:pt idx="21">
                  <c:v>-89.987615304415485</c:v>
                </c:pt>
                <c:pt idx="22">
                  <c:v>-90.094770209454111</c:v>
                </c:pt>
                <c:pt idx="23">
                  <c:v>-90.187666343458375</c:v>
                </c:pt>
                <c:pt idx="24">
                  <c:v>-90.271641588371253</c:v>
                </c:pt>
                <c:pt idx="25">
                  <c:v>-90.349660244254679</c:v>
                </c:pt>
                <c:pt idx="26">
                  <c:v>-90.423499799191106</c:v>
                </c:pt>
                <c:pt idx="27">
                  <c:v>-90.4942903828737</c:v>
                </c:pt>
                <c:pt idx="28">
                  <c:v>-90.562784497778608</c:v>
                </c:pt>
                <c:pt idx="29">
                  <c:v>-90.629502260790943</c:v>
                </c:pt>
                <c:pt idx="30">
                  <c:v>-90.694814399248514</c:v>
                </c:pt>
                <c:pt idx="31">
                  <c:v>-90.758992049020932</c:v>
                </c:pt>
                <c:pt idx="32">
                  <c:v>-90.822237878597221</c:v>
                </c:pt>
                <c:pt idx="33">
                  <c:v>-90.884706228408135</c:v>
                </c:pt>
                <c:pt idx="34">
                  <c:v>-90.946516537206364</c:v>
                </c:pt>
                <c:pt idx="35">
                  <c:v>-91.0077625286754</c:v>
                </c:pt>
                <c:pt idx="36">
                  <c:v>-91.068518642180649</c:v>
                </c:pt>
                <c:pt idx="37">
                  <c:v>-91.658162422975778</c:v>
                </c:pt>
                <c:pt idx="38">
                  <c:v>-92.227150081400339</c:v>
                </c:pt>
                <c:pt idx="39">
                  <c:v>-92.780402701089187</c:v>
                </c:pt>
                <c:pt idx="40">
                  <c:v>-93.317999760115271</c:v>
                </c:pt>
                <c:pt idx="41">
                  <c:v>-93.838767590881119</c:v>
                </c:pt>
                <c:pt idx="42">
                  <c:v>-94.3411926528603</c:v>
                </c:pt>
                <c:pt idx="43">
                  <c:v>-94.823736265887419</c:v>
                </c:pt>
                <c:pt idx="44">
                  <c:v>-95.284966050403511</c:v>
                </c:pt>
                <c:pt idx="45">
                  <c:v>-95.723617420521862</c:v>
                </c:pt>
                <c:pt idx="46">
                  <c:v>-96.138623136630088</c:v>
                </c:pt>
                <c:pt idx="47">
                  <c:v>-96.529125840882273</c:v>
                </c:pt>
                <c:pt idx="48">
                  <c:v>-96.894480317039793</c:v>
                </c:pt>
                <c:pt idx="49">
                  <c:v>-97.234248974430528</c:v>
                </c:pt>
                <c:pt idx="50">
                  <c:v>-97.548192643552568</c:v>
                </c:pt>
                <c:pt idx="51">
                  <c:v>-97.836258093574344</c:v>
                </c:pt>
                <c:pt idx="52">
                  <c:v>-98.098563318071342</c:v>
                </c:pt>
                <c:pt idx="53">
                  <c:v>-98.33538141130461</c:v>
                </c:pt>
                <c:pt idx="54">
                  <c:v>-98.547123698713165</c:v>
                </c:pt>
                <c:pt idx="55">
                  <c:v>-99.442119003041455</c:v>
                </c:pt>
                <c:pt idx="56">
                  <c:v>-98.746869078833981</c:v>
                </c:pt>
                <c:pt idx="57">
                  <c:v>-97.284817822690698</c:v>
                </c:pt>
                <c:pt idx="58">
                  <c:v>-95.593918117832629</c:v>
                </c:pt>
                <c:pt idx="59">
                  <c:v>-93.960022018190372</c:v>
                </c:pt>
                <c:pt idx="60">
                  <c:v>-92.511825040574394</c:v>
                </c:pt>
                <c:pt idx="61">
                  <c:v>-91.292272412602159</c:v>
                </c:pt>
                <c:pt idx="62">
                  <c:v>-90.30130984958214</c:v>
                </c:pt>
                <c:pt idx="63">
                  <c:v>-89.519389395523007</c:v>
                </c:pt>
                <c:pt idx="64">
                  <c:v>-88.919802438717454</c:v>
                </c:pt>
                <c:pt idx="65">
                  <c:v>-88.47486112073112</c:v>
                </c:pt>
                <c:pt idx="66">
                  <c:v>-88.158777666819361</c:v>
                </c:pt>
                <c:pt idx="67">
                  <c:v>-87.948809148228264</c:v>
                </c:pt>
                <c:pt idx="68">
                  <c:v>-87.825519768945526</c:v>
                </c:pt>
                <c:pt idx="69">
                  <c:v>-87.77261987403719</c:v>
                </c:pt>
                <c:pt idx="70">
                  <c:v>-87.776625727816167</c:v>
                </c:pt>
                <c:pt idx="71">
                  <c:v>-87.826466397760143</c:v>
                </c:pt>
                <c:pt idx="72">
                  <c:v>-87.91309995707519</c:v>
                </c:pt>
                <c:pt idx="73">
                  <c:v>-89.702741857341337</c:v>
                </c:pt>
                <c:pt idx="74">
                  <c:v>-91.831991619485876</c:v>
                </c:pt>
                <c:pt idx="75">
                  <c:v>-93.840628933807807</c:v>
                </c:pt>
                <c:pt idx="76">
                  <c:v>-95.706820443579545</c:v>
                </c:pt>
                <c:pt idx="77">
                  <c:v>-97.459282622393545</c:v>
                </c:pt>
                <c:pt idx="78">
                  <c:v>-99.12441812685384</c:v>
                </c:pt>
                <c:pt idx="79">
                  <c:v>-100.72106989292948</c:v>
                </c:pt>
                <c:pt idx="80">
                  <c:v>-102.26204902334524</c:v>
                </c:pt>
                <c:pt idx="81">
                  <c:v>-103.75602364917769</c:v>
                </c:pt>
                <c:pt idx="82">
                  <c:v>-105.20890294658832</c:v>
                </c:pt>
                <c:pt idx="83">
                  <c:v>-106.62476015468498</c:v>
                </c:pt>
                <c:pt idx="84">
                  <c:v>-108.00643760279837</c:v>
                </c:pt>
                <c:pt idx="85">
                  <c:v>-109.35594557042015</c:v>
                </c:pt>
                <c:pt idx="86">
                  <c:v>-110.67472869578667</c:v>
                </c:pt>
                <c:pt idx="87">
                  <c:v>-111.96384653166206</c:v>
                </c:pt>
                <c:pt idx="88">
                  <c:v>-113.22409757935755</c:v>
                </c:pt>
                <c:pt idx="89">
                  <c:v>-114.4561054474557</c:v>
                </c:pt>
                <c:pt idx="90">
                  <c:v>-115.66037917762003</c:v>
                </c:pt>
                <c:pt idx="91">
                  <c:v>-126.26458782663497</c:v>
                </c:pt>
                <c:pt idx="92">
                  <c:v>-134.54544509940865</c:v>
                </c:pt>
                <c:pt idx="93">
                  <c:v>-140.97633942022446</c:v>
                </c:pt>
                <c:pt idx="94">
                  <c:v>-146.00663059798811</c:v>
                </c:pt>
                <c:pt idx="95">
                  <c:v>-149.99510040692931</c:v>
                </c:pt>
                <c:pt idx="96">
                  <c:v>-153.20740873776785</c:v>
                </c:pt>
                <c:pt idx="97">
                  <c:v>-155.8352398008744</c:v>
                </c:pt>
                <c:pt idx="98">
                  <c:v>-158.0165388666083</c:v>
                </c:pt>
                <c:pt idx="99">
                  <c:v>-159.85138778971222</c:v>
                </c:pt>
                <c:pt idx="100">
                  <c:v>-161.41333545360052</c:v>
                </c:pt>
                <c:pt idx="101">
                  <c:v>-162.75722482301558</c:v>
                </c:pt>
                <c:pt idx="102">
                  <c:v>-163.92456106251609</c:v>
                </c:pt>
                <c:pt idx="103">
                  <c:v>-164.94720970606159</c:v>
                </c:pt>
                <c:pt idx="104">
                  <c:v>-165.84996995625593</c:v>
                </c:pt>
                <c:pt idx="105">
                  <c:v>-166.65238777589312</c:v>
                </c:pt>
                <c:pt idx="106">
                  <c:v>-167.37005063470906</c:v>
                </c:pt>
                <c:pt idx="107">
                  <c:v>-168.01552471814034</c:v>
                </c:pt>
                <c:pt idx="108">
                  <c:v>-168.59904236765632</c:v>
                </c:pt>
                <c:pt idx="109">
                  <c:v>-172.34468344448095</c:v>
                </c:pt>
                <c:pt idx="110">
                  <c:v>-174.24391074866139</c:v>
                </c:pt>
                <c:pt idx="111">
                  <c:v>-175.38968912175633</c:v>
                </c:pt>
                <c:pt idx="112">
                  <c:v>-176.15560662691178</c:v>
                </c:pt>
                <c:pt idx="113">
                  <c:v>-176.70353005681551</c:v>
                </c:pt>
                <c:pt idx="114">
                  <c:v>-177.11486515856589</c:v>
                </c:pt>
                <c:pt idx="115">
                  <c:v>-177.43499566100058</c:v>
                </c:pt>
                <c:pt idx="116">
                  <c:v>-177.69121372758352</c:v>
                </c:pt>
                <c:pt idx="117">
                  <c:v>-177.90091427177114</c:v>
                </c:pt>
                <c:pt idx="118">
                  <c:v>-178.07570693790777</c:v>
                </c:pt>
                <c:pt idx="119">
                  <c:v>-178.22363588782295</c:v>
                </c:pt>
                <c:pt idx="120">
                  <c:v>-178.35045061966508</c:v>
                </c:pt>
                <c:pt idx="121">
                  <c:v>-178.46036953606691</c:v>
                </c:pt>
                <c:pt idx="122">
                  <c:v>-178.5565576968481</c:v>
                </c:pt>
                <c:pt idx="123">
                  <c:v>-178.64143622113389</c:v>
                </c:pt>
                <c:pt idx="124">
                  <c:v>-178.71688869953118</c:v>
                </c:pt>
                <c:pt idx="125">
                  <c:v>-178.78440250421588</c:v>
                </c:pt>
                <c:pt idx="126">
                  <c:v>-178.84516775283532</c:v>
                </c:pt>
              </c:numCache>
            </c:numRef>
          </c:yVal>
          <c:smooth val="0"/>
          <c:extLst>
            <c:ext xmlns:c16="http://schemas.microsoft.com/office/drawing/2014/chart" uri="{C3380CC4-5D6E-409C-BE32-E72D297353CC}">
              <c16:uniqueId val="{00000001-9F5A-44B3-A2FD-277C482835DC}"/>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60"/>
          <c:min val="-4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0"/>
          <c:min val="-18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OPENLOOP (CC)</a:t>
            </a:r>
          </a:p>
          <a:p>
            <a:pPr>
              <a:defRPr sz="1200" b="1" i="0" u="none" strike="noStrike" baseline="0">
                <a:solidFill>
                  <a:srgbClr val="000000"/>
                </a:solidFill>
                <a:latin typeface="Arial"/>
                <a:ea typeface="Arial"/>
                <a:cs typeface="Arial"/>
              </a:defRPr>
            </a:pPr>
            <a:endParaRPr lang="en-US"/>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Bode!$BH$11</c:f>
              <c:strCache>
                <c:ptCount val="1"/>
                <c:pt idx="0">
                  <c:v>OPENLOOP_GAIN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Bode!$BH$12:$BH$138</c:f>
              <c:numCache>
                <c:formatCode>_(* #,##0.00_);_(* \(#,##0.00\);_(* "-"??_);_(@_)</c:formatCode>
                <c:ptCount val="127"/>
                <c:pt idx="0">
                  <c:v>84.481438124196487</c:v>
                </c:pt>
                <c:pt idx="1">
                  <c:v>81.000205502773341</c:v>
                </c:pt>
                <c:pt idx="2">
                  <c:v>78.515727256340853</c:v>
                </c:pt>
                <c:pt idx="3">
                  <c:v>76.584159069207843</c:v>
                </c:pt>
                <c:pt idx="4">
                  <c:v>75.004139811731875</c:v>
                </c:pt>
                <c:pt idx="5">
                  <c:v>73.667378323780184</c:v>
                </c:pt>
                <c:pt idx="6">
                  <c:v>72.508949891527394</c:v>
                </c:pt>
                <c:pt idx="7">
                  <c:v>71.48686543339187</c:v>
                </c:pt>
                <c:pt idx="8">
                  <c:v>70.572405383995687</c:v>
                </c:pt>
                <c:pt idx="9">
                  <c:v>69.745060739397942</c:v>
                </c:pt>
                <c:pt idx="10">
                  <c:v>68.989675367795371</c:v>
                </c:pt>
                <c:pt idx="11">
                  <c:v>68.294732156505631</c:v>
                </c:pt>
                <c:pt idx="12">
                  <c:v>67.651274281524408</c:v>
                </c:pt>
                <c:pt idx="13">
                  <c:v>67.052198636684665</c:v>
                </c:pt>
                <c:pt idx="14">
                  <c:v>66.491777287002492</c:v>
                </c:pt>
                <c:pt idx="15">
                  <c:v>65.965323991029038</c:v>
                </c:pt>
                <c:pt idx="16">
                  <c:v>65.468956034444304</c:v>
                </c:pt>
                <c:pt idx="17">
                  <c:v>64.99942045216342</c:v>
                </c:pt>
                <c:pt idx="18">
                  <c:v>64.553964820798669</c:v>
                </c:pt>
                <c:pt idx="19">
                  <c:v>61.032452681641928</c:v>
                </c:pt>
                <c:pt idx="20">
                  <c:v>58.533684812195823</c:v>
                </c:pt>
                <c:pt idx="21">
                  <c:v>56.595375060883597</c:v>
                </c:pt>
                <c:pt idx="22">
                  <c:v>55.011571153211939</c:v>
                </c:pt>
                <c:pt idx="23">
                  <c:v>53.672402949908943</c:v>
                </c:pt>
                <c:pt idx="24">
                  <c:v>52.512284905419058</c:v>
                </c:pt>
                <c:pt idx="25">
                  <c:v>51.488911889350661</c:v>
                </c:pt>
                <c:pt idx="26">
                  <c:v>50.57339776876735</c:v>
                </c:pt>
                <c:pt idx="27">
                  <c:v>49.745139007890053</c:v>
                </c:pt>
                <c:pt idx="28">
                  <c:v>48.988922600499713</c:v>
                </c:pt>
                <c:pt idx="29">
                  <c:v>48.293195561570258</c:v>
                </c:pt>
                <c:pt idx="30">
                  <c:v>47.648977542919653</c:v>
                </c:pt>
                <c:pt idx="31">
                  <c:v>47.049149500445786</c:v>
                </c:pt>
                <c:pt idx="32">
                  <c:v>46.487972398505072</c:v>
                </c:pt>
                <c:pt idx="33">
                  <c:v>45.960752079426889</c:v>
                </c:pt>
                <c:pt idx="34">
                  <c:v>45.463600067936426</c:v>
                </c:pt>
                <c:pt idx="35">
                  <c:v>44.993259132620892</c:v>
                </c:pt>
                <c:pt idx="36">
                  <c:v>44.546973642837237</c:v>
                </c:pt>
                <c:pt idx="37">
                  <c:v>41.015472658792142</c:v>
                </c:pt>
                <c:pt idx="38">
                  <c:v>38.503280556405421</c:v>
                </c:pt>
                <c:pt idx="39">
                  <c:v>36.548052733841686</c:v>
                </c:pt>
                <c:pt idx="40">
                  <c:v>34.943952036856786</c:v>
                </c:pt>
                <c:pt idx="41">
                  <c:v>33.581282525964632</c:v>
                </c:pt>
                <c:pt idx="42">
                  <c:v>32.394666803729386</c:v>
                </c:pt>
                <c:pt idx="43">
                  <c:v>31.342031826932491</c:v>
                </c:pt>
                <c:pt idx="44">
                  <c:v>30.394741124723019</c:v>
                </c:pt>
                <c:pt idx="45">
                  <c:v>29.532453188886716</c:v>
                </c:pt>
                <c:pt idx="46">
                  <c:v>28.740224727220649</c:v>
                </c:pt>
                <c:pt idx="47">
                  <c:v>28.006775864188398</c:v>
                </c:pt>
                <c:pt idx="48">
                  <c:v>27.323398848079023</c:v>
                </c:pt>
                <c:pt idx="49">
                  <c:v>26.683243220924265</c:v>
                </c:pt>
                <c:pt idx="50">
                  <c:v>26.080831465545138</c:v>
                </c:pt>
                <c:pt idx="51">
                  <c:v>25.511721275144552</c:v>
                </c:pt>
                <c:pt idx="52">
                  <c:v>24.972264218208668</c:v>
                </c:pt>
                <c:pt idx="53">
                  <c:v>24.459429609961351</c:v>
                </c:pt>
                <c:pt idx="54">
                  <c:v>23.97067360603781</c:v>
                </c:pt>
                <c:pt idx="55">
                  <c:v>20.05096680634303</c:v>
                </c:pt>
                <c:pt idx="56">
                  <c:v>17.274921187796</c:v>
                </c:pt>
                <c:pt idx="57">
                  <c:v>15.191643523500115</c:v>
                </c:pt>
                <c:pt idx="58">
                  <c:v>13.567456228877036</c:v>
                </c:pt>
                <c:pt idx="59">
                  <c:v>12.260053870558124</c:v>
                </c:pt>
                <c:pt idx="60">
                  <c:v>11.177387241986473</c:v>
                </c:pt>
                <c:pt idx="61">
                  <c:v>10.257976033514263</c:v>
                </c:pt>
                <c:pt idx="62">
                  <c:v>9.4597846077751413</c:v>
                </c:pt>
                <c:pt idx="63">
                  <c:v>8.753503626551673</c:v>
                </c:pt>
                <c:pt idx="64">
                  <c:v>8.1183403768438769</c:v>
                </c:pt>
                <c:pt idx="65">
                  <c:v>7.5393078697521583</c:v>
                </c:pt>
                <c:pt idx="66">
                  <c:v>7.0054395600166703</c:v>
                </c:pt>
                <c:pt idx="67">
                  <c:v>6.5085916045254502</c:v>
                </c:pt>
                <c:pt idx="68">
                  <c:v>6.0426267778029468</c:v>
                </c:pt>
                <c:pt idx="69">
                  <c:v>5.6028510988205635</c:v>
                </c:pt>
                <c:pt idx="70">
                  <c:v>5.1856204441437672</c:v>
                </c:pt>
                <c:pt idx="71">
                  <c:v>4.7880630069846539</c:v>
                </c:pt>
                <c:pt idx="72">
                  <c:v>4.4078815881868767</c:v>
                </c:pt>
                <c:pt idx="73">
                  <c:v>1.269220825795766</c:v>
                </c:pt>
                <c:pt idx="74">
                  <c:v>-1.123973514120556</c:v>
                </c:pt>
                <c:pt idx="75">
                  <c:v>-3.0839544660729161</c:v>
                </c:pt>
                <c:pt idx="76">
                  <c:v>-4.7603768213978661</c:v>
                </c:pt>
                <c:pt idx="77">
                  <c:v>-6.2389495113642663</c:v>
                </c:pt>
                <c:pt idx="78">
                  <c:v>-7.5730716073175017</c:v>
                </c:pt>
                <c:pt idx="79">
                  <c:v>-8.7978795321219625</c:v>
                </c:pt>
                <c:pt idx="80">
                  <c:v>-9.9374411749291891</c:v>
                </c:pt>
                <c:pt idx="81">
                  <c:v>-11.008769174637706</c:v>
                </c:pt>
                <c:pt idx="82">
                  <c:v>-12.024202001133764</c:v>
                </c:pt>
                <c:pt idx="83">
                  <c:v>-12.992885781153916</c:v>
                </c:pt>
                <c:pt idx="84">
                  <c:v>-13.921732271047921</c:v>
                </c:pt>
                <c:pt idx="85">
                  <c:v>-14.816057449982637</c:v>
                </c:pt>
                <c:pt idx="86">
                  <c:v>-15.680017928509679</c:v>
                </c:pt>
                <c:pt idx="87">
                  <c:v>-16.516915315251858</c:v>
                </c:pt>
                <c:pt idx="88">
                  <c:v>-17.32941210567029</c:v>
                </c:pt>
                <c:pt idx="89">
                  <c:v>-18.119687015238373</c:v>
                </c:pt>
                <c:pt idx="90">
                  <c:v>-18.88954813608521</c:v>
                </c:pt>
                <c:pt idx="91">
                  <c:v>-25.716977036464524</c:v>
                </c:pt>
                <c:pt idx="92">
                  <c:v>-31.407770629914651</c:v>
                </c:pt>
                <c:pt idx="93">
                  <c:v>-36.31248148471493</c:v>
                </c:pt>
                <c:pt idx="94">
                  <c:v>-40.629226349197239</c:v>
                </c:pt>
                <c:pt idx="95">
                  <c:v>-44.487881071124846</c:v>
                </c:pt>
                <c:pt idx="96">
                  <c:v>-47.979281903268607</c:v>
                </c:pt>
                <c:pt idx="97">
                  <c:v>-51.169414615170076</c:v>
                </c:pt>
                <c:pt idx="98">
                  <c:v>-54.107587523416115</c:v>
                </c:pt>
                <c:pt idx="99">
                  <c:v>-56.831551683236363</c:v>
                </c:pt>
                <c:pt idx="100">
                  <c:v>-59.370849427593889</c:v>
                </c:pt>
                <c:pt idx="101">
                  <c:v>-61.749062501146405</c:v>
                </c:pt>
                <c:pt idx="102">
                  <c:v>-63.985352464395078</c:v>
                </c:pt>
                <c:pt idx="103">
                  <c:v>-66.095536160607324</c:v>
                </c:pt>
                <c:pt idx="104">
                  <c:v>-68.092850661391225</c:v>
                </c:pt>
                <c:pt idx="105">
                  <c:v>-69.988507586243159</c:v>
                </c:pt>
                <c:pt idx="106">
                  <c:v>-71.792102283899169</c:v>
                </c:pt>
                <c:pt idx="107">
                  <c:v>-73.511921352560137</c:v>
                </c:pt>
                <c:pt idx="108">
                  <c:v>-75.155177745743117</c:v>
                </c:pt>
                <c:pt idx="109">
                  <c:v>-88.472057510034887</c:v>
                </c:pt>
                <c:pt idx="110">
                  <c:v>-98.171493273259102</c:v>
                </c:pt>
                <c:pt idx="111">
                  <c:v>-105.78209814710826</c:v>
                </c:pt>
                <c:pt idx="112">
                  <c:v>-112.03783801529272</c:v>
                </c:pt>
                <c:pt idx="113">
                  <c:v>-117.34555664516174</c:v>
                </c:pt>
                <c:pt idx="114">
                  <c:v>-121.953522765537</c:v>
                </c:pt>
                <c:pt idx="115">
                  <c:v>-126.02410258441863</c:v>
                </c:pt>
                <c:pt idx="116">
                  <c:v>-129.66918472177844</c:v>
                </c:pt>
                <c:pt idx="117">
                  <c:v>-132.96909105666651</c:v>
                </c:pt>
                <c:pt idx="118">
                  <c:v>-135.98340701110567</c:v>
                </c:pt>
                <c:pt idx="119">
                  <c:v>-138.7575417675032</c:v>
                </c:pt>
                <c:pt idx="120">
                  <c:v>-141.32688815899778</c:v>
                </c:pt>
                <c:pt idx="121">
                  <c:v>-143.71956295092426</c:v>
                </c:pt>
                <c:pt idx="122">
                  <c:v>-145.9582710672739</c:v>
                </c:pt>
                <c:pt idx="123">
                  <c:v>-148.06160931271643</c:v>
                </c:pt>
                <c:pt idx="124">
                  <c:v>-150.04500016527774</c:v>
                </c:pt>
                <c:pt idx="125">
                  <c:v>-151.92137473345539</c:v>
                </c:pt>
                <c:pt idx="126">
                  <c:v>-153.70168155129747</c:v>
                </c:pt>
              </c:numCache>
            </c:numRef>
          </c:yVal>
          <c:smooth val="0"/>
          <c:extLst>
            <c:ext xmlns:c16="http://schemas.microsoft.com/office/drawing/2014/chart" uri="{C3380CC4-5D6E-409C-BE32-E72D297353CC}">
              <c16:uniqueId val="{00000000-D0D2-43AE-B4D9-BE62830E910C}"/>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Bode!$BI$11</c:f>
              <c:strCache>
                <c:ptCount val="1"/>
                <c:pt idx="0">
                  <c:v>OPENLOOP_PHASE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Bode!$BI$12:$BI$138</c:f>
              <c:numCache>
                <c:formatCode>_(* #,##0.00_);_(* \(#,##0.00\);_(* "-"??_);_(@_)</c:formatCode>
                <c:ptCount val="127"/>
                <c:pt idx="0">
                  <c:v>-82.572257614626281</c:v>
                </c:pt>
                <c:pt idx="1">
                  <c:v>-85.039000898316161</c:v>
                </c:pt>
                <c:pt idx="2">
                  <c:v>-86.281789429197005</c:v>
                </c:pt>
                <c:pt idx="3">
                  <c:v>-87.030735007742237</c:v>
                </c:pt>
                <c:pt idx="4">
                  <c:v>-87.531873614668115</c:v>
                </c:pt>
                <c:pt idx="5">
                  <c:v>-87.891147013581403</c:v>
                </c:pt>
                <c:pt idx="6">
                  <c:v>-88.161658953808967</c:v>
                </c:pt>
                <c:pt idx="7">
                  <c:v>-88.3729558871877</c:v>
                </c:pt>
                <c:pt idx="8">
                  <c:v>-88.542783001173646</c:v>
                </c:pt>
                <c:pt idx="9">
                  <c:v>-88.682440274658958</c:v>
                </c:pt>
                <c:pt idx="10">
                  <c:v>-88.7994646624051</c:v>
                </c:pt>
                <c:pt idx="11">
                  <c:v>-88.899075927471642</c:v>
                </c:pt>
                <c:pt idx="12">
                  <c:v>-88.985003493353503</c:v>
                </c:pt>
                <c:pt idx="13">
                  <c:v>-89.059982855917482</c:v>
                </c:pt>
                <c:pt idx="14">
                  <c:v>-89.126065986656414</c:v>
                </c:pt>
                <c:pt idx="15">
                  <c:v>-89.184822256579579</c:v>
                </c:pt>
                <c:pt idx="16">
                  <c:v>-89.237472425629917</c:v>
                </c:pt>
                <c:pt idx="17">
                  <c:v>-89.2849803421351</c:v>
                </c:pt>
                <c:pt idx="18">
                  <c:v>-89.3281171454679</c:v>
                </c:pt>
                <c:pt idx="19">
                  <c:v>-89.615223041128203</c:v>
                </c:pt>
                <c:pt idx="20">
                  <c:v>-89.777721951520874</c:v>
                </c:pt>
                <c:pt idx="21">
                  <c:v>-89.890367290437112</c:v>
                </c:pt>
                <c:pt idx="22">
                  <c:v>-89.978078070946907</c:v>
                </c:pt>
                <c:pt idx="23">
                  <c:v>-90.051533067902682</c:v>
                </c:pt>
                <c:pt idx="24">
                  <c:v>-90.116070660606596</c:v>
                </c:pt>
                <c:pt idx="25">
                  <c:v>-90.174655646224153</c:v>
                </c:pt>
                <c:pt idx="26">
                  <c:v>-90.22906600964933</c:v>
                </c:pt>
                <c:pt idx="27">
                  <c:v>-90.280432377058446</c:v>
                </c:pt>
                <c:pt idx="28">
                  <c:v>-90.329507747046108</c:v>
                </c:pt>
                <c:pt idx="29">
                  <c:v>-90.376812732214958</c:v>
                </c:pt>
                <c:pt idx="30">
                  <c:v>-90.422718555183167</c:v>
                </c:pt>
                <c:pt idx="31">
                  <c:v>-90.467496846627455</c:v>
                </c:pt>
                <c:pt idx="32">
                  <c:v>-90.511350769334726</c:v>
                </c:pt>
                <c:pt idx="33">
                  <c:v>-90.554435157488285</c:v>
                </c:pt>
                <c:pt idx="34">
                  <c:v>-90.59686994301228</c:v>
                </c:pt>
                <c:pt idx="35">
                  <c:v>-90.638749342144678</c:v>
                </c:pt>
                <c:pt idx="36">
                  <c:v>-90.680148286152757</c:v>
                </c:pt>
                <c:pt idx="37">
                  <c:v>-91.076846309010193</c:v>
                </c:pt>
                <c:pt idx="38">
                  <c:v>-91.454365384936821</c:v>
                </c:pt>
                <c:pt idx="39">
                  <c:v>-91.818102276346735</c:v>
                </c:pt>
                <c:pt idx="40">
                  <c:v>-92.168598146022916</c:v>
                </c:pt>
                <c:pt idx="41">
                  <c:v>-92.505123922316628</c:v>
                </c:pt>
                <c:pt idx="42">
                  <c:v>-92.82659073069857</c:v>
                </c:pt>
                <c:pt idx="43">
                  <c:v>-93.131862075179512</c:v>
                </c:pt>
                <c:pt idx="44">
                  <c:v>-93.419883044707575</c:v>
                </c:pt>
                <c:pt idx="45">
                  <c:v>-93.68973991155805</c:v>
                </c:pt>
                <c:pt idx="46">
                  <c:v>-93.940688141861543</c:v>
                </c:pt>
                <c:pt idx="47">
                  <c:v>-94.1721637474256</c:v>
                </c:pt>
                <c:pt idx="48">
                  <c:v>-94.383784718799831</c:v>
                </c:pt>
                <c:pt idx="49">
                  <c:v>-94.575346031073778</c:v>
                </c:pt>
                <c:pt idx="50">
                  <c:v>-94.746810295571947</c:v>
                </c:pt>
                <c:pt idx="51">
                  <c:v>-94.898295448082493</c:v>
                </c:pt>
                <c:pt idx="52">
                  <c:v>-95.030060496005802</c:v>
                </c:pt>
                <c:pt idx="53">
                  <c:v>-95.142490119375083</c:v>
                </c:pt>
                <c:pt idx="54">
                  <c:v>-95.236078759638175</c:v>
                </c:pt>
                <c:pt idx="55">
                  <c:v>-95.293111633805893</c:v>
                </c:pt>
                <c:pt idx="56">
                  <c:v>-94.320352935786545</c:v>
                </c:pt>
                <c:pt idx="57">
                  <c:v>-92.988730538506388</c:v>
                </c:pt>
                <c:pt idx="58">
                  <c:v>-91.68426591848656</c:v>
                </c:pt>
                <c:pt idx="59">
                  <c:v>-90.580337719317896</c:v>
                </c:pt>
                <c:pt idx="60">
                  <c:v>-89.733238315483703</c:v>
                </c:pt>
                <c:pt idx="61">
                  <c:v>-89.142854412161171</c:v>
                </c:pt>
                <c:pt idx="62">
                  <c:v>-88.784916222779515</c:v>
                </c:pt>
                <c:pt idx="63">
                  <c:v>-88.626999425440218</c:v>
                </c:pt>
                <c:pt idx="64">
                  <c:v>-88.636095623539489</c:v>
                </c:pt>
                <c:pt idx="65">
                  <c:v>-88.781931675937159</c:v>
                </c:pt>
                <c:pt idx="66">
                  <c:v>-89.038175317429776</c:v>
                </c:pt>
                <c:pt idx="67">
                  <c:v>-89.382615959354837</c:v>
                </c:pt>
                <c:pt idx="68">
                  <c:v>-89.796878091242405</c:v>
                </c:pt>
                <c:pt idx="69">
                  <c:v>-90.265951886783157</c:v>
                </c:pt>
                <c:pt idx="70">
                  <c:v>-90.7776832970426</c:v>
                </c:pt>
                <c:pt idx="71">
                  <c:v>-91.322290989377493</c:v>
                </c:pt>
                <c:pt idx="72">
                  <c:v>-91.891938187589815</c:v>
                </c:pt>
                <c:pt idx="73">
                  <c:v>-98.059393474718462</c:v>
                </c:pt>
                <c:pt idx="74">
                  <c:v>-104.09242202971654</c:v>
                </c:pt>
                <c:pt idx="75">
                  <c:v>-109.75300307661431</c:v>
                </c:pt>
                <c:pt idx="76">
                  <c:v>-115.09840664774956</c:v>
                </c:pt>
                <c:pt idx="77">
                  <c:v>-120.18891829559757</c:v>
                </c:pt>
                <c:pt idx="78">
                  <c:v>-125.06449583334333</c:v>
                </c:pt>
                <c:pt idx="79">
                  <c:v>-129.75025338358029</c:v>
                </c:pt>
                <c:pt idx="80">
                  <c:v>-134.26240045086425</c:v>
                </c:pt>
                <c:pt idx="81">
                  <c:v>-138.61207809456536</c:v>
                </c:pt>
                <c:pt idx="82">
                  <c:v>-142.80761444021618</c:v>
                </c:pt>
                <c:pt idx="83">
                  <c:v>-146.85581103912045</c:v>
                </c:pt>
                <c:pt idx="84">
                  <c:v>-150.76266076603795</c:v>
                </c:pt>
                <c:pt idx="85">
                  <c:v>-154.53373602393918</c:v>
                </c:pt>
                <c:pt idx="86">
                  <c:v>-158.17438720401555</c:v>
                </c:pt>
                <c:pt idx="87">
                  <c:v>-161.68983361065719</c:v>
                </c:pt>
                <c:pt idx="88">
                  <c:v>-165.08519530490358</c:v>
                </c:pt>
                <c:pt idx="89">
                  <c:v>-168.36549434936089</c:v>
                </c:pt>
                <c:pt idx="90">
                  <c:v>-171.53564198710967</c:v>
                </c:pt>
                <c:pt idx="91">
                  <c:v>-198.1507450645629</c:v>
                </c:pt>
                <c:pt idx="92">
                  <c:v>-217.95455798927313</c:v>
                </c:pt>
                <c:pt idx="93">
                  <c:v>-233.31429329905905</c:v>
                </c:pt>
                <c:pt idx="94">
                  <c:v>-245.63661890504528</c:v>
                </c:pt>
                <c:pt idx="95">
                  <c:v>-255.78707843608493</c:v>
                </c:pt>
                <c:pt idx="96">
                  <c:v>-264.32190483269915</c:v>
                </c:pt>
                <c:pt idx="97">
                  <c:v>-271.61406810818784</c:v>
                </c:pt>
                <c:pt idx="98">
                  <c:v>-277.92386509957191</c:v>
                </c:pt>
                <c:pt idx="99">
                  <c:v>-283.43968600988904</c:v>
                </c:pt>
                <c:pt idx="100">
                  <c:v>-288.30229019233622</c:v>
                </c:pt>
                <c:pt idx="101">
                  <c:v>-292.61973003872254</c:v>
                </c:pt>
                <c:pt idx="102">
                  <c:v>-296.47683472061146</c:v>
                </c:pt>
                <c:pt idx="103">
                  <c:v>-299.941442485224</c:v>
                </c:pt>
                <c:pt idx="104">
                  <c:v>-303.06863267955782</c:v>
                </c:pt>
                <c:pt idx="105">
                  <c:v>-305.90368947002639</c:v>
                </c:pt>
                <c:pt idx="106">
                  <c:v>-308.48423634436818</c:v>
                </c:pt>
                <c:pt idx="107">
                  <c:v>-310.84181193590769</c:v>
                </c:pt>
                <c:pt idx="108">
                  <c:v>-313.00305857519402</c:v>
                </c:pt>
                <c:pt idx="109">
                  <c:v>-327.54246213913609</c:v>
                </c:pt>
                <c:pt idx="110">
                  <c:v>-335.32287545307975</c:v>
                </c:pt>
                <c:pt idx="111">
                  <c:v>-340.12825371515055</c:v>
                </c:pt>
                <c:pt idx="112">
                  <c:v>-343.37982827973269</c:v>
                </c:pt>
                <c:pt idx="113">
                  <c:v>-345.72247437858096</c:v>
                </c:pt>
                <c:pt idx="114">
                  <c:v>-347.48902008023333</c:v>
                </c:pt>
                <c:pt idx="115">
                  <c:v>-348.86800559714254</c:v>
                </c:pt>
                <c:pt idx="116">
                  <c:v>-349.97401546984958</c:v>
                </c:pt>
                <c:pt idx="117">
                  <c:v>-350.88061933008464</c:v>
                </c:pt>
                <c:pt idx="118">
                  <c:v>-351.63718033589913</c:v>
                </c:pt>
                <c:pt idx="119">
                  <c:v>-352.27803762664468</c:v>
                </c:pt>
                <c:pt idx="120">
                  <c:v>-352.8278096967606</c:v>
                </c:pt>
                <c:pt idx="121">
                  <c:v>-353.30460230722673</c:v>
                </c:pt>
                <c:pt idx="122">
                  <c:v>-353.72202611221445</c:v>
                </c:pt>
                <c:pt idx="123">
                  <c:v>-354.09050873423587</c:v>
                </c:pt>
                <c:pt idx="124">
                  <c:v>-354.41817302424909</c:v>
                </c:pt>
                <c:pt idx="125">
                  <c:v>-354.7114399703778</c:v>
                </c:pt>
                <c:pt idx="126">
                  <c:v>-354.97545189583633</c:v>
                </c:pt>
              </c:numCache>
            </c:numRef>
          </c:yVal>
          <c:smooth val="0"/>
          <c:extLst>
            <c:ext xmlns:c16="http://schemas.microsoft.com/office/drawing/2014/chart" uri="{C3380CC4-5D6E-409C-BE32-E72D297353CC}">
              <c16:uniqueId val="{00000001-D0D2-43AE-B4D9-BE62830E910C}"/>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80"/>
          <c:min val="-6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90"/>
          <c:min val="-27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OPENLOOP (CV)</a:t>
            </a:r>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Bode!$AE$11</c:f>
              <c:strCache>
                <c:ptCount val="1"/>
                <c:pt idx="0">
                  <c:v>OPENLOOP_GAIN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Bode!$AE$12:$AE$138</c:f>
              <c:numCache>
                <c:formatCode>_(* #,##0.00_);_(* \(#,##0.00\);_(* "-"??_);_(@_)</c:formatCode>
                <c:ptCount val="127"/>
                <c:pt idx="0">
                  <c:v>84.481439070840182</c:v>
                </c:pt>
                <c:pt idx="1">
                  <c:v>81.000207632720972</c:v>
                </c:pt>
                <c:pt idx="2">
                  <c:v>78.515731042912506</c:v>
                </c:pt>
                <c:pt idx="3">
                  <c:v>76.58416498572231</c:v>
                </c:pt>
                <c:pt idx="4">
                  <c:v>75.004148331506002</c:v>
                </c:pt>
                <c:pt idx="5">
                  <c:v>73.66738992012867</c:v>
                </c:pt>
                <c:pt idx="6">
                  <c:v>72.508965037762295</c:v>
                </c:pt>
                <c:pt idx="7">
                  <c:v>71.486884602822073</c:v>
                </c:pt>
                <c:pt idx="8">
                  <c:v>70.57242904992691</c:v>
                </c:pt>
                <c:pt idx="9">
                  <c:v>69.74508937513184</c:v>
                </c:pt>
                <c:pt idx="10">
                  <c:v>68.989709446629348</c:v>
                </c:pt>
                <c:pt idx="11">
                  <c:v>68.294772151732559</c:v>
                </c:pt>
                <c:pt idx="12">
                  <c:v>67.651320666432042</c:v>
                </c:pt>
                <c:pt idx="13">
                  <c:v>67.052251884555233</c:v>
                </c:pt>
                <c:pt idx="14">
                  <c:v>66.491837871112523</c:v>
                </c:pt>
                <c:pt idx="15">
                  <c:v>65.965392384648581</c:v>
                </c:pt>
                <c:pt idx="16">
                  <c:v>65.469032710836856</c:v>
                </c:pt>
                <c:pt idx="17">
                  <c:v>64.999505884585318</c:v>
                </c:pt>
                <c:pt idx="18">
                  <c:v>64.554059482498729</c:v>
                </c:pt>
                <c:pt idx="19">
                  <c:v>61.032665662875274</c:v>
                </c:pt>
                <c:pt idx="20">
                  <c:v>58.534063426605471</c:v>
                </c:pt>
                <c:pt idx="21">
                  <c:v>56.595966607946863</c:v>
                </c:pt>
                <c:pt idx="22">
                  <c:v>55.012422914197785</c:v>
                </c:pt>
                <c:pt idx="23">
                  <c:v>53.673562183840076</c:v>
                </c:pt>
                <c:pt idx="24">
                  <c:v>52.513798845039176</c:v>
                </c:pt>
                <c:pt idx="25">
                  <c:v>51.490827737097433</c:v>
                </c:pt>
                <c:pt idx="26">
                  <c:v>50.575762692751717</c:v>
                </c:pt>
                <c:pt idx="27">
                  <c:v>49.748000137884006</c:v>
                </c:pt>
                <c:pt idx="28">
                  <c:v>48.992327023932006</c:v>
                </c:pt>
                <c:pt idx="29">
                  <c:v>48.297190319532035</c:v>
                </c:pt>
                <c:pt idx="30">
                  <c:v>47.653609626180042</c:v>
                </c:pt>
                <c:pt idx="31">
                  <c:v>47.054465845479001</c:v>
                </c:pt>
                <c:pt idx="32">
                  <c:v>46.494019883529312</c:v>
                </c:pt>
                <c:pt idx="33">
                  <c:v>45.967577520456643</c:v>
                </c:pt>
                <c:pt idx="34">
                  <c:v>45.471250214847984</c:v>
                </c:pt>
                <c:pt idx="35">
                  <c:v>45.001780665233362</c:v>
                </c:pt>
                <c:pt idx="36">
                  <c:v>44.556413167008458</c:v>
                </c:pt>
                <c:pt idx="37">
                  <c:v>41.036636393267912</c:v>
                </c:pt>
                <c:pt idx="38">
                  <c:v>38.540719479199169</c:v>
                </c:pt>
                <c:pt idx="39">
                  <c:v>36.606182775571305</c:v>
                </c:pt>
                <c:pt idx="40">
                  <c:v>35.027020548621365</c:v>
                </c:pt>
                <c:pt idx="41">
                  <c:v>33.693338245671029</c:v>
                </c:pt>
                <c:pt idx="42">
                  <c:v>32.539533799548394</c:v>
                </c:pt>
                <c:pt idx="43">
                  <c:v>31.523287749059236</c:v>
                </c:pt>
                <c:pt idx="44">
                  <c:v>30.615699946793079</c:v>
                </c:pt>
                <c:pt idx="45">
                  <c:v>29.796152476179202</c:v>
                </c:pt>
                <c:pt idx="46">
                  <c:v>29.049417336881696</c:v>
                </c:pt>
                <c:pt idx="47">
                  <c:v>28.363925868247868</c:v>
                </c:pt>
                <c:pt idx="48">
                  <c:v>27.73068137639768</c:v>
                </c:pt>
                <c:pt idx="49">
                  <c:v>27.142547850023419</c:v>
                </c:pt>
                <c:pt idx="50">
                  <c:v>26.593768730603067</c:v>
                </c:pt>
                <c:pt idx="51">
                  <c:v>26.079631855073018</c:v>
                </c:pt>
                <c:pt idx="52">
                  <c:v>25.596230335426881</c:v>
                </c:pt>
                <c:pt idx="53">
                  <c:v>25.140288194443791</c:v>
                </c:pt>
                <c:pt idx="54">
                  <c:v>24.709030794259775</c:v>
                </c:pt>
                <c:pt idx="55">
                  <c:v>21.358176987358291</c:v>
                </c:pt>
                <c:pt idx="56">
                  <c:v>19.068789325731672</c:v>
                </c:pt>
                <c:pt idx="57">
                  <c:v>17.362041044334418</c:v>
                </c:pt>
                <c:pt idx="58">
                  <c:v>16.019112651209323</c:v>
                </c:pt>
                <c:pt idx="59">
                  <c:v>14.920656290302889</c:v>
                </c:pt>
                <c:pt idx="60">
                  <c:v>13.994422354324282</c:v>
                </c:pt>
                <c:pt idx="61">
                  <c:v>13.193686315123987</c:v>
                </c:pt>
                <c:pt idx="62">
                  <c:v>12.486885215230885</c:v>
                </c:pt>
                <c:pt idx="63">
                  <c:v>11.85204743583313</c:v>
                </c:pt>
                <c:pt idx="64">
                  <c:v>11.27353548120966</c:v>
                </c:pt>
                <c:pt idx="65">
                  <c:v>10.74001993000925</c:v>
                </c:pt>
                <c:pt idx="66">
                  <c:v>10.24316294501403</c:v>
                </c:pt>
                <c:pt idx="67">
                  <c:v>9.7767366214811577</c:v>
                </c:pt>
                <c:pt idx="68">
                  <c:v>9.3360200356743359</c:v>
                </c:pt>
                <c:pt idx="69">
                  <c:v>8.9173806294924063</c:v>
                </c:pt>
                <c:pt idx="70">
                  <c:v>8.5179802054554266</c:v>
                </c:pt>
                <c:pt idx="71">
                  <c:v>8.13556646320305</c:v>
                </c:pt>
                <c:pt idx="72">
                  <c:v>7.7683239281095258</c:v>
                </c:pt>
                <c:pt idx="73">
                  <c:v>4.6934529356141352</c:v>
                </c:pt>
                <c:pt idx="74">
                  <c:v>2.3152915024719771</c:v>
                </c:pt>
                <c:pt idx="75">
                  <c:v>0.35360256443830451</c:v>
                </c:pt>
                <c:pt idx="76">
                  <c:v>-1.3330072832719235</c:v>
                </c:pt>
                <c:pt idx="77">
                  <c:v>-2.8273408558907622</c:v>
                </c:pt>
                <c:pt idx="78">
                  <c:v>-4.1815460267883324</c:v>
                </c:pt>
                <c:pt idx="79">
                  <c:v>-5.4301315686035583</c:v>
                </c:pt>
                <c:pt idx="80">
                  <c:v>-6.5968066870886357</c:v>
                </c:pt>
                <c:pt idx="81">
                  <c:v>-7.6983530507935978</c:v>
                </c:pt>
                <c:pt idx="82">
                  <c:v>-8.7469431217942475</c:v>
                </c:pt>
                <c:pt idx="83">
                  <c:v>-9.7515916945628973</c:v>
                </c:pt>
                <c:pt idx="84">
                  <c:v>-10.71909829157145</c:v>
                </c:pt>
                <c:pt idx="85">
                  <c:v>-11.654677354211648</c:v>
                </c:pt>
                <c:pt idx="86">
                  <c:v>-12.56238996693458</c:v>
                </c:pt>
                <c:pt idx="87">
                  <c:v>-13.445445565073346</c:v>
                </c:pt>
                <c:pt idx="88">
                  <c:v>-14.306416315023121</c:v>
                </c:pt>
                <c:pt idx="89">
                  <c:v>-15.147391614353435</c:v>
                </c:pt>
                <c:pt idx="90">
                  <c:v>-15.970090822451628</c:v>
                </c:pt>
                <c:pt idx="91">
                  <c:v>-23.424326819116828</c:v>
                </c:pt>
                <c:pt idx="92">
                  <c:v>-29.864355970388775</c:v>
                </c:pt>
                <c:pt idx="93">
                  <c:v>-35.574473594865076</c:v>
                </c:pt>
                <c:pt idx="94">
                  <c:v>-40.707920737787937</c:v>
                </c:pt>
                <c:pt idx="95">
                  <c:v>-45.367793636814127</c:v>
                </c:pt>
                <c:pt idx="96">
                  <c:v>-49.630654574113358</c:v>
                </c:pt>
                <c:pt idx="97">
                  <c:v>-53.555966969518245</c:v>
                </c:pt>
                <c:pt idx="98">
                  <c:v>-57.191006321640039</c:v>
                </c:pt>
                <c:pt idx="99">
                  <c:v>-60.573951298393716</c:v>
                </c:pt>
                <c:pt idx="100">
                  <c:v>-63.736033725008355</c:v>
                </c:pt>
                <c:pt idx="101">
                  <c:v>-66.703101067382249</c:v>
                </c:pt>
                <c:pt idx="102">
                  <c:v>-69.496774955477804</c:v>
                </c:pt>
                <c:pt idx="103">
                  <c:v>-72.135320812533877</c:v>
                </c:pt>
                <c:pt idx="104">
                  <c:v>-74.634307623831518</c:v>
                </c:pt>
                <c:pt idx="105">
                  <c:v>-77.007113941400931</c:v>
                </c:pt>
                <c:pt idx="106">
                  <c:v>-79.265320342743138</c:v>
                </c:pt>
                <c:pt idx="107">
                  <c:v>-81.419017298001378</c:v>
                </c:pt>
                <c:pt idx="108">
                  <c:v>-83.477049382411209</c:v>
                </c:pt>
                <c:pt idx="109">
                  <c:v>-100.15407942724414</c:v>
                </c:pt>
                <c:pt idx="110">
                  <c:v>-112.29425129344733</c:v>
                </c:pt>
                <c:pt idx="111">
                  <c:v>-121.81592800080547</c:v>
                </c:pt>
                <c:pt idx="112">
                  <c:v>-129.64048502948549</c:v>
                </c:pt>
                <c:pt idx="113">
                  <c:v>-136.27818638064346</c:v>
                </c:pt>
                <c:pt idx="114">
                  <c:v>-142.04017066106474</c:v>
                </c:pt>
                <c:pt idx="115">
                  <c:v>-147.12980570939101</c:v>
                </c:pt>
                <c:pt idx="116">
                  <c:v>-151.68717764476781</c:v>
                </c:pt>
                <c:pt idx="117">
                  <c:v>-155.81282038365515</c:v>
                </c:pt>
                <c:pt idx="118">
                  <c:v>-159.58129648488645</c:v>
                </c:pt>
                <c:pt idx="119">
                  <c:v>-163.04941916077024</c:v>
                </c:pt>
                <c:pt idx="120">
                  <c:v>-166.26146378810489</c:v>
                </c:pt>
                <c:pt idx="121">
                  <c:v>-169.25259981787053</c:v>
                </c:pt>
                <c:pt idx="122">
                  <c:v>-172.0512249110115</c:v>
                </c:pt>
                <c:pt idx="123">
                  <c:v>-174.68059693951736</c:v>
                </c:pt>
                <c:pt idx="124">
                  <c:v>-177.16000270582776</c:v>
                </c:pt>
                <c:pt idx="125">
                  <c:v>-179.50561259685867</c:v>
                </c:pt>
                <c:pt idx="126">
                  <c:v>-181.73111721388543</c:v>
                </c:pt>
              </c:numCache>
            </c:numRef>
          </c:yVal>
          <c:smooth val="0"/>
          <c:extLst>
            <c:ext xmlns:c16="http://schemas.microsoft.com/office/drawing/2014/chart" uri="{C3380CC4-5D6E-409C-BE32-E72D297353CC}">
              <c16:uniqueId val="{00000000-0C54-4215-900B-50CE7095AD8F}"/>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Bode!$AF$11</c:f>
              <c:strCache>
                <c:ptCount val="1"/>
                <c:pt idx="0">
                  <c:v>OPENLOOP_PHASE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Bode!$AF$12:$AF$138</c:f>
              <c:numCache>
                <c:formatCode>_(* #,##0.00_);_(* \(#,##0.00\);_(* "-"??_);_(@_)</c:formatCode>
                <c:ptCount val="127"/>
                <c:pt idx="0">
                  <c:v>-82.560550417940149</c:v>
                </c:pt>
                <c:pt idx="1">
                  <c:v>-85.021440109500503</c:v>
                </c:pt>
                <c:pt idx="2">
                  <c:v>-86.258375055708044</c:v>
                </c:pt>
                <c:pt idx="3">
                  <c:v>-87.001467059521559</c:v>
                </c:pt>
                <c:pt idx="4">
                  <c:v>-87.496752104142715</c:v>
                </c:pt>
                <c:pt idx="5">
                  <c:v>-87.850171955663612</c:v>
                </c:pt>
                <c:pt idx="6">
                  <c:v>-88.114830365896466</c:v>
                </c:pt>
                <c:pt idx="7">
                  <c:v>-88.320273789163494</c:v>
                </c:pt>
                <c:pt idx="8">
                  <c:v>-88.484247415405974</c:v>
                </c:pt>
                <c:pt idx="9">
                  <c:v>-88.618051226001342</c:v>
                </c:pt>
                <c:pt idx="10">
                  <c:v>-88.729222178196267</c:v>
                </c:pt>
                <c:pt idx="11">
                  <c:v>-88.822980037535487</c:v>
                </c:pt>
                <c:pt idx="12">
                  <c:v>-88.903054229999043</c:v>
                </c:pt>
                <c:pt idx="13">
                  <c:v>-88.972180253938831</c:v>
                </c:pt>
                <c:pt idx="14">
                  <c:v>-89.032410083332692</c:v>
                </c:pt>
                <c:pt idx="15">
                  <c:v>-89.085313091674934</c:v>
                </c:pt>
                <c:pt idx="16">
                  <c:v>-89.132110041393346</c:v>
                </c:pt>
                <c:pt idx="17">
                  <c:v>-89.173764783300484</c:v>
                </c:pt>
                <c:pt idx="18">
                  <c:v>-89.211048459253931</c:v>
                </c:pt>
                <c:pt idx="19">
                  <c:v>-89.439626224747499</c:v>
                </c:pt>
                <c:pt idx="20">
                  <c:v>-89.543604459485181</c:v>
                </c:pt>
                <c:pt idx="21">
                  <c:v>-89.597739060401352</c:v>
                </c:pt>
                <c:pt idx="22">
                  <c:v>-89.626951522257926</c:v>
                </c:pt>
                <c:pt idx="23">
                  <c:v>-89.641923099785984</c:v>
                </c:pt>
                <c:pt idx="24">
                  <c:v>-89.647994649991688</c:v>
                </c:pt>
                <c:pt idx="25">
                  <c:v>-89.648133445209183</c:v>
                </c:pt>
                <c:pt idx="26">
                  <c:v>-89.644119942605997</c:v>
                </c:pt>
                <c:pt idx="27">
                  <c:v>-89.637087237377827</c:v>
                </c:pt>
                <c:pt idx="28">
                  <c:v>-89.627790793526557</c:v>
                </c:pt>
                <c:pt idx="29">
                  <c:v>-89.616753685093471</c:v>
                </c:pt>
                <c:pt idx="30">
                  <c:v>-89.60434959181103</c:v>
                </c:pt>
                <c:pt idx="31">
                  <c:v>-89.59085259679199</c:v>
                </c:pt>
                <c:pt idx="32">
                  <c:v>-89.576468310228222</c:v>
                </c:pt>
                <c:pt idx="33">
                  <c:v>-89.561354008326134</c:v>
                </c:pt>
                <c:pt idx="34">
                  <c:v>-89.545632059301624</c:v>
                </c:pt>
                <c:pt idx="35">
                  <c:v>-89.529399109605691</c:v>
                </c:pt>
                <c:pt idx="36">
                  <c:v>-89.512732514294385</c:v>
                </c:pt>
                <c:pt idx="37">
                  <c:v>-89.331877626151325</c:v>
                </c:pt>
                <c:pt idx="38">
                  <c:v>-89.139130293038249</c:v>
                </c:pt>
                <c:pt idx="39">
                  <c:v>-88.94215368131988</c:v>
                </c:pt>
                <c:pt idx="40">
                  <c:v>-88.743622637281177</c:v>
                </c:pt>
                <c:pt idx="41">
                  <c:v>-88.544783583626042</c:v>
                </c:pt>
                <c:pt idx="42">
                  <c:v>-88.346344009841658</c:v>
                </c:pt>
                <c:pt idx="43">
                  <c:v>-88.148768599080171</c:v>
                </c:pt>
                <c:pt idx="44">
                  <c:v>-87.952397403360237</c:v>
                </c:pt>
                <c:pt idx="45">
                  <c:v>-87.757499361445767</c:v>
                </c:pt>
                <c:pt idx="46">
                  <c:v>-87.564298922649954</c:v>
                </c:pt>
                <c:pt idx="47">
                  <c:v>-87.372990298232253</c:v>
                </c:pt>
                <c:pt idx="48">
                  <c:v>-87.183745560713646</c:v>
                </c:pt>
                <c:pt idx="49">
                  <c:v>-86.996719490460734</c:v>
                </c:pt>
                <c:pt idx="50">
                  <c:v>-86.812052615810359</c:v>
                </c:pt>
                <c:pt idx="51">
                  <c:v>-86.629873209239747</c:v>
                </c:pt>
                <c:pt idx="52">
                  <c:v>-86.450298660355799</c:v>
                </c:pt>
                <c:pt idx="53">
                  <c:v>-86.273436466846007</c:v>
                </c:pt>
                <c:pt idx="54">
                  <c:v>-86.099384985969266</c:v>
                </c:pt>
                <c:pt idx="55">
                  <c:v>-84.529548803544813</c:v>
                </c:pt>
                <c:pt idx="56">
                  <c:v>-83.297546112783209</c:v>
                </c:pt>
                <c:pt idx="57">
                  <c:v>-82.40863056679278</c:v>
                </c:pt>
                <c:pt idx="58">
                  <c:v>-81.84130473584122</c:v>
                </c:pt>
                <c:pt idx="59">
                  <c:v>-81.561300227056336</c:v>
                </c:pt>
                <c:pt idx="60">
                  <c:v>-81.529544738469411</c:v>
                </c:pt>
                <c:pt idx="61">
                  <c:v>-81.706685495346463</c:v>
                </c:pt>
                <c:pt idx="62">
                  <c:v>-82.055705553297329</c:v>
                </c:pt>
                <c:pt idx="63">
                  <c:v>-82.543350834825574</c:v>
                </c:pt>
                <c:pt idx="64">
                  <c:v>-83.140746073887115</c:v>
                </c:pt>
                <c:pt idx="65">
                  <c:v>-83.823465052674905</c:v>
                </c:pt>
                <c:pt idx="66">
                  <c:v>-84.571264357115453</c:v>
                </c:pt>
                <c:pt idx="67">
                  <c:v>-85.367639046307715</c:v>
                </c:pt>
                <c:pt idx="68">
                  <c:v>-86.199310038499249</c:v>
                </c:pt>
                <c:pt idx="69">
                  <c:v>-87.055712103827261</c:v>
                </c:pt>
                <c:pt idx="70">
                  <c:v>-87.928520818927467</c:v>
                </c:pt>
                <c:pt idx="71">
                  <c:v>-88.811236176836204</c:v>
                </c:pt>
                <c:pt idx="72">
                  <c:v>-89.698827733909155</c:v>
                </c:pt>
                <c:pt idx="73">
                  <c:v>-98.330773311559625</c:v>
                </c:pt>
                <c:pt idx="74">
                  <c:v>-106.16269941116717</c:v>
                </c:pt>
                <c:pt idx="75">
                  <c:v>-113.33685510560613</c:v>
                </c:pt>
                <c:pt idx="76">
                  <c:v>-120.04727969037164</c:v>
                </c:pt>
                <c:pt idx="77">
                  <c:v>-126.41450309336616</c:v>
                </c:pt>
                <c:pt idx="78">
                  <c:v>-132.50881577236044</c:v>
                </c:pt>
                <c:pt idx="79">
                  <c:v>-138.37207883112347</c:v>
                </c:pt>
                <c:pt idx="80">
                  <c:v>-144.03037450961443</c:v>
                </c:pt>
                <c:pt idx="81">
                  <c:v>-149.50094556405949</c:v>
                </c:pt>
                <c:pt idx="82">
                  <c:v>-154.79602058860837</c:v>
                </c:pt>
                <c:pt idx="83">
                  <c:v>-159.92495292027462</c:v>
                </c:pt>
                <c:pt idx="84">
                  <c:v>-164.89542895143185</c:v>
                </c:pt>
                <c:pt idx="85">
                  <c:v>-169.71415215828748</c:v>
                </c:pt>
                <c:pt idx="86">
                  <c:v>-174.38722724276042</c:v>
                </c:pt>
                <c:pt idx="87">
                  <c:v>-178.92037158567393</c:v>
                </c:pt>
                <c:pt idx="88">
                  <c:v>-183.31902758394787</c:v>
                </c:pt>
                <c:pt idx="89">
                  <c:v>-187.58841895942851</c:v>
                </c:pt>
                <c:pt idx="90">
                  <c:v>-191.73357636854905</c:v>
                </c:pt>
                <c:pt idx="91">
                  <c:v>-227.32928098688498</c:v>
                </c:pt>
                <c:pt idx="92">
                  <c:v>-254.73564710692347</c:v>
                </c:pt>
                <c:pt idx="93">
                  <c:v>-276.42847029218512</c:v>
                </c:pt>
                <c:pt idx="94">
                  <c:v>-293.99427850739357</c:v>
                </c:pt>
                <c:pt idx="95">
                  <c:v>-308.49168264579919</c:v>
                </c:pt>
                <c:pt idx="96">
                  <c:v>-320.65064271357602</c:v>
                </c:pt>
                <c:pt idx="97">
                  <c:v>-330.9881832035378</c:v>
                </c:pt>
                <c:pt idx="98">
                  <c:v>-339.87952107592844</c:v>
                </c:pt>
                <c:pt idx="99">
                  <c:v>-347.60320853414765</c:v>
                </c:pt>
                <c:pt idx="100">
                  <c:v>-354.37040168668182</c:v>
                </c:pt>
                <c:pt idx="101">
                  <c:v>-360.3442098575174</c:v>
                </c:pt>
                <c:pt idx="102">
                  <c:v>-365.65274838279458</c:v>
                </c:pt>
                <c:pt idx="103">
                  <c:v>-370.39813068085436</c:v>
                </c:pt>
                <c:pt idx="104">
                  <c:v>-374.66279466888</c:v>
                </c:pt>
                <c:pt idx="105">
                  <c:v>-378.51404517145511</c:v>
                </c:pt>
                <c:pt idx="106">
                  <c:v>-382.00737812144939</c:v>
                </c:pt>
                <c:pt idx="107">
                  <c:v>-385.18895607765563</c:v>
                </c:pt>
                <c:pt idx="108">
                  <c:v>-388.09748098431737</c:v>
                </c:pt>
                <c:pt idx="109">
                  <c:v>-407.48090259152571</c:v>
                </c:pt>
                <c:pt idx="110">
                  <c:v>-417.7430143393625</c:v>
                </c:pt>
                <c:pt idx="111">
                  <c:v>-424.05174346290266</c:v>
                </c:pt>
                <c:pt idx="112">
                  <c:v>-428.31032455287698</c:v>
                </c:pt>
                <c:pt idx="113">
                  <c:v>-431.37420747456002</c:v>
                </c:pt>
                <c:pt idx="114">
                  <c:v>-433.6825926715855</c:v>
                </c:pt>
                <c:pt idx="115">
                  <c:v>-435.48348154258815</c:v>
                </c:pt>
                <c:pt idx="116">
                  <c:v>-436.92727869751275</c:v>
                </c:pt>
                <c:pt idx="117">
                  <c:v>-438.11041138391187</c:v>
                </c:pt>
                <c:pt idx="118">
                  <c:v>-439.09751144556515</c:v>
                </c:pt>
                <c:pt idx="119">
                  <c:v>-439.93350426312213</c:v>
                </c:pt>
                <c:pt idx="120">
                  <c:v>-440.65057846611364</c:v>
                </c:pt>
                <c:pt idx="121">
                  <c:v>-441.27239614555083</c:v>
                </c:pt>
                <c:pt idx="122">
                  <c:v>-441.81673813240434</c:v>
                </c:pt>
                <c:pt idx="123">
                  <c:v>-442.29722282330511</c:v>
                </c:pt>
                <c:pt idx="124">
                  <c:v>-442.7244559427927</c:v>
                </c:pt>
                <c:pt idx="125">
                  <c:v>-443.10681940443595</c:v>
                </c:pt>
                <c:pt idx="126">
                  <c:v>-443.45102478447393</c:v>
                </c:pt>
              </c:numCache>
            </c:numRef>
          </c:yVal>
          <c:smooth val="0"/>
          <c:extLst>
            <c:ext xmlns:c16="http://schemas.microsoft.com/office/drawing/2014/chart" uri="{C3380CC4-5D6E-409C-BE32-E72D297353CC}">
              <c16:uniqueId val="{00000001-0C54-4215-900B-50CE7095AD8F}"/>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80"/>
          <c:min val="-6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90"/>
          <c:min val="-27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rgbClr val="000000"/>
                </a:solidFill>
                <a:latin typeface="Arial"/>
                <a:ea typeface="Arial"/>
                <a:cs typeface="Arial"/>
              </a:defRPr>
            </a:pPr>
            <a:r>
              <a:rPr lang="en-US" sz="1600" baseline="0"/>
              <a:t>CC LOOP - OPEN LOOP RESPONSE in CCM </a:t>
            </a:r>
            <a:r>
              <a:rPr lang="en-US" sz="1800" b="1" i="0" baseline="0">
                <a:effectLst/>
              </a:rPr>
              <a:t>@V</a:t>
            </a:r>
            <a:r>
              <a:rPr lang="en-US" sz="1800" b="1" i="0" baseline="-25000">
                <a:effectLst/>
              </a:rPr>
              <a:t>SUPPLY(typ)</a:t>
            </a:r>
            <a:endParaRPr lang="en-US" sz="1600">
              <a:effectLst/>
            </a:endParaRPr>
          </a:p>
        </c:rich>
      </c:tx>
      <c:layout>
        <c:manualLayout>
          <c:xMode val="edge"/>
          <c:yMode val="edge"/>
          <c:x val="0.12328808296910675"/>
          <c:y val="1.6251301945748486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Bode!$BH$11</c:f>
              <c:strCache>
                <c:ptCount val="1"/>
                <c:pt idx="0">
                  <c:v>OPENLOOP_GAIN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Bode!$BH$12:$BH$138</c:f>
              <c:numCache>
                <c:formatCode>_(* #,##0.00_);_(* \(#,##0.00\);_(* "-"??_);_(@_)</c:formatCode>
                <c:ptCount val="127"/>
                <c:pt idx="0">
                  <c:v>84.481438124196487</c:v>
                </c:pt>
                <c:pt idx="1">
                  <c:v>81.000205502773341</c:v>
                </c:pt>
                <c:pt idx="2">
                  <c:v>78.515727256340853</c:v>
                </c:pt>
                <c:pt idx="3">
                  <c:v>76.584159069207843</c:v>
                </c:pt>
                <c:pt idx="4">
                  <c:v>75.004139811731875</c:v>
                </c:pt>
                <c:pt idx="5">
                  <c:v>73.667378323780184</c:v>
                </c:pt>
                <c:pt idx="6">
                  <c:v>72.508949891527394</c:v>
                </c:pt>
                <c:pt idx="7">
                  <c:v>71.48686543339187</c:v>
                </c:pt>
                <c:pt idx="8">
                  <c:v>70.572405383995687</c:v>
                </c:pt>
                <c:pt idx="9">
                  <c:v>69.745060739397942</c:v>
                </c:pt>
                <c:pt idx="10">
                  <c:v>68.989675367795371</c:v>
                </c:pt>
                <c:pt idx="11">
                  <c:v>68.294732156505631</c:v>
                </c:pt>
                <c:pt idx="12">
                  <c:v>67.651274281524408</c:v>
                </c:pt>
                <c:pt idx="13">
                  <c:v>67.052198636684665</c:v>
                </c:pt>
                <c:pt idx="14">
                  <c:v>66.491777287002492</c:v>
                </c:pt>
                <c:pt idx="15">
                  <c:v>65.965323991029038</c:v>
                </c:pt>
                <c:pt idx="16">
                  <c:v>65.468956034444304</c:v>
                </c:pt>
                <c:pt idx="17">
                  <c:v>64.99942045216342</c:v>
                </c:pt>
                <c:pt idx="18">
                  <c:v>64.553964820798669</c:v>
                </c:pt>
                <c:pt idx="19">
                  <c:v>61.032452681641928</c:v>
                </c:pt>
                <c:pt idx="20">
                  <c:v>58.533684812195823</c:v>
                </c:pt>
                <c:pt idx="21">
                  <c:v>56.595375060883597</c:v>
                </c:pt>
                <c:pt idx="22">
                  <c:v>55.011571153211939</c:v>
                </c:pt>
                <c:pt idx="23">
                  <c:v>53.672402949908943</c:v>
                </c:pt>
                <c:pt idx="24">
                  <c:v>52.512284905419058</c:v>
                </c:pt>
                <c:pt idx="25">
                  <c:v>51.488911889350661</c:v>
                </c:pt>
                <c:pt idx="26">
                  <c:v>50.57339776876735</c:v>
                </c:pt>
                <c:pt idx="27">
                  <c:v>49.745139007890053</c:v>
                </c:pt>
                <c:pt idx="28">
                  <c:v>48.988922600499713</c:v>
                </c:pt>
                <c:pt idx="29">
                  <c:v>48.293195561570258</c:v>
                </c:pt>
                <c:pt idx="30">
                  <c:v>47.648977542919653</c:v>
                </c:pt>
                <c:pt idx="31">
                  <c:v>47.049149500445786</c:v>
                </c:pt>
                <c:pt idx="32">
                  <c:v>46.487972398505072</c:v>
                </c:pt>
                <c:pt idx="33">
                  <c:v>45.960752079426889</c:v>
                </c:pt>
                <c:pt idx="34">
                  <c:v>45.463600067936426</c:v>
                </c:pt>
                <c:pt idx="35">
                  <c:v>44.993259132620892</c:v>
                </c:pt>
                <c:pt idx="36">
                  <c:v>44.546973642837237</c:v>
                </c:pt>
                <c:pt idx="37">
                  <c:v>41.015472658792142</c:v>
                </c:pt>
                <c:pt idx="38">
                  <c:v>38.503280556405421</c:v>
                </c:pt>
                <c:pt idx="39">
                  <c:v>36.548052733841686</c:v>
                </c:pt>
                <c:pt idx="40">
                  <c:v>34.943952036856786</c:v>
                </c:pt>
                <c:pt idx="41">
                  <c:v>33.581282525964632</c:v>
                </c:pt>
                <c:pt idx="42">
                  <c:v>32.394666803729386</c:v>
                </c:pt>
                <c:pt idx="43">
                  <c:v>31.342031826932491</c:v>
                </c:pt>
                <c:pt idx="44">
                  <c:v>30.394741124723019</c:v>
                </c:pt>
                <c:pt idx="45">
                  <c:v>29.532453188886716</c:v>
                </c:pt>
                <c:pt idx="46">
                  <c:v>28.740224727220649</c:v>
                </c:pt>
                <c:pt idx="47">
                  <c:v>28.006775864188398</c:v>
                </c:pt>
                <c:pt idx="48">
                  <c:v>27.323398848079023</c:v>
                </c:pt>
                <c:pt idx="49">
                  <c:v>26.683243220924265</c:v>
                </c:pt>
                <c:pt idx="50">
                  <c:v>26.080831465545138</c:v>
                </c:pt>
                <c:pt idx="51">
                  <c:v>25.511721275144552</c:v>
                </c:pt>
                <c:pt idx="52">
                  <c:v>24.972264218208668</c:v>
                </c:pt>
                <c:pt idx="53">
                  <c:v>24.459429609961351</c:v>
                </c:pt>
                <c:pt idx="54">
                  <c:v>23.97067360603781</c:v>
                </c:pt>
                <c:pt idx="55">
                  <c:v>20.05096680634303</c:v>
                </c:pt>
                <c:pt idx="56">
                  <c:v>17.274921187796</c:v>
                </c:pt>
                <c:pt idx="57">
                  <c:v>15.191643523500115</c:v>
                </c:pt>
                <c:pt idx="58">
                  <c:v>13.567456228877036</c:v>
                </c:pt>
                <c:pt idx="59">
                  <c:v>12.260053870558124</c:v>
                </c:pt>
                <c:pt idx="60">
                  <c:v>11.177387241986473</c:v>
                </c:pt>
                <c:pt idx="61">
                  <c:v>10.257976033514263</c:v>
                </c:pt>
                <c:pt idx="62">
                  <c:v>9.4597846077751413</c:v>
                </c:pt>
                <c:pt idx="63">
                  <c:v>8.753503626551673</c:v>
                </c:pt>
                <c:pt idx="64">
                  <c:v>8.1183403768438769</c:v>
                </c:pt>
                <c:pt idx="65">
                  <c:v>7.5393078697521583</c:v>
                </c:pt>
                <c:pt idx="66">
                  <c:v>7.0054395600166703</c:v>
                </c:pt>
                <c:pt idx="67">
                  <c:v>6.5085916045254502</c:v>
                </c:pt>
                <c:pt idx="68">
                  <c:v>6.0426267778029468</c:v>
                </c:pt>
                <c:pt idx="69">
                  <c:v>5.6028510988205635</c:v>
                </c:pt>
                <c:pt idx="70">
                  <c:v>5.1856204441437672</c:v>
                </c:pt>
                <c:pt idx="71">
                  <c:v>4.7880630069846539</c:v>
                </c:pt>
                <c:pt idx="72">
                  <c:v>4.4078815881868767</c:v>
                </c:pt>
                <c:pt idx="73">
                  <c:v>1.269220825795766</c:v>
                </c:pt>
                <c:pt idx="74">
                  <c:v>-1.123973514120556</c:v>
                </c:pt>
                <c:pt idx="75">
                  <c:v>-3.0839544660729161</c:v>
                </c:pt>
                <c:pt idx="76">
                  <c:v>-4.7603768213978661</c:v>
                </c:pt>
                <c:pt idx="77">
                  <c:v>-6.2389495113642663</c:v>
                </c:pt>
                <c:pt idx="78">
                  <c:v>-7.5730716073175017</c:v>
                </c:pt>
                <c:pt idx="79">
                  <c:v>-8.7978795321219625</c:v>
                </c:pt>
                <c:pt idx="80">
                  <c:v>-9.9374411749291891</c:v>
                </c:pt>
                <c:pt idx="81">
                  <c:v>-11.008769174637706</c:v>
                </c:pt>
                <c:pt idx="82">
                  <c:v>-12.024202001133764</c:v>
                </c:pt>
                <c:pt idx="83">
                  <c:v>-12.992885781153916</c:v>
                </c:pt>
                <c:pt idx="84">
                  <c:v>-13.921732271047921</c:v>
                </c:pt>
                <c:pt idx="85">
                  <c:v>-14.816057449982637</c:v>
                </c:pt>
                <c:pt idx="86">
                  <c:v>-15.680017928509679</c:v>
                </c:pt>
                <c:pt idx="87">
                  <c:v>-16.516915315251858</c:v>
                </c:pt>
                <c:pt idx="88">
                  <c:v>-17.32941210567029</c:v>
                </c:pt>
                <c:pt idx="89">
                  <c:v>-18.119687015238373</c:v>
                </c:pt>
                <c:pt idx="90">
                  <c:v>-18.88954813608521</c:v>
                </c:pt>
                <c:pt idx="91">
                  <c:v>-25.716977036464524</c:v>
                </c:pt>
                <c:pt idx="92">
                  <c:v>-31.407770629914651</c:v>
                </c:pt>
                <c:pt idx="93">
                  <c:v>-36.31248148471493</c:v>
                </c:pt>
                <c:pt idx="94">
                  <c:v>-40.629226349197239</c:v>
                </c:pt>
                <c:pt idx="95">
                  <c:v>-44.487881071124846</c:v>
                </c:pt>
                <c:pt idx="96">
                  <c:v>-47.979281903268607</c:v>
                </c:pt>
                <c:pt idx="97">
                  <c:v>-51.169414615170076</c:v>
                </c:pt>
                <c:pt idx="98">
                  <c:v>-54.107587523416115</c:v>
                </c:pt>
                <c:pt idx="99">
                  <c:v>-56.831551683236363</c:v>
                </c:pt>
                <c:pt idx="100">
                  <c:v>-59.370849427593889</c:v>
                </c:pt>
                <c:pt idx="101">
                  <c:v>-61.749062501146405</c:v>
                </c:pt>
                <c:pt idx="102">
                  <c:v>-63.985352464395078</c:v>
                </c:pt>
                <c:pt idx="103">
                  <c:v>-66.095536160607324</c:v>
                </c:pt>
                <c:pt idx="104">
                  <c:v>-68.092850661391225</c:v>
                </c:pt>
                <c:pt idx="105">
                  <c:v>-69.988507586243159</c:v>
                </c:pt>
                <c:pt idx="106">
                  <c:v>-71.792102283899169</c:v>
                </c:pt>
                <c:pt idx="107">
                  <c:v>-73.511921352560137</c:v>
                </c:pt>
                <c:pt idx="108">
                  <c:v>-75.155177745743117</c:v>
                </c:pt>
                <c:pt idx="109">
                  <c:v>-88.472057510034887</c:v>
                </c:pt>
                <c:pt idx="110">
                  <c:v>-98.171493273259102</c:v>
                </c:pt>
                <c:pt idx="111">
                  <c:v>-105.78209814710826</c:v>
                </c:pt>
                <c:pt idx="112">
                  <c:v>-112.03783801529272</c:v>
                </c:pt>
                <c:pt idx="113">
                  <c:v>-117.34555664516174</c:v>
                </c:pt>
                <c:pt idx="114">
                  <c:v>-121.953522765537</c:v>
                </c:pt>
                <c:pt idx="115">
                  <c:v>-126.02410258441863</c:v>
                </c:pt>
                <c:pt idx="116">
                  <c:v>-129.66918472177844</c:v>
                </c:pt>
                <c:pt idx="117">
                  <c:v>-132.96909105666651</c:v>
                </c:pt>
                <c:pt idx="118">
                  <c:v>-135.98340701110567</c:v>
                </c:pt>
                <c:pt idx="119">
                  <c:v>-138.7575417675032</c:v>
                </c:pt>
                <c:pt idx="120">
                  <c:v>-141.32688815899778</c:v>
                </c:pt>
                <c:pt idx="121">
                  <c:v>-143.71956295092426</c:v>
                </c:pt>
                <c:pt idx="122">
                  <c:v>-145.9582710672739</c:v>
                </c:pt>
                <c:pt idx="123">
                  <c:v>-148.06160931271643</c:v>
                </c:pt>
                <c:pt idx="124">
                  <c:v>-150.04500016527774</c:v>
                </c:pt>
                <c:pt idx="125">
                  <c:v>-151.92137473345539</c:v>
                </c:pt>
                <c:pt idx="126">
                  <c:v>-153.70168155129747</c:v>
                </c:pt>
              </c:numCache>
            </c:numRef>
          </c:yVal>
          <c:smooth val="0"/>
          <c:extLst>
            <c:ext xmlns:c16="http://schemas.microsoft.com/office/drawing/2014/chart" uri="{C3380CC4-5D6E-409C-BE32-E72D297353CC}">
              <c16:uniqueId val="{00000000-B915-43A9-A00B-70FF61B90E08}"/>
            </c:ext>
          </c:extLst>
        </c:ser>
        <c:dLbls>
          <c:showLegendKey val="0"/>
          <c:showVal val="0"/>
          <c:showCatName val="0"/>
          <c:showSerName val="0"/>
          <c:showPercent val="0"/>
          <c:showBubbleSize val="0"/>
        </c:dLbls>
        <c:axId val="80968320"/>
        <c:axId val="80978688"/>
      </c:scatterChart>
      <c:scatterChart>
        <c:scatterStyle val="lineMarker"/>
        <c:varyColors val="0"/>
        <c:ser>
          <c:idx val="2"/>
          <c:order val="2"/>
          <c:tx>
            <c:v>fCROSS</c:v>
          </c:tx>
          <c:spPr>
            <a:effectLst>
              <a:glow rad="228600">
                <a:schemeClr val="accent1">
                  <a:satMod val="175000"/>
                  <a:alpha val="40000"/>
                </a:schemeClr>
              </a:glow>
            </a:effectLst>
          </c:spPr>
          <c:marker>
            <c:symbol val="triangle"/>
            <c:size val="10"/>
            <c:spPr>
              <a:solidFill>
                <a:schemeClr val="tx1"/>
              </a:solidFill>
              <a:ln w="25400">
                <a:solidFill>
                  <a:schemeClr val="tx1"/>
                </a:solidFill>
              </a:ln>
              <a:effectLst>
                <a:glow rad="228600">
                  <a:schemeClr val="accent1">
                    <a:satMod val="175000"/>
                    <a:alpha val="40000"/>
                  </a:schemeClr>
                </a:glow>
              </a:effectLst>
            </c:spPr>
          </c:marker>
          <c:dLbls>
            <c:dLbl>
              <c:idx val="0"/>
              <c:tx>
                <c:rich>
                  <a:bodyPr/>
                  <a:lstStyle/>
                  <a:p>
                    <a:r>
                      <a:rPr lang="en-US" sz="1100" b="1" baseline="0"/>
                      <a:t>fCROSS(CC)</a:t>
                    </a:r>
                  </a:p>
                </c:rich>
              </c:tx>
              <c:dLblPos val="t"/>
              <c:showLegendKey val="0"/>
              <c:showVal val="0"/>
              <c:showCatName val="0"/>
              <c:showSerName val="1"/>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B915-43A9-A00B-70FF61B90E08}"/>
                </c:ext>
              </c:extLst>
            </c:dLbl>
            <c:spPr>
              <a:noFill/>
              <a:ln>
                <a:noFill/>
              </a:ln>
              <a:effectLst/>
            </c:spPr>
            <c:txPr>
              <a:bodyPr wrap="square" lIns="38100" tIns="19050" rIns="38100" bIns="19050" anchor="ctr">
                <a:spAutoFit/>
              </a:bodyPr>
              <a:lstStyle/>
              <a:p>
                <a:pPr>
                  <a:defRPr sz="1000" b="1" baseline="0"/>
                </a:pPr>
                <a:endParaRPr lang="en-US"/>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Bode!$BL$8</c:f>
              <c:numCache>
                <c:formatCode>_(* #,##0.0_);_(* \(#,##0.0\);_(* "-"?_);_(@_)</c:formatCode>
                <c:ptCount val="1"/>
                <c:pt idx="0">
                  <c:v>17651.729541195858</c:v>
                </c:pt>
              </c:numCache>
            </c:numRef>
          </c:xVal>
          <c:yVal>
            <c:numLit>
              <c:formatCode>General</c:formatCode>
              <c:ptCount val="1"/>
              <c:pt idx="0">
                <c:v>0</c:v>
              </c:pt>
            </c:numLit>
          </c:yVal>
          <c:smooth val="0"/>
          <c:extLst>
            <c:ext xmlns:c16="http://schemas.microsoft.com/office/drawing/2014/chart" uri="{C3380CC4-5D6E-409C-BE32-E72D297353CC}">
              <c16:uniqueId val="{00000002-B915-43A9-A00B-70FF61B90E08}"/>
            </c:ext>
          </c:extLst>
        </c:ser>
        <c:ser>
          <c:idx val="3"/>
          <c:order val="3"/>
          <c:tx>
            <c:v>fPIMON</c:v>
          </c:tx>
          <c:marker>
            <c:symbol val="x"/>
            <c:size val="11"/>
            <c:spPr>
              <a:noFill/>
              <a:ln w="25400">
                <a:solidFill>
                  <a:schemeClr val="tx1"/>
                </a:solidFill>
              </a:ln>
              <a:effectLst>
                <a:glow rad="63500">
                  <a:srgbClr val="00B050">
                    <a:alpha val="40000"/>
                  </a:srgbClr>
                </a:glow>
              </a:effectLst>
            </c:spPr>
          </c:marker>
          <c:dLbls>
            <c:spPr>
              <a:noFill/>
              <a:ln>
                <a:noFill/>
              </a:ln>
              <a:effectLst/>
            </c:spPr>
            <c:txPr>
              <a:bodyPr wrap="square" lIns="38100" tIns="19050" rIns="38100" bIns="19050" anchor="ctr">
                <a:spAutoFit/>
              </a:bodyPr>
              <a:lstStyle/>
              <a:p>
                <a:pPr>
                  <a:defRPr sz="1000" b="1"/>
                </a:pPr>
                <a:endParaRPr lang="en-US"/>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Bode!$BX$7</c:f>
              <c:numCache>
                <c:formatCode>General</c:formatCode>
                <c:ptCount val="1"/>
                <c:pt idx="0">
                  <c:v>2382.5595239992208</c:v>
                </c:pt>
              </c:numCache>
            </c:numRef>
          </c:xVal>
          <c:yVal>
            <c:numRef>
              <c:f>Bode!$BX$8</c:f>
              <c:numCache>
                <c:formatCode>_(* #,##0.0_);_(* \(#,##0.0\);_(* "-"?_);_(@_)</c:formatCode>
                <c:ptCount val="1"/>
                <c:pt idx="0">
                  <c:v>15.680965764573516</c:v>
                </c:pt>
              </c:numCache>
            </c:numRef>
          </c:yVal>
          <c:smooth val="0"/>
          <c:extLst>
            <c:ext xmlns:c16="http://schemas.microsoft.com/office/drawing/2014/chart" uri="{C3380CC4-5D6E-409C-BE32-E72D297353CC}">
              <c16:uniqueId val="{00000004-B915-43A9-A00B-70FF61B90E08}"/>
            </c:ext>
          </c:extLst>
        </c:ser>
        <c:ser>
          <c:idx val="4"/>
          <c:order val="4"/>
          <c:tx>
            <c:v>fZCOMP</c:v>
          </c:tx>
          <c:spPr>
            <a:effectLst>
              <a:glow rad="127000">
                <a:schemeClr val="accent4">
                  <a:alpha val="99000"/>
                </a:schemeClr>
              </a:glow>
            </a:effectLst>
          </c:spPr>
          <c:marker>
            <c:symbol val="circle"/>
            <c:size val="12"/>
            <c:spPr>
              <a:noFill/>
              <a:ln w="25400">
                <a:solidFill>
                  <a:schemeClr val="tx1"/>
                </a:solidFill>
              </a:ln>
              <a:effectLst>
                <a:glow rad="127000">
                  <a:schemeClr val="accent4">
                    <a:alpha val="99000"/>
                  </a:schemeClr>
                </a:glow>
              </a:effectLst>
            </c:spPr>
          </c:marker>
          <c:dLbls>
            <c:spPr>
              <a:noFill/>
              <a:ln>
                <a:noFill/>
              </a:ln>
              <a:effectLst/>
            </c:spPr>
            <c:txPr>
              <a:bodyPr wrap="square" lIns="38100" tIns="19050" rIns="38100" bIns="19050" anchor="ctr">
                <a:spAutoFit/>
              </a:bodyPr>
              <a:lstStyle/>
              <a:p>
                <a:pPr>
                  <a:defRPr sz="1000" b="1"/>
                </a:pPr>
                <a:endParaRPr lang="en-US"/>
              </a:p>
            </c:txPr>
            <c:dLblPos val="l"/>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Bode!$BS$8</c:f>
              <c:numCache>
                <c:formatCode>_(* #,##0.0_);_(* \(#,##0.0\);_(* "-"?_);_(@_)</c:formatCode>
                <c:ptCount val="1"/>
                <c:pt idx="0">
                  <c:v>2812.1737998612584</c:v>
                </c:pt>
              </c:numCache>
            </c:numRef>
          </c:xVal>
          <c:yVal>
            <c:numRef>
              <c:f>Bode!$BT$8</c:f>
              <c:numCache>
                <c:formatCode>_(* #,##0.0_);_(* \(#,##0.0\);_(* "-"?_);_(@_)</c:formatCode>
                <c:ptCount val="1"/>
                <c:pt idx="0">
                  <c:v>15.022633950350494</c:v>
                </c:pt>
              </c:numCache>
            </c:numRef>
          </c:yVal>
          <c:smooth val="0"/>
          <c:extLst>
            <c:ext xmlns:c16="http://schemas.microsoft.com/office/drawing/2014/chart" uri="{C3380CC4-5D6E-409C-BE32-E72D297353CC}">
              <c16:uniqueId val="{00000006-B915-43A9-A00B-70FF61B90E08}"/>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Bode!$BI$11</c:f>
              <c:strCache>
                <c:ptCount val="1"/>
                <c:pt idx="0">
                  <c:v>OPENLOOP_PHASE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Bode!$BI$12:$BI$138</c:f>
              <c:numCache>
                <c:formatCode>_(* #,##0.00_);_(* \(#,##0.00\);_(* "-"??_);_(@_)</c:formatCode>
                <c:ptCount val="127"/>
                <c:pt idx="0">
                  <c:v>-82.572257614626281</c:v>
                </c:pt>
                <c:pt idx="1">
                  <c:v>-85.039000898316161</c:v>
                </c:pt>
                <c:pt idx="2">
                  <c:v>-86.281789429197005</c:v>
                </c:pt>
                <c:pt idx="3">
                  <c:v>-87.030735007742237</c:v>
                </c:pt>
                <c:pt idx="4">
                  <c:v>-87.531873614668115</c:v>
                </c:pt>
                <c:pt idx="5">
                  <c:v>-87.891147013581403</c:v>
                </c:pt>
                <c:pt idx="6">
                  <c:v>-88.161658953808967</c:v>
                </c:pt>
                <c:pt idx="7">
                  <c:v>-88.3729558871877</c:v>
                </c:pt>
                <c:pt idx="8">
                  <c:v>-88.542783001173646</c:v>
                </c:pt>
                <c:pt idx="9">
                  <c:v>-88.682440274658958</c:v>
                </c:pt>
                <c:pt idx="10">
                  <c:v>-88.7994646624051</c:v>
                </c:pt>
                <c:pt idx="11">
                  <c:v>-88.899075927471642</c:v>
                </c:pt>
                <c:pt idx="12">
                  <c:v>-88.985003493353503</c:v>
                </c:pt>
                <c:pt idx="13">
                  <c:v>-89.059982855917482</c:v>
                </c:pt>
                <c:pt idx="14">
                  <c:v>-89.126065986656414</c:v>
                </c:pt>
                <c:pt idx="15">
                  <c:v>-89.184822256579579</c:v>
                </c:pt>
                <c:pt idx="16">
                  <c:v>-89.237472425629917</c:v>
                </c:pt>
                <c:pt idx="17">
                  <c:v>-89.2849803421351</c:v>
                </c:pt>
                <c:pt idx="18">
                  <c:v>-89.3281171454679</c:v>
                </c:pt>
                <c:pt idx="19">
                  <c:v>-89.615223041128203</c:v>
                </c:pt>
                <c:pt idx="20">
                  <c:v>-89.777721951520874</c:v>
                </c:pt>
                <c:pt idx="21">
                  <c:v>-89.890367290437112</c:v>
                </c:pt>
                <c:pt idx="22">
                  <c:v>-89.978078070946907</c:v>
                </c:pt>
                <c:pt idx="23">
                  <c:v>-90.051533067902682</c:v>
                </c:pt>
                <c:pt idx="24">
                  <c:v>-90.116070660606596</c:v>
                </c:pt>
                <c:pt idx="25">
                  <c:v>-90.174655646224153</c:v>
                </c:pt>
                <c:pt idx="26">
                  <c:v>-90.22906600964933</c:v>
                </c:pt>
                <c:pt idx="27">
                  <c:v>-90.280432377058446</c:v>
                </c:pt>
                <c:pt idx="28">
                  <c:v>-90.329507747046108</c:v>
                </c:pt>
                <c:pt idx="29">
                  <c:v>-90.376812732214958</c:v>
                </c:pt>
                <c:pt idx="30">
                  <c:v>-90.422718555183167</c:v>
                </c:pt>
                <c:pt idx="31">
                  <c:v>-90.467496846627455</c:v>
                </c:pt>
                <c:pt idx="32">
                  <c:v>-90.511350769334726</c:v>
                </c:pt>
                <c:pt idx="33">
                  <c:v>-90.554435157488285</c:v>
                </c:pt>
                <c:pt idx="34">
                  <c:v>-90.59686994301228</c:v>
                </c:pt>
                <c:pt idx="35">
                  <c:v>-90.638749342144678</c:v>
                </c:pt>
                <c:pt idx="36">
                  <c:v>-90.680148286152757</c:v>
                </c:pt>
                <c:pt idx="37">
                  <c:v>-91.076846309010193</c:v>
                </c:pt>
                <c:pt idx="38">
                  <c:v>-91.454365384936821</c:v>
                </c:pt>
                <c:pt idx="39">
                  <c:v>-91.818102276346735</c:v>
                </c:pt>
                <c:pt idx="40">
                  <c:v>-92.168598146022916</c:v>
                </c:pt>
                <c:pt idx="41">
                  <c:v>-92.505123922316628</c:v>
                </c:pt>
                <c:pt idx="42">
                  <c:v>-92.82659073069857</c:v>
                </c:pt>
                <c:pt idx="43">
                  <c:v>-93.131862075179512</c:v>
                </c:pt>
                <c:pt idx="44">
                  <c:v>-93.419883044707575</c:v>
                </c:pt>
                <c:pt idx="45">
                  <c:v>-93.68973991155805</c:v>
                </c:pt>
                <c:pt idx="46">
                  <c:v>-93.940688141861543</c:v>
                </c:pt>
                <c:pt idx="47">
                  <c:v>-94.1721637474256</c:v>
                </c:pt>
                <c:pt idx="48">
                  <c:v>-94.383784718799831</c:v>
                </c:pt>
                <c:pt idx="49">
                  <c:v>-94.575346031073778</c:v>
                </c:pt>
                <c:pt idx="50">
                  <c:v>-94.746810295571947</c:v>
                </c:pt>
                <c:pt idx="51">
                  <c:v>-94.898295448082493</c:v>
                </c:pt>
                <c:pt idx="52">
                  <c:v>-95.030060496005802</c:v>
                </c:pt>
                <c:pt idx="53">
                  <c:v>-95.142490119375083</c:v>
                </c:pt>
                <c:pt idx="54">
                  <c:v>-95.236078759638175</c:v>
                </c:pt>
                <c:pt idx="55">
                  <c:v>-95.293111633805893</c:v>
                </c:pt>
                <c:pt idx="56">
                  <c:v>-94.320352935786545</c:v>
                </c:pt>
                <c:pt idx="57">
                  <c:v>-92.988730538506388</c:v>
                </c:pt>
                <c:pt idx="58">
                  <c:v>-91.68426591848656</c:v>
                </c:pt>
                <c:pt idx="59">
                  <c:v>-90.580337719317896</c:v>
                </c:pt>
                <c:pt idx="60">
                  <c:v>-89.733238315483703</c:v>
                </c:pt>
                <c:pt idx="61">
                  <c:v>-89.142854412161171</c:v>
                </c:pt>
                <c:pt idx="62">
                  <c:v>-88.784916222779515</c:v>
                </c:pt>
                <c:pt idx="63">
                  <c:v>-88.626999425440218</c:v>
                </c:pt>
                <c:pt idx="64">
                  <c:v>-88.636095623539489</c:v>
                </c:pt>
                <c:pt idx="65">
                  <c:v>-88.781931675937159</c:v>
                </c:pt>
                <c:pt idx="66">
                  <c:v>-89.038175317429776</c:v>
                </c:pt>
                <c:pt idx="67">
                  <c:v>-89.382615959354837</c:v>
                </c:pt>
                <c:pt idx="68">
                  <c:v>-89.796878091242405</c:v>
                </c:pt>
                <c:pt idx="69">
                  <c:v>-90.265951886783157</c:v>
                </c:pt>
                <c:pt idx="70">
                  <c:v>-90.7776832970426</c:v>
                </c:pt>
                <c:pt idx="71">
                  <c:v>-91.322290989377493</c:v>
                </c:pt>
                <c:pt idx="72">
                  <c:v>-91.891938187589815</c:v>
                </c:pt>
                <c:pt idx="73">
                  <c:v>-98.059393474718462</c:v>
                </c:pt>
                <c:pt idx="74">
                  <c:v>-104.09242202971654</c:v>
                </c:pt>
                <c:pt idx="75">
                  <c:v>-109.75300307661431</c:v>
                </c:pt>
                <c:pt idx="76">
                  <c:v>-115.09840664774956</c:v>
                </c:pt>
                <c:pt idx="77">
                  <c:v>-120.18891829559757</c:v>
                </c:pt>
                <c:pt idx="78">
                  <c:v>-125.06449583334333</c:v>
                </c:pt>
                <c:pt idx="79">
                  <c:v>-129.75025338358029</c:v>
                </c:pt>
                <c:pt idx="80">
                  <c:v>-134.26240045086425</c:v>
                </c:pt>
                <c:pt idx="81">
                  <c:v>-138.61207809456536</c:v>
                </c:pt>
                <c:pt idx="82">
                  <c:v>-142.80761444021618</c:v>
                </c:pt>
                <c:pt idx="83">
                  <c:v>-146.85581103912045</c:v>
                </c:pt>
                <c:pt idx="84">
                  <c:v>-150.76266076603795</c:v>
                </c:pt>
                <c:pt idx="85">
                  <c:v>-154.53373602393918</c:v>
                </c:pt>
                <c:pt idx="86">
                  <c:v>-158.17438720401555</c:v>
                </c:pt>
                <c:pt idx="87">
                  <c:v>-161.68983361065719</c:v>
                </c:pt>
                <c:pt idx="88">
                  <c:v>-165.08519530490358</c:v>
                </c:pt>
                <c:pt idx="89">
                  <c:v>-168.36549434936089</c:v>
                </c:pt>
                <c:pt idx="90">
                  <c:v>-171.53564198710967</c:v>
                </c:pt>
                <c:pt idx="91">
                  <c:v>-198.1507450645629</c:v>
                </c:pt>
                <c:pt idx="92">
                  <c:v>-217.95455798927313</c:v>
                </c:pt>
                <c:pt idx="93">
                  <c:v>-233.31429329905905</c:v>
                </c:pt>
                <c:pt idx="94">
                  <c:v>-245.63661890504528</c:v>
                </c:pt>
                <c:pt idx="95">
                  <c:v>-255.78707843608493</c:v>
                </c:pt>
                <c:pt idx="96">
                  <c:v>-264.32190483269915</c:v>
                </c:pt>
                <c:pt idx="97">
                  <c:v>-271.61406810818784</c:v>
                </c:pt>
                <c:pt idx="98">
                  <c:v>-277.92386509957191</c:v>
                </c:pt>
                <c:pt idx="99">
                  <c:v>-283.43968600988904</c:v>
                </c:pt>
                <c:pt idx="100">
                  <c:v>-288.30229019233622</c:v>
                </c:pt>
                <c:pt idx="101">
                  <c:v>-292.61973003872254</c:v>
                </c:pt>
                <c:pt idx="102">
                  <c:v>-296.47683472061146</c:v>
                </c:pt>
                <c:pt idx="103">
                  <c:v>-299.941442485224</c:v>
                </c:pt>
                <c:pt idx="104">
                  <c:v>-303.06863267955782</c:v>
                </c:pt>
                <c:pt idx="105">
                  <c:v>-305.90368947002639</c:v>
                </c:pt>
                <c:pt idx="106">
                  <c:v>-308.48423634436818</c:v>
                </c:pt>
                <c:pt idx="107">
                  <c:v>-310.84181193590769</c:v>
                </c:pt>
                <c:pt idx="108">
                  <c:v>-313.00305857519402</c:v>
                </c:pt>
                <c:pt idx="109">
                  <c:v>-327.54246213913609</c:v>
                </c:pt>
                <c:pt idx="110">
                  <c:v>-335.32287545307975</c:v>
                </c:pt>
                <c:pt idx="111">
                  <c:v>-340.12825371515055</c:v>
                </c:pt>
                <c:pt idx="112">
                  <c:v>-343.37982827973269</c:v>
                </c:pt>
                <c:pt idx="113">
                  <c:v>-345.72247437858096</c:v>
                </c:pt>
                <c:pt idx="114">
                  <c:v>-347.48902008023333</c:v>
                </c:pt>
                <c:pt idx="115">
                  <c:v>-348.86800559714254</c:v>
                </c:pt>
                <c:pt idx="116">
                  <c:v>-349.97401546984958</c:v>
                </c:pt>
                <c:pt idx="117">
                  <c:v>-350.88061933008464</c:v>
                </c:pt>
                <c:pt idx="118">
                  <c:v>-351.63718033589913</c:v>
                </c:pt>
                <c:pt idx="119">
                  <c:v>-352.27803762664468</c:v>
                </c:pt>
                <c:pt idx="120">
                  <c:v>-352.8278096967606</c:v>
                </c:pt>
                <c:pt idx="121">
                  <c:v>-353.30460230722673</c:v>
                </c:pt>
                <c:pt idx="122">
                  <c:v>-353.72202611221445</c:v>
                </c:pt>
                <c:pt idx="123">
                  <c:v>-354.09050873423587</c:v>
                </c:pt>
                <c:pt idx="124">
                  <c:v>-354.41817302424909</c:v>
                </c:pt>
                <c:pt idx="125">
                  <c:v>-354.7114399703778</c:v>
                </c:pt>
                <c:pt idx="126">
                  <c:v>-354.97545189583633</c:v>
                </c:pt>
              </c:numCache>
            </c:numRef>
          </c:yVal>
          <c:smooth val="0"/>
          <c:extLst>
            <c:ext xmlns:c16="http://schemas.microsoft.com/office/drawing/2014/chart" uri="{C3380CC4-5D6E-409C-BE32-E72D297353CC}">
              <c16:uniqueId val="{00000008-B915-43A9-A00B-70FF61B90E08}"/>
            </c:ext>
          </c:extLst>
        </c:ser>
        <c:dLbls>
          <c:showLegendKey val="0"/>
          <c:showVal val="0"/>
          <c:showCatName val="0"/>
          <c:showSerName val="0"/>
          <c:showPercent val="0"/>
          <c:showBubbleSize val="0"/>
        </c:dLbls>
        <c:axId val="80980608"/>
        <c:axId val="80982400"/>
      </c:scatterChart>
      <c:valAx>
        <c:axId val="80968320"/>
        <c:scaling>
          <c:logBase val="10"/>
          <c:orientation val="minMax"/>
          <c:max val="1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400" b="1" i="0" u="none" strike="noStrike" baseline="0">
                    <a:solidFill>
                      <a:srgbClr val="000000"/>
                    </a:solidFill>
                    <a:latin typeface="Arial"/>
                    <a:ea typeface="Arial"/>
                    <a:cs typeface="Arial"/>
                  </a:defRPr>
                </a:pPr>
                <a:r>
                  <a:rPr lang="en-US" sz="1400"/>
                  <a:t>Frequency (Hz)</a:t>
                </a:r>
              </a:p>
            </c:rich>
          </c:tx>
          <c:layout>
            <c:manualLayout>
              <c:xMode val="edge"/>
              <c:yMode val="edge"/>
              <c:x val="0.42690764520080698"/>
              <c:y val="0.9000083922042877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100"/>
          <c:min val="-40"/>
        </c:scaling>
        <c:delete val="0"/>
        <c:axPos val="l"/>
        <c:majorGridlines>
          <c:spPr>
            <a:ln w="3175">
              <a:solidFill>
                <a:srgbClr val="000000"/>
              </a:solidFill>
              <a:prstDash val="solid"/>
            </a:ln>
          </c:spPr>
        </c:majorGridlines>
        <c:title>
          <c:tx>
            <c:rich>
              <a:bodyPr/>
              <a:lstStyle/>
              <a:p>
                <a:pPr>
                  <a:defRPr sz="1400" b="1" i="0" u="none" strike="noStrike" baseline="0">
                    <a:solidFill>
                      <a:srgbClr val="0000FF"/>
                    </a:solidFill>
                    <a:latin typeface="Arial"/>
                    <a:ea typeface="Arial"/>
                    <a:cs typeface="Arial"/>
                  </a:defRPr>
                </a:pPr>
                <a:r>
                  <a:rPr lang="en-US" sz="1400">
                    <a:solidFill>
                      <a:srgbClr val="0000FF"/>
                    </a:solidFill>
                  </a:rPr>
                  <a:t>Loop Gain (dB)</a:t>
                </a:r>
              </a:p>
            </c:rich>
          </c:tx>
          <c:layout>
            <c:manualLayout>
              <c:xMode val="edge"/>
              <c:yMode val="edge"/>
              <c:x val="1.7212827297800173E-2"/>
              <c:y val="0.351723522057510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FF"/>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b"/>
        <c:numFmt formatCode="General" sourceLinked="1"/>
        <c:majorTickMark val="out"/>
        <c:minorTickMark val="none"/>
        <c:tickLblPos val="none"/>
        <c:crossAx val="80982400"/>
        <c:crossesAt val="0"/>
        <c:crossBetween val="midCat"/>
      </c:valAx>
      <c:valAx>
        <c:axId val="80982400"/>
        <c:scaling>
          <c:orientation val="minMax"/>
          <c:max val="-45"/>
          <c:min val="-202.5"/>
        </c:scaling>
        <c:delete val="0"/>
        <c:axPos val="r"/>
        <c:title>
          <c:tx>
            <c:rich>
              <a:bodyPr/>
              <a:lstStyle/>
              <a:p>
                <a:pPr>
                  <a:defRPr sz="1400" b="1" i="0" u="none" strike="noStrike" baseline="0">
                    <a:solidFill>
                      <a:srgbClr val="FF0000"/>
                    </a:solidFill>
                    <a:latin typeface="Arial"/>
                    <a:ea typeface="Arial"/>
                    <a:cs typeface="Arial"/>
                  </a:defRPr>
                </a:pPr>
                <a:r>
                  <a:rPr lang="en-US" sz="1400">
                    <a:solidFill>
                      <a:srgbClr val="FF0000"/>
                    </a:solidFill>
                  </a:rPr>
                  <a:t>Loop Phase (°)</a:t>
                </a:r>
              </a:p>
            </c:rich>
          </c:tx>
          <c:layout>
            <c:manualLayout>
              <c:xMode val="edge"/>
              <c:yMode val="edge"/>
              <c:x val="0.95718172965910109"/>
              <c:y val="0.354532758646660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22.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Parasitic</a:t>
            </a:r>
            <a:r>
              <a:rPr lang="en-US" baseline="0"/>
              <a:t> pole</a:t>
            </a:r>
            <a:endParaRPr lang="en-US"/>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Bode!$X$11</c:f>
              <c:strCache>
                <c:ptCount val="1"/>
                <c:pt idx="0">
                  <c:v>500k_GAIN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Bode!$X$12:$X$138</c:f>
              <c:numCache>
                <c:formatCode>General</c:formatCode>
                <c:ptCount val="127"/>
                <c:pt idx="0">
                  <c:v>-1.0857362945991318E-10</c:v>
                </c:pt>
                <c:pt idx="1">
                  <c:v>-2.4429018412297988E-10</c:v>
                </c:pt>
                <c:pt idx="2">
                  <c:v>-4.3429451784779571E-10</c:v>
                </c:pt>
                <c:pt idx="3">
                  <c:v>-6.7858470198299015E-10</c:v>
                </c:pt>
                <c:pt idx="4">
                  <c:v>-9.7716266518807683E-10</c:v>
                </c:pt>
                <c:pt idx="5">
                  <c:v>-1.3300264788137207E-9</c:v>
                </c:pt>
                <c:pt idx="6">
                  <c:v>-1.7371780715214712E-9</c:v>
                </c:pt>
                <c:pt idx="7">
                  <c:v>-2.1986155146640294E-9</c:v>
                </c:pt>
                <c:pt idx="8">
                  <c:v>-2.7143407369049804E-9</c:v>
                </c:pt>
                <c:pt idx="9">
                  <c:v>-3.2843527739265282E-9</c:v>
                </c:pt>
                <c:pt idx="10">
                  <c:v>-3.9086496970844254E-9</c:v>
                </c:pt>
                <c:pt idx="11">
                  <c:v>-4.5872363280277123E-9</c:v>
                </c:pt>
                <c:pt idx="12">
                  <c:v>-5.320106880804311E-9</c:v>
                </c:pt>
                <c:pt idx="13">
                  <c:v>-6.1072671413927652E-9</c:v>
                </c:pt>
                <c:pt idx="14">
                  <c:v>-6.9487132524979666E-9</c:v>
                </c:pt>
                <c:pt idx="15">
                  <c:v>-7.8444452141356898E-9</c:v>
                </c:pt>
                <c:pt idx="16">
                  <c:v>-8.7944639906502004E-9</c:v>
                </c:pt>
                <c:pt idx="17">
                  <c:v>-9.7987695820593061E-9</c:v>
                </c:pt>
                <c:pt idx="18">
                  <c:v>-1.0857362952709313E-8</c:v>
                </c:pt>
                <c:pt idx="19">
                  <c:v>-2.4429064734026222E-8</c:v>
                </c:pt>
                <c:pt idx="20">
                  <c:v>-4.3429448999285063E-8</c:v>
                </c:pt>
                <c:pt idx="21">
                  <c:v>-6.7858513855456616E-8</c:v>
                </c:pt>
                <c:pt idx="22">
                  <c:v>-9.7716260312672845E-8</c:v>
                </c:pt>
                <c:pt idx="23">
                  <c:v>-1.3300268167662466E-7</c:v>
                </c:pt>
                <c:pt idx="24">
                  <c:v>-1.7371778476376644E-7</c:v>
                </c:pt>
                <c:pt idx="25">
                  <c:v>-2.198615725434215E-7</c:v>
                </c:pt>
                <c:pt idx="26">
                  <c:v>-2.7143404220912692E-7</c:v>
                </c:pt>
                <c:pt idx="27">
                  <c:v>-3.2843518710728875E-7</c:v>
                </c:pt>
                <c:pt idx="28">
                  <c:v>-3.9086501795238646E-7</c:v>
                </c:pt>
                <c:pt idx="29">
                  <c:v>-4.5872352328954592E-7</c:v>
                </c:pt>
                <c:pt idx="30">
                  <c:v>-5.3201070806763932E-7</c:v>
                </c:pt>
                <c:pt idx="31">
                  <c:v>-6.1072656953109756E-7</c:v>
                </c:pt>
                <c:pt idx="32">
                  <c:v>-6.9487111168482278E-7</c:v>
                </c:pt>
                <c:pt idx="33">
                  <c:v>-7.8444433372225859E-7</c:v>
                </c:pt>
                <c:pt idx="34">
                  <c:v>-8.794462377400096E-7</c:v>
                </c:pt>
                <c:pt idx="35">
                  <c:v>-9.7987681330860141E-7</c:v>
                </c:pt>
                <c:pt idx="36">
                  <c:v>-1.0857360731525995E-6</c:v>
                </c:pt>
                <c:pt idx="37">
                  <c:v>-2.4429057691341332E-6</c:v>
                </c:pt>
                <c:pt idx="38">
                  <c:v>-4.3429426478763223E-6</c:v>
                </c:pt>
                <c:pt idx="39">
                  <c:v>-6.7858459807662682E-6</c:v>
                </c:pt>
                <c:pt idx="40">
                  <c:v>-9.7716148536074405E-6</c:v>
                </c:pt>
                <c:pt idx="41">
                  <c:v>-1.3300248140581823E-5</c:v>
                </c:pt>
                <c:pt idx="42">
                  <c:v>-1.7371744533178545E-5</c:v>
                </c:pt>
                <c:pt idx="43">
                  <c:v>-2.1986102492940332E-5</c:v>
                </c:pt>
                <c:pt idx="44">
                  <c:v>-2.7143320298713954E-5</c:v>
                </c:pt>
                <c:pt idx="45">
                  <c:v>-3.2843396005182155E-5</c:v>
                </c:pt>
                <c:pt idx="46">
                  <c:v>-3.9086327486256407E-5</c:v>
                </c:pt>
                <c:pt idx="47">
                  <c:v>-4.587211239167966E-5</c:v>
                </c:pt>
                <c:pt idx="48">
                  <c:v>-5.3200748176918117E-5</c:v>
                </c:pt>
                <c:pt idx="49">
                  <c:v>-6.1072232106051366E-5</c:v>
                </c:pt>
                <c:pt idx="50">
                  <c:v>-6.9486561212231803E-5</c:v>
                </c:pt>
                <c:pt idx="51">
                  <c:v>-7.8443732350719708E-5</c:v>
                </c:pt>
                <c:pt idx="52">
                  <c:v>-8.7943742159342088E-5</c:v>
                </c:pt>
                <c:pt idx="53">
                  <c:v>-9.7986587071025372E-5</c:v>
                </c:pt>
                <c:pt idx="54">
                  <c:v>-1.0857226333114956E-4</c:v>
                </c:pt>
                <c:pt idx="55">
                  <c:v>-2.4428377565909336E-4</c:v>
                </c:pt>
                <c:pt idx="56">
                  <c:v>-4.3427276862828968E-4</c:v>
                </c:pt>
                <c:pt idx="57">
                  <c:v>-6.7853211903576923E-4</c:v>
                </c:pt>
                <c:pt idx="58">
                  <c:v>-9.7705266997797973E-4</c:v>
                </c:pt>
                <c:pt idx="59">
                  <c:v>-1.3298232320420092E-3</c:v>
                </c:pt>
                <c:pt idx="60">
                  <c:v>-1.7368305846464187E-3</c:v>
                </c:pt>
                <c:pt idx="61">
                  <c:v>-2.1980594777616471E-3</c:v>
                </c:pt>
                <c:pt idx="62">
                  <c:v>-2.7134926337472106E-3</c:v>
                </c:pt>
                <c:pt idx="63">
                  <c:v>-3.2831107495560861E-3</c:v>
                </c:pt>
                <c:pt idx="64">
                  <c:v>-3.9068924990976498E-3</c:v>
                </c:pt>
                <c:pt idx="65">
                  <c:v>-4.5848145359586217E-3</c:v>
                </c:pt>
                <c:pt idx="66">
                  <c:v>-5.3168514962532573E-3</c:v>
                </c:pt>
                <c:pt idx="67">
                  <c:v>-6.1029760017995132E-3</c:v>
                </c:pt>
                <c:pt idx="68">
                  <c:v>-6.9431586635440327E-3</c:v>
                </c:pt>
                <c:pt idx="69">
                  <c:v>-7.8373680852157779E-3</c:v>
                </c:pt>
                <c:pt idx="70">
                  <c:v>-8.7855708671930096E-3</c:v>
                </c:pt>
                <c:pt idx="71">
                  <c:v>-9.7877316107141711E-3</c:v>
                </c:pt>
                <c:pt idx="72">
                  <c:v>-1.0843812922199398E-2</c:v>
                </c:pt>
                <c:pt idx="73">
                  <c:v>-2.4360614431044699E-2</c:v>
                </c:pt>
                <c:pt idx="74">
                  <c:v>-4.3213737826427526E-2</c:v>
                </c:pt>
                <c:pt idx="75">
                  <c:v>-6.7333826589681289E-2</c:v>
                </c:pt>
                <c:pt idx="76">
                  <c:v>-9.663316679379233E-2</c:v>
                </c:pt>
                <c:pt idx="77">
                  <c:v>-0.13100672988593903</c:v>
                </c:pt>
                <c:pt idx="78">
                  <c:v>-0.17033339298780789</c:v>
                </c:pt>
                <c:pt idx="79">
                  <c:v>-0.2144773078354662</c:v>
                </c:pt>
                <c:pt idx="80">
                  <c:v>-0.2632893872234946</c:v>
                </c:pt>
                <c:pt idx="81">
                  <c:v>-0.31660887671635185</c:v>
                </c:pt>
                <c:pt idx="82">
                  <c:v>-0.37426497940624104</c:v>
                </c:pt>
                <c:pt idx="83">
                  <c:v>-0.43607850253798275</c:v>
                </c:pt>
                <c:pt idx="84">
                  <c:v>-0.50186349675360742</c:v>
                </c:pt>
                <c:pt idx="85">
                  <c:v>-0.57142886136569104</c:v>
                </c:pt>
                <c:pt idx="86">
                  <c:v>-0.64457989226918699</c:v>
                </c:pt>
                <c:pt idx="87">
                  <c:v>-0.72111975265909201</c:v>
                </c:pt>
                <c:pt idx="88">
                  <c:v>-0.80085085045869064</c:v>
                </c:pt>
                <c:pt idx="89">
                  <c:v>-0.88357611011859283</c:v>
                </c:pt>
                <c:pt idx="90">
                  <c:v>-0.96910013008056328</c:v>
                </c:pt>
                <c:pt idx="91">
                  <c:v>-1.9382002601611279</c:v>
                </c:pt>
                <c:pt idx="92">
                  <c:v>-3.0102999566398116</c:v>
                </c:pt>
                <c:pt idx="93">
                  <c:v>-4.0866387406381053</c:v>
                </c:pt>
                <c:pt idx="94">
                  <c:v>-5.1188336097887346</c:v>
                </c:pt>
                <c:pt idx="95">
                  <c:v>-6.0879337398693059</c:v>
                </c:pt>
                <c:pt idx="96">
                  <c:v>-6.9897000433601875</c:v>
                </c:pt>
                <c:pt idx="97">
                  <c:v>-7.8265175161032001</c:v>
                </c:pt>
                <c:pt idx="98">
                  <c:v>-8.6033800657099242</c:v>
                </c:pt>
                <c:pt idx="99">
                  <c:v>-9.3260058450048167</c:v>
                </c:pt>
                <c:pt idx="100">
                  <c:v>-10</c:v>
                </c:pt>
                <c:pt idx="101">
                  <c:v>-10.630517457470891</c:v>
                </c:pt>
                <c:pt idx="102">
                  <c:v>-11.222158782728279</c:v>
                </c:pt>
                <c:pt idx="103">
                  <c:v>-11.778970599189426</c:v>
                </c:pt>
                <c:pt idx="104">
                  <c:v>-12.304489213782734</c:v>
                </c:pt>
                <c:pt idx="105">
                  <c:v>-12.801798566908616</c:v>
                </c:pt>
                <c:pt idx="106">
                  <c:v>-13.273589343863302</c:v>
                </c:pt>
                <c:pt idx="107">
                  <c:v>-13.72221367549866</c:v>
                </c:pt>
                <c:pt idx="108">
                  <c:v>-14.149733479708193</c:v>
                </c:pt>
                <c:pt idx="109">
                  <c:v>-17.577754910119261</c:v>
                </c:pt>
                <c:pt idx="110">
                  <c:v>-20.043213737826427</c:v>
                </c:pt>
                <c:pt idx="111">
                  <c:v>-21.965906541173066</c:v>
                </c:pt>
                <c:pt idx="112">
                  <c:v>-23.541084391474008</c:v>
                </c:pt>
                <c:pt idx="113">
                  <c:v>-24.874918915584921</c:v>
                </c:pt>
                <c:pt idx="114">
                  <c:v>-26.031443726201829</c:v>
                </c:pt>
                <c:pt idx="115">
                  <c:v>-27.052220557053829</c:v>
                </c:pt>
                <c:pt idx="116">
                  <c:v>-27.965743332104299</c:v>
                </c:pt>
                <c:pt idx="117">
                  <c:v>-28.792392820048946</c:v>
                </c:pt>
                <c:pt idx="118">
                  <c:v>-29.547247909790624</c:v>
                </c:pt>
                <c:pt idx="119">
                  <c:v>-30.241776938189375</c:v>
                </c:pt>
                <c:pt idx="120">
                  <c:v>-30.884904701823977</c:v>
                </c:pt>
                <c:pt idx="121">
                  <c:v>-31.4837125733224</c:v>
                </c:pt>
                <c:pt idx="122">
                  <c:v>-32.043913319192995</c:v>
                </c:pt>
                <c:pt idx="123">
                  <c:v>-32.570182334190065</c:v>
                </c:pt>
                <c:pt idx="124">
                  <c:v>-33.066394410242623</c:v>
                </c:pt>
                <c:pt idx="125">
                  <c:v>-33.535796616952879</c:v>
                </c:pt>
                <c:pt idx="126">
                  <c:v>-33.981136917305029</c:v>
                </c:pt>
              </c:numCache>
            </c:numRef>
          </c:yVal>
          <c:smooth val="0"/>
          <c:extLst>
            <c:ext xmlns:c16="http://schemas.microsoft.com/office/drawing/2014/chart" uri="{C3380CC4-5D6E-409C-BE32-E72D297353CC}">
              <c16:uniqueId val="{00000000-19BF-438B-B6BC-B29A3909C0FE}"/>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Bode!$Y$11</c:f>
              <c:strCache>
                <c:ptCount val="1"/>
                <c:pt idx="0">
                  <c:v>500k_PHASE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Bode!$Y$12:$Y$138</c:f>
              <c:numCache>
                <c:formatCode>General</c:formatCode>
                <c:ptCount val="127"/>
                <c:pt idx="0">
                  <c:v>-2.8647895716327903E-4</c:v>
                </c:pt>
                <c:pt idx="1">
                  <c:v>-4.2971843574044253E-4</c:v>
                </c:pt>
                <c:pt idx="2">
                  <c:v>-5.7295791431223413E-4</c:v>
                </c:pt>
                <c:pt idx="3">
                  <c:v>-7.1619739287686528E-4</c:v>
                </c:pt>
                <c:pt idx="4">
                  <c:v>-8.5943687143254113E-4</c:v>
                </c:pt>
                <c:pt idx="5">
                  <c:v>-1.0026763499774742E-3</c:v>
                </c:pt>
                <c:pt idx="6">
                  <c:v>-1.1459158285098763E-3</c:v>
                </c:pt>
                <c:pt idx="7">
                  <c:v>-1.2891553070279549E-3</c:v>
                </c:pt>
                <c:pt idx="8">
                  <c:v>-1.4323947855299159E-3</c:v>
                </c:pt>
                <c:pt idx="9">
                  <c:v>-1.5756342640139722E-3</c:v>
                </c:pt>
                <c:pt idx="10">
                  <c:v>-1.7188737424783356E-3</c:v>
                </c:pt>
                <c:pt idx="11">
                  <c:v>-1.8621132209212133E-3</c:v>
                </c:pt>
                <c:pt idx="12">
                  <c:v>-2.0053526993408116E-3</c:v>
                </c:pt>
                <c:pt idx="13">
                  <c:v>-2.1485921777353433E-3</c:v>
                </c:pt>
                <c:pt idx="14">
                  <c:v>-2.2918316561030207E-3</c:v>
                </c:pt>
                <c:pt idx="15">
                  <c:v>-2.4350711344420495E-3</c:v>
                </c:pt>
                <c:pt idx="16">
                  <c:v>-2.5783106127506366E-3</c:v>
                </c:pt>
                <c:pt idx="17">
                  <c:v>-2.7215500910269959E-3</c:v>
                </c:pt>
                <c:pt idx="18">
                  <c:v>-2.8647895692693382E-3</c:v>
                </c:pt>
                <c:pt idx="19">
                  <c:v>-4.2971843494277739E-3</c:v>
                </c:pt>
                <c:pt idx="20">
                  <c:v>-5.729579124214729E-3</c:v>
                </c:pt>
                <c:pt idx="21">
                  <c:v>-7.16197389183971E-3</c:v>
                </c:pt>
                <c:pt idx="22">
                  <c:v>-8.5943686505122237E-3</c:v>
                </c:pt>
                <c:pt idx="23">
                  <c:v>-1.0026763398441768E-2</c:v>
                </c:pt>
                <c:pt idx="24">
                  <c:v>-1.1459158133837855E-2</c:v>
                </c:pt>
                <c:pt idx="25">
                  <c:v>-1.289155285491005E-2</c:v>
                </c:pt>
                <c:pt idx="26">
                  <c:v>-1.4323947559867748E-2</c:v>
                </c:pt>
                <c:pt idx="27">
                  <c:v>-1.575634224692055E-2</c:v>
                </c:pt>
                <c:pt idx="28">
                  <c:v>-1.7188736914277858E-2</c:v>
                </c:pt>
                <c:pt idx="29">
                  <c:v>-1.8621131560149343E-2</c:v>
                </c:pt>
                <c:pt idx="30">
                  <c:v>-2.0053526182744336E-2</c:v>
                </c:pt>
                <c:pt idx="31">
                  <c:v>-2.1485920780272443E-2</c:v>
                </c:pt>
                <c:pt idx="32">
                  <c:v>-2.2918315350943182E-2</c:v>
                </c:pt>
                <c:pt idx="33">
                  <c:v>-2.4350709892966046E-2</c:v>
                </c:pt>
                <c:pt idx="34">
                  <c:v>-2.5783104404550491E-2</c:v>
                </c:pt>
                <c:pt idx="35">
                  <c:v>-2.7215498883906099E-2</c:v>
                </c:pt>
                <c:pt idx="36">
                  <c:v>-2.8647893329242342E-2</c:v>
                </c:pt>
                <c:pt idx="37">
                  <c:v>-4.2971835517631958E-2</c:v>
                </c:pt>
                <c:pt idx="38">
                  <c:v>-5.7295772334547579E-2</c:v>
                </c:pt>
                <c:pt idx="39">
                  <c:v>-7.1619701989503917E-2</c:v>
                </c:pt>
                <c:pt idx="40">
                  <c:v>-8.5943622692021368E-2</c:v>
                </c:pt>
                <c:pt idx="41">
                  <c:v>-0.10026753265162704</c:v>
                </c:pt>
                <c:pt idx="42">
                  <c:v>-0.11459143007785606</c:v>
                </c:pt>
                <c:pt idx="43">
                  <c:v>-0.12891531318025223</c:v>
                </c:pt>
                <c:pt idx="44">
                  <c:v>-0.14323918016837212</c:v>
                </c:pt>
                <c:pt idx="45">
                  <c:v>-0.15756302925178148</c:v>
                </c:pt>
                <c:pt idx="46">
                  <c:v>-0.17188685864006162</c:v>
                </c:pt>
                <c:pt idx="47">
                  <c:v>-0.18621066654280816</c:v>
                </c:pt>
                <c:pt idx="48">
                  <c:v>-0.20053445116963217</c:v>
                </c:pt>
                <c:pt idx="49">
                  <c:v>-0.21485821073016392</c:v>
                </c:pt>
                <c:pt idx="50">
                  <c:v>-0.22918194343404966</c:v>
                </c:pt>
                <c:pt idx="51">
                  <c:v>-0.24350564749095852</c:v>
                </c:pt>
                <c:pt idx="52">
                  <c:v>-0.25782932111057977</c:v>
                </c:pt>
                <c:pt idx="53">
                  <c:v>-0.27215296250262561</c:v>
                </c:pt>
                <c:pt idx="54">
                  <c:v>-0.28647656987683245</c:v>
                </c:pt>
                <c:pt idx="55">
                  <c:v>-0.42971037879974944</c:v>
                </c:pt>
                <c:pt idx="56">
                  <c:v>-0.57293881688002213</c:v>
                </c:pt>
                <c:pt idx="57">
                  <c:v>-0.71616009446328555</c:v>
                </c:pt>
                <c:pt idx="58">
                  <c:v>-0.85937242243203782</c:v>
                </c:pt>
                <c:pt idx="59">
                  <c:v>-1.0025740123396638</c:v>
                </c:pt>
                <c:pt idx="60">
                  <c:v>-1.1457630765443418</c:v>
                </c:pt>
                <c:pt idx="61">
                  <c:v>-1.2889378283427966</c:v>
                </c:pt>
                <c:pt idx="62">
                  <c:v>-1.4320964821038593</c:v>
                </c:pt>
                <c:pt idx="63">
                  <c:v>-1.5752372534018613</c:v>
                </c:pt>
                <c:pt idx="64">
                  <c:v>-1.718358359149764</c:v>
                </c:pt>
                <c:pt idx="65">
                  <c:v>-1.8614580177320734</c:v>
                </c:pt>
                <c:pt idx="66">
                  <c:v>-2.0045344491374539</c:v>
                </c:pt>
                <c:pt idx="67">
                  <c:v>-2.1475858750910586</c:v>
                </c:pt>
                <c:pt idx="68">
                  <c:v>-2.2906105191865156</c:v>
                </c:pt>
                <c:pt idx="69">
                  <c:v>-2.4336066070176021</c:v>
                </c:pt>
                <c:pt idx="70">
                  <c:v>-2.5765723663094895</c:v>
                </c:pt>
                <c:pt idx="71">
                  <c:v>-2.7195060270496665</c:v>
                </c:pt>
                <c:pt idx="72">
                  <c:v>-2.8624058216183719</c:v>
                </c:pt>
                <c:pt idx="73">
                  <c:v>-4.2891542211522138</c:v>
                </c:pt>
                <c:pt idx="74">
                  <c:v>-5.710594325555058</c:v>
                </c:pt>
                <c:pt idx="75">
                  <c:v>-7.1250178312196599</c:v>
                </c:pt>
                <c:pt idx="76">
                  <c:v>-8.5307673847238625</c:v>
                </c:pt>
                <c:pt idx="77">
                  <c:v>-9.9262475717488527</c:v>
                </c:pt>
                <c:pt idx="78">
                  <c:v>-11.309934826985332</c:v>
                </c:pt>
                <c:pt idx="79">
                  <c:v>-12.680386129899249</c:v>
                </c:pt>
                <c:pt idx="80">
                  <c:v>-14.036246388084637</c:v>
                </c:pt>
                <c:pt idx="81">
                  <c:v>-15.376254447765101</c:v>
                </c:pt>
                <c:pt idx="82">
                  <c:v>-16.699247708173459</c:v>
                </c:pt>
                <c:pt idx="83">
                  <c:v>-18.004165351573619</c:v>
                </c:pt>
                <c:pt idx="84">
                  <c:v>-19.29005023236973</c:v>
                </c:pt>
                <c:pt idx="85">
                  <c:v>-20.55604949614812</c:v>
                </c:pt>
                <c:pt idx="86">
                  <c:v>-21.801414022007247</c:v>
                </c:pt>
                <c:pt idx="87">
                  <c:v>-23.025496798846621</c:v>
                </c:pt>
                <c:pt idx="88">
                  <c:v>-24.227750358394488</c:v>
                </c:pt>
                <c:pt idx="89">
                  <c:v>-25.407723394875223</c:v>
                </c:pt>
                <c:pt idx="90">
                  <c:v>-26.565056703781107</c:v>
                </c:pt>
                <c:pt idx="91">
                  <c:v>-36.869905316410019</c:v>
                </c:pt>
                <c:pt idx="92">
                  <c:v>-45.000009361986116</c:v>
                </c:pt>
                <c:pt idx="93">
                  <c:v>-51.340202426935797</c:v>
                </c:pt>
                <c:pt idx="94">
                  <c:v>-56.309944188971457</c:v>
                </c:pt>
                <c:pt idx="95">
                  <c:v>-60.255131238781914</c:v>
                </c:pt>
                <c:pt idx="96">
                  <c:v>-63.434962020191122</c:v>
                </c:pt>
                <c:pt idx="97">
                  <c:v>-66.037524764138809</c:v>
                </c:pt>
                <c:pt idx="98">
                  <c:v>-68.198604701964996</c:v>
                </c:pt>
                <c:pt idx="99">
                  <c:v>-70.016908044704167</c:v>
                </c:pt>
                <c:pt idx="100">
                  <c:v>-71.565066065767226</c:v>
                </c:pt>
                <c:pt idx="101">
                  <c:v>-72.897286196797381</c:v>
                </c:pt>
                <c:pt idx="102">
                  <c:v>-74.054619505703258</c:v>
                </c:pt>
                <c:pt idx="103">
                  <c:v>-75.068598439440919</c:v>
                </c:pt>
                <c:pt idx="104">
                  <c:v>-75.963772335887626</c:v>
                </c:pt>
                <c:pt idx="105">
                  <c:v>-76.759496054172502</c:v>
                </c:pt>
                <c:pt idx="106">
                  <c:v>-77.471208408275743</c:v>
                </c:pt>
                <c:pt idx="107">
                  <c:v>-78.111358210978679</c:v>
                </c:pt>
                <c:pt idx="108">
                  <c:v>-78.690083896986863</c:v>
                </c:pt>
                <c:pt idx="109">
                  <c:v>-82.405373775359777</c:v>
                </c:pt>
                <c:pt idx="110">
                  <c:v>-84.289424398417182</c:v>
                </c:pt>
                <c:pt idx="111">
                  <c:v>-85.426096512493871</c:v>
                </c:pt>
                <c:pt idx="112">
                  <c:v>-86.18594309618598</c:v>
                </c:pt>
                <c:pt idx="113">
                  <c:v>-86.729530120382833</c:v>
                </c:pt>
                <c:pt idx="114">
                  <c:v>-87.137612902353865</c:v>
                </c:pt>
                <c:pt idx="115">
                  <c:v>-87.4552138147275</c:v>
                </c:pt>
                <c:pt idx="116">
                  <c:v>-87.709408204785703</c:v>
                </c:pt>
                <c:pt idx="117">
                  <c:v>-87.917453010975848</c:v>
                </c:pt>
                <c:pt idx="118">
                  <c:v>-88.090865893787893</c:v>
                </c:pt>
                <c:pt idx="119">
                  <c:v>-88.237627333656604</c:v>
                </c:pt>
                <c:pt idx="120">
                  <c:v>-88.363441341875244</c:v>
                </c:pt>
                <c:pt idx="121">
                  <c:v>-88.472492963966587</c:v>
                </c:pt>
                <c:pt idx="122">
                  <c:v>-88.567922241868374</c:v>
                </c:pt>
                <c:pt idx="123">
                  <c:v>-88.652131163353587</c:v>
                </c:pt>
                <c:pt idx="124">
                  <c:v>-88.726988439069089</c:v>
                </c:pt>
                <c:pt idx="125">
                  <c:v>-88.793969693840893</c:v>
                </c:pt>
                <c:pt idx="126">
                  <c:v>-88.854255647427891</c:v>
                </c:pt>
              </c:numCache>
            </c:numRef>
          </c:yVal>
          <c:smooth val="0"/>
          <c:extLst>
            <c:ext xmlns:c16="http://schemas.microsoft.com/office/drawing/2014/chart" uri="{C3380CC4-5D6E-409C-BE32-E72D297353CC}">
              <c16:uniqueId val="{00000001-19BF-438B-B6BC-B29A3909C0FE}"/>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00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20"/>
          <c:min val="-4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0"/>
          <c:min val="-9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pitchFamily="34" charset="0"/>
                <a:ea typeface="Calibri"/>
                <a:cs typeface="Arial" pitchFamily="34" charset="0"/>
              </a:defRPr>
            </a:pPr>
            <a:r>
              <a:rPr lang="en-US" sz="1600">
                <a:latin typeface="Arial" pitchFamily="34" charset="0"/>
                <a:cs typeface="Arial" pitchFamily="34" charset="0"/>
                <a:sym typeface="Symbol"/>
              </a:rPr>
              <a:t>@</a:t>
            </a:r>
            <a:r>
              <a:rPr lang="en-US" sz="1600" b="1" i="0" u="none" strike="noStrike" baseline="0"/>
              <a:t>V</a:t>
            </a:r>
            <a:r>
              <a:rPr lang="en-US" sz="1600" b="1" i="0" u="none" strike="noStrike" baseline="-25000"/>
              <a:t>SUPPLY(typ)</a:t>
            </a:r>
            <a:endParaRPr lang="en-US" sz="1600">
              <a:latin typeface="Arial" pitchFamily="34" charset="0"/>
              <a:cs typeface="Arial" pitchFamily="34" charset="0"/>
            </a:endParaRPr>
          </a:p>
        </c:rich>
      </c:tx>
      <c:layout>
        <c:manualLayout>
          <c:xMode val="edge"/>
          <c:yMode val="edge"/>
          <c:x val="3.6981086796438578E-2"/>
          <c:y val="1.4110007078851499E-2"/>
        </c:manualLayout>
      </c:layout>
      <c:overlay val="0"/>
      <c:spPr>
        <a:noFill/>
        <a:ln w="25400">
          <a:noFill/>
        </a:ln>
      </c:spPr>
    </c:title>
    <c:autoTitleDeleted val="0"/>
    <c:plotArea>
      <c:layout>
        <c:manualLayout>
          <c:layoutTarget val="inner"/>
          <c:xMode val="edge"/>
          <c:yMode val="edge"/>
          <c:x val="8.2399604911965282E-2"/>
          <c:y val="0.12372903654825702"/>
          <c:w val="0.82579990228506228"/>
          <c:h val="0.76068566810117366"/>
        </c:manualLayout>
      </c:layout>
      <c:lineChart>
        <c:grouping val="standard"/>
        <c:varyColors val="0"/>
        <c:ser>
          <c:idx val="0"/>
          <c:order val="0"/>
          <c:tx>
            <c:strRef>
              <c:f>Efficiency!$BC$11</c:f>
              <c:strCache>
                <c:ptCount val="1"/>
                <c:pt idx="0">
                  <c:v>Efficiency</c:v>
                </c:pt>
              </c:strCache>
            </c:strRef>
          </c:tx>
          <c:spPr>
            <a:ln w="28575">
              <a:solidFill>
                <a:srgbClr val="FF0000"/>
              </a:solidFill>
            </a:ln>
          </c:spPr>
          <c:marker>
            <c:symbol val="none"/>
          </c:marker>
          <c:cat>
            <c:numRef>
              <c:f>Efficiency!$I$12:$I$112</c:f>
              <c:numCache>
                <c:formatCode>0.000</c:formatCode>
                <c:ptCount val="101"/>
                <c:pt idx="0" formatCode="General">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pt idx="61">
                  <c:v>6.1</c:v>
                </c:pt>
                <c:pt idx="62">
                  <c:v>6.2</c:v>
                </c:pt>
                <c:pt idx="63">
                  <c:v>6.3</c:v>
                </c:pt>
                <c:pt idx="64">
                  <c:v>6.4</c:v>
                </c:pt>
                <c:pt idx="65">
                  <c:v>6.5</c:v>
                </c:pt>
                <c:pt idx="66">
                  <c:v>6.6</c:v>
                </c:pt>
                <c:pt idx="67">
                  <c:v>6.7</c:v>
                </c:pt>
                <c:pt idx="68">
                  <c:v>6.8</c:v>
                </c:pt>
                <c:pt idx="69">
                  <c:v>6.9</c:v>
                </c:pt>
                <c:pt idx="70">
                  <c:v>7</c:v>
                </c:pt>
                <c:pt idx="71">
                  <c:v>7.1</c:v>
                </c:pt>
                <c:pt idx="72">
                  <c:v>7.2</c:v>
                </c:pt>
                <c:pt idx="73">
                  <c:v>7.3</c:v>
                </c:pt>
                <c:pt idx="74">
                  <c:v>7.4</c:v>
                </c:pt>
                <c:pt idx="75">
                  <c:v>7.5</c:v>
                </c:pt>
                <c:pt idx="76">
                  <c:v>7.6</c:v>
                </c:pt>
                <c:pt idx="77">
                  <c:v>7.7</c:v>
                </c:pt>
                <c:pt idx="78">
                  <c:v>7.8</c:v>
                </c:pt>
                <c:pt idx="79">
                  <c:v>7.9</c:v>
                </c:pt>
                <c:pt idx="80">
                  <c:v>8</c:v>
                </c:pt>
                <c:pt idx="81">
                  <c:v>8.1</c:v>
                </c:pt>
                <c:pt idx="82">
                  <c:v>8.1999999999999993</c:v>
                </c:pt>
                <c:pt idx="83">
                  <c:v>8.3000000000000007</c:v>
                </c:pt>
                <c:pt idx="84">
                  <c:v>8.4</c:v>
                </c:pt>
                <c:pt idx="85">
                  <c:v>8.5</c:v>
                </c:pt>
                <c:pt idx="86">
                  <c:v>8.6</c:v>
                </c:pt>
                <c:pt idx="87">
                  <c:v>8.6999999999999993</c:v>
                </c:pt>
                <c:pt idx="88">
                  <c:v>8.8000000000000007</c:v>
                </c:pt>
                <c:pt idx="89">
                  <c:v>8.9</c:v>
                </c:pt>
                <c:pt idx="90">
                  <c:v>9</c:v>
                </c:pt>
                <c:pt idx="91">
                  <c:v>9.1</c:v>
                </c:pt>
                <c:pt idx="92">
                  <c:v>9.1999999999999993</c:v>
                </c:pt>
                <c:pt idx="93">
                  <c:v>9.3000000000000007</c:v>
                </c:pt>
                <c:pt idx="94">
                  <c:v>9.4</c:v>
                </c:pt>
                <c:pt idx="95">
                  <c:v>9.5</c:v>
                </c:pt>
                <c:pt idx="96">
                  <c:v>9.6</c:v>
                </c:pt>
                <c:pt idx="97">
                  <c:v>9.6999999999999993</c:v>
                </c:pt>
                <c:pt idx="98">
                  <c:v>9.8000000000000007</c:v>
                </c:pt>
                <c:pt idx="99">
                  <c:v>9.9</c:v>
                </c:pt>
                <c:pt idx="100">
                  <c:v>10</c:v>
                </c:pt>
              </c:numCache>
            </c:numRef>
          </c:cat>
          <c:val>
            <c:numRef>
              <c:f>Efficiency!$BC$12:$BC$112</c:f>
              <c:numCache>
                <c:formatCode>0.00</c:formatCode>
                <c:ptCount val="101"/>
                <c:pt idx="0">
                  <c:v>0</c:v>
                </c:pt>
                <c:pt idx="1">
                  <c:v>17.509220174019664</c:v>
                </c:pt>
                <c:pt idx="2">
                  <c:v>29.737175261815018</c:v>
                </c:pt>
                <c:pt idx="3">
                  <c:v>38.757321960699166</c:v>
                </c:pt>
                <c:pt idx="4">
                  <c:v>45.68332435848059</c:v>
                </c:pt>
                <c:pt idx="5">
                  <c:v>51.166806109249208</c:v>
                </c:pt>
                <c:pt idx="6">
                  <c:v>55.614448787271385</c:v>
                </c:pt>
                <c:pt idx="7">
                  <c:v>59.293196079891828</c:v>
                </c:pt>
                <c:pt idx="8">
                  <c:v>62.355355249178366</c:v>
                </c:pt>
                <c:pt idx="9">
                  <c:v>64.889640843994627</c:v>
                </c:pt>
                <c:pt idx="10">
                  <c:v>66.997815170846849</c:v>
                </c:pt>
                <c:pt idx="11">
                  <c:v>68.812316851652781</c:v>
                </c:pt>
                <c:pt idx="12">
                  <c:v>70.509025086844986</c:v>
                </c:pt>
                <c:pt idx="13">
                  <c:v>72.009161581229577</c:v>
                </c:pt>
                <c:pt idx="14">
                  <c:v>73.344541130669867</c:v>
                </c:pt>
                <c:pt idx="15">
                  <c:v>74.540464852586183</c:v>
                </c:pt>
                <c:pt idx="16">
                  <c:v>75.617306006895674</c:v>
                </c:pt>
                <c:pt idx="17">
                  <c:v>76.591654027585676</c:v>
                </c:pt>
                <c:pt idx="18">
                  <c:v>77.477153983361546</c:v>
                </c:pt>
                <c:pt idx="19">
                  <c:v>78.285132047065815</c:v>
                </c:pt>
                <c:pt idx="20">
                  <c:v>79.025068021415862</c:v>
                </c:pt>
                <c:pt idx="21">
                  <c:v>79.70495684436824</c:v>
                </c:pt>
                <c:pt idx="22">
                  <c:v>80.33158835908705</c:v>
                </c:pt>
                <c:pt idx="23">
                  <c:v>80.910766125750428</c:v>
                </c:pt>
                <c:pt idx="24">
                  <c:v>81.447480227834731</c:v>
                </c:pt>
                <c:pt idx="25">
                  <c:v>81.946044975675775</c:v>
                </c:pt>
                <c:pt idx="26">
                  <c:v>82.410209553843956</c:v>
                </c:pt>
                <c:pt idx="27">
                  <c:v>82.843247617718603</c:v>
                </c:pt>
                <c:pt idx="28">
                  <c:v>83.248030368090028</c:v>
                </c:pt>
                <c:pt idx="29">
                  <c:v>83.627086552307745</c:v>
                </c:pt>
                <c:pt idx="30">
                  <c:v>83.982652041699239</c:v>
                </c:pt>
                <c:pt idx="31">
                  <c:v>84.316711038488435</c:v>
                </c:pt>
                <c:pt idx="32">
                  <c:v>84.631030515878763</c:v>
                </c:pt>
                <c:pt idx="33">
                  <c:v>84.927189153190383</c:v>
                </c:pt>
                <c:pt idx="34">
                  <c:v>85.206601765983166</c:v>
                </c:pt>
                <c:pt idx="35">
                  <c:v>85.470540028770685</c:v>
                </c:pt>
                <c:pt idx="36">
                  <c:v>85.720150130522825</c:v>
                </c:pt>
                <c:pt idx="37">
                  <c:v>85.956467879854628</c:v>
                </c:pt>
                <c:pt idx="38">
                  <c:v>86.180431679584416</c:v>
                </c:pt>
                <c:pt idx="39">
                  <c:v>86.392893713228986</c:v>
                </c:pt>
                <c:pt idx="40">
                  <c:v>86.59462962446824</c:v>
                </c:pt>
                <c:pt idx="41">
                  <c:v>86.786346921240835</c:v>
                </c:pt>
                <c:pt idx="42">
                  <c:v>86.968692296308049</c:v>
                </c:pt>
                <c:pt idx="43">
                  <c:v>87.14225802383946</c:v>
                </c:pt>
                <c:pt idx="44">
                  <c:v>87.307587565275156</c:v>
                </c:pt>
                <c:pt idx="45">
                  <c:v>87.465180496200702</c:v>
                </c:pt>
                <c:pt idx="46">
                  <c:v>87.615496848281737</c:v>
                </c:pt>
                <c:pt idx="47">
                  <c:v>87.758960945707855</c:v>
                </c:pt>
                <c:pt idx="48">
                  <c:v>87.895964803496312</c:v>
                </c:pt>
                <c:pt idx="49">
                  <c:v>88.026871144942689</c:v>
                </c:pt>
                <c:pt idx="50">
                  <c:v>88.152016087101842</c:v>
                </c:pt>
                <c:pt idx="51">
                  <c:v>88.271711536141268</c:v>
                </c:pt>
                <c:pt idx="52">
                  <c:v>88.386247328488025</c:v>
                </c:pt>
                <c:pt idx="53">
                  <c:v>88.495893148696325</c:v>
                </c:pt>
                <c:pt idx="54">
                  <c:v>88.600900250735634</c:v>
                </c:pt>
                <c:pt idx="55">
                  <c:v>88.701503005812128</c:v>
                </c:pt>
                <c:pt idx="56">
                  <c:v>88.797920296781498</c:v>
                </c:pt>
                <c:pt idx="57">
                  <c:v>88.890356776603696</c:v>
                </c:pt>
                <c:pt idx="58">
                  <c:v>88.979004006057977</c:v>
                </c:pt>
                <c:pt idx="59">
                  <c:v>89.064041484020152</c:v>
                </c:pt>
                <c:pt idx="60">
                  <c:v>89.145637581955356</c:v>
                </c:pt>
                <c:pt idx="61">
                  <c:v>89.22395039285702</c:v>
                </c:pt>
                <c:pt idx="62">
                  <c:v>89.299128503632559</c:v>
                </c:pt>
                <c:pt idx="63">
                  <c:v>89.371311698870457</c:v>
                </c:pt>
                <c:pt idx="64">
                  <c:v>89.440631602996788</c:v>
                </c:pt>
                <c:pt idx="65">
                  <c:v>89.507212267023533</c:v>
                </c:pt>
                <c:pt idx="66">
                  <c:v>89.571170705387033</c:v>
                </c:pt>
                <c:pt idx="67">
                  <c:v>89.632617387760504</c:v>
                </c:pt>
                <c:pt idx="68">
                  <c:v>89.69165669018571</c:v>
                </c:pt>
                <c:pt idx="69">
                  <c:v>89.748387309395923</c:v>
                </c:pt>
                <c:pt idx="70">
                  <c:v>89.802902643787519</c:v>
                </c:pt>
                <c:pt idx="71">
                  <c:v>89.855291144130206</c:v>
                </c:pt>
                <c:pt idx="72">
                  <c:v>89.905636636784095</c:v>
                </c:pt>
                <c:pt idx="73">
                  <c:v>89.954018621905391</c:v>
                </c:pt>
                <c:pt idx="74">
                  <c:v>90.00051254887012</c:v>
                </c:pt>
                <c:pt idx="75">
                  <c:v>90.045190070920583</c:v>
                </c:pt>
                <c:pt idx="76">
                  <c:v>90.088119280840999</c:v>
                </c:pt>
                <c:pt idx="77">
                  <c:v>90.129364929290389</c:v>
                </c:pt>
                <c:pt idx="78">
                  <c:v>90.168988627263872</c:v>
                </c:pt>
                <c:pt idx="79">
                  <c:v>90.207049034012272</c:v>
                </c:pt>
                <c:pt idx="80">
                  <c:v>90.243602031624292</c:v>
                </c:pt>
                <c:pt idx="81">
                  <c:v>90.278700887362234</c:v>
                </c:pt>
                <c:pt idx="82">
                  <c:v>90.312396404742529</c:v>
                </c:pt>
                <c:pt idx="83">
                  <c:v>90.344737064260613</c:v>
                </c:pt>
                <c:pt idx="84">
                  <c:v>90.375769154579288</c:v>
                </c:pt>
                <c:pt idx="85">
                  <c:v>90.405536894925689</c:v>
                </c:pt>
                <c:pt idx="86">
                  <c:v>90.43408254937691</c:v>
                </c:pt>
                <c:pt idx="87">
                  <c:v>90.461446533654595</c:v>
                </c:pt>
                <c:pt idx="88">
                  <c:v>90.487667514994783</c:v>
                </c:pt>
                <c:pt idx="89">
                  <c:v>90.51278250561181</c:v>
                </c:pt>
                <c:pt idx="90">
                  <c:v>90.536826950229994</c:v>
                </c:pt>
                <c:pt idx="91">
                  <c:v>90.559834808118083</c:v>
                </c:pt>
                <c:pt idx="92">
                  <c:v>90.581838630025246</c:v>
                </c:pt>
                <c:pt idx="93">
                  <c:v>90.602869630383893</c:v>
                </c:pt>
                <c:pt idx="94">
                  <c:v>90.622957755116431</c:v>
                </c:pt>
                <c:pt idx="95">
                  <c:v>90.642131745354163</c:v>
                </c:pt>
                <c:pt idx="96">
                  <c:v>90.660419197353832</c:v>
                </c:pt>
                <c:pt idx="97">
                  <c:v>90.677846618873275</c:v>
                </c:pt>
                <c:pt idx="98">
                  <c:v>90.694439482248299</c:v>
                </c:pt>
                <c:pt idx="99">
                  <c:v>90.710222274393658</c:v>
                </c:pt>
                <c:pt idx="100">
                  <c:v>90.725218543934133</c:v>
                </c:pt>
              </c:numCache>
            </c:numRef>
          </c:val>
          <c:smooth val="0"/>
          <c:extLst>
            <c:ext xmlns:c16="http://schemas.microsoft.com/office/drawing/2014/chart" uri="{C3380CC4-5D6E-409C-BE32-E72D297353CC}">
              <c16:uniqueId val="{00000000-5C48-4103-949E-30B60EE05559}"/>
            </c:ext>
          </c:extLst>
        </c:ser>
        <c:dLbls>
          <c:showLegendKey val="0"/>
          <c:showVal val="0"/>
          <c:showCatName val="0"/>
          <c:showSerName val="0"/>
          <c:showPercent val="0"/>
          <c:showBubbleSize val="0"/>
        </c:dLbls>
        <c:marker val="1"/>
        <c:smooth val="0"/>
        <c:axId val="211003264"/>
        <c:axId val="211009536"/>
      </c:lineChart>
      <c:lineChart>
        <c:grouping val="standard"/>
        <c:varyColors val="0"/>
        <c:ser>
          <c:idx val="2"/>
          <c:order val="1"/>
          <c:tx>
            <c:strRef>
              <c:f>Efficiency!$BD$11</c:f>
              <c:strCache>
                <c:ptCount val="1"/>
                <c:pt idx="0">
                  <c:v>Inductor</c:v>
                </c:pt>
              </c:strCache>
            </c:strRef>
          </c:tx>
          <c:spPr>
            <a:ln>
              <a:solidFill>
                <a:srgbClr val="7030A0"/>
              </a:solidFill>
              <a:prstDash val="dash"/>
            </a:ln>
          </c:spPr>
          <c:marker>
            <c:symbol val="none"/>
          </c:marker>
          <c:cat>
            <c:numRef>
              <c:f>Efficiency!$I$12:$I$112</c:f>
              <c:numCache>
                <c:formatCode>0.000</c:formatCode>
                <c:ptCount val="101"/>
                <c:pt idx="0" formatCode="General">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pt idx="61">
                  <c:v>6.1</c:v>
                </c:pt>
                <c:pt idx="62">
                  <c:v>6.2</c:v>
                </c:pt>
                <c:pt idx="63">
                  <c:v>6.3</c:v>
                </c:pt>
                <c:pt idx="64">
                  <c:v>6.4</c:v>
                </c:pt>
                <c:pt idx="65">
                  <c:v>6.5</c:v>
                </c:pt>
                <c:pt idx="66">
                  <c:v>6.6</c:v>
                </c:pt>
                <c:pt idx="67">
                  <c:v>6.7</c:v>
                </c:pt>
                <c:pt idx="68">
                  <c:v>6.8</c:v>
                </c:pt>
                <c:pt idx="69">
                  <c:v>6.9</c:v>
                </c:pt>
                <c:pt idx="70">
                  <c:v>7</c:v>
                </c:pt>
                <c:pt idx="71">
                  <c:v>7.1</c:v>
                </c:pt>
                <c:pt idx="72">
                  <c:v>7.2</c:v>
                </c:pt>
                <c:pt idx="73">
                  <c:v>7.3</c:v>
                </c:pt>
                <c:pt idx="74">
                  <c:v>7.4</c:v>
                </c:pt>
                <c:pt idx="75">
                  <c:v>7.5</c:v>
                </c:pt>
                <c:pt idx="76">
                  <c:v>7.6</c:v>
                </c:pt>
                <c:pt idx="77">
                  <c:v>7.7</c:v>
                </c:pt>
                <c:pt idx="78">
                  <c:v>7.8</c:v>
                </c:pt>
                <c:pt idx="79">
                  <c:v>7.9</c:v>
                </c:pt>
                <c:pt idx="80">
                  <c:v>8</c:v>
                </c:pt>
                <c:pt idx="81">
                  <c:v>8.1</c:v>
                </c:pt>
                <c:pt idx="82">
                  <c:v>8.1999999999999993</c:v>
                </c:pt>
                <c:pt idx="83">
                  <c:v>8.3000000000000007</c:v>
                </c:pt>
                <c:pt idx="84">
                  <c:v>8.4</c:v>
                </c:pt>
                <c:pt idx="85">
                  <c:v>8.5</c:v>
                </c:pt>
                <c:pt idx="86">
                  <c:v>8.6</c:v>
                </c:pt>
                <c:pt idx="87">
                  <c:v>8.6999999999999993</c:v>
                </c:pt>
                <c:pt idx="88">
                  <c:v>8.8000000000000007</c:v>
                </c:pt>
                <c:pt idx="89">
                  <c:v>8.9</c:v>
                </c:pt>
                <c:pt idx="90">
                  <c:v>9</c:v>
                </c:pt>
                <c:pt idx="91">
                  <c:v>9.1</c:v>
                </c:pt>
                <c:pt idx="92">
                  <c:v>9.1999999999999993</c:v>
                </c:pt>
                <c:pt idx="93">
                  <c:v>9.3000000000000007</c:v>
                </c:pt>
                <c:pt idx="94">
                  <c:v>9.4</c:v>
                </c:pt>
                <c:pt idx="95">
                  <c:v>9.5</c:v>
                </c:pt>
                <c:pt idx="96">
                  <c:v>9.6</c:v>
                </c:pt>
                <c:pt idx="97">
                  <c:v>9.6999999999999993</c:v>
                </c:pt>
                <c:pt idx="98">
                  <c:v>9.8000000000000007</c:v>
                </c:pt>
                <c:pt idx="99">
                  <c:v>9.9</c:v>
                </c:pt>
                <c:pt idx="100">
                  <c:v>10</c:v>
                </c:pt>
              </c:numCache>
            </c:numRef>
          </c:cat>
          <c:val>
            <c:numRef>
              <c:f>Efficiency!$BD$12:$BD$112</c:f>
              <c:numCache>
                <c:formatCode>0.000</c:formatCode>
                <c:ptCount val="101"/>
                <c:pt idx="0">
                  <c:v>1.0019715328811114</c:v>
                </c:pt>
                <c:pt idx="1">
                  <c:v>1.0020244129616307</c:v>
                </c:pt>
                <c:pt idx="2">
                  <c:v>1.0021808765638585</c:v>
                </c:pt>
                <c:pt idx="3">
                  <c:v>1.0024409236877947</c:v>
                </c:pt>
                <c:pt idx="4">
                  <c:v>1.0028045543334392</c:v>
                </c:pt>
                <c:pt idx="5">
                  <c:v>1.0032717685007921</c:v>
                </c:pt>
                <c:pt idx="6">
                  <c:v>1.0038425661898533</c:v>
                </c:pt>
                <c:pt idx="7">
                  <c:v>1.004516947400623</c:v>
                </c:pt>
                <c:pt idx="8">
                  <c:v>1.0052949121331012</c:v>
                </c:pt>
                <c:pt idx="9">
                  <c:v>1.0061764603872878</c:v>
                </c:pt>
                <c:pt idx="10">
                  <c:v>1.0071615921631829</c:v>
                </c:pt>
                <c:pt idx="11">
                  <c:v>1.0082503074607863</c:v>
                </c:pt>
                <c:pt idx="12">
                  <c:v>1.0094426062800981</c:v>
                </c:pt>
                <c:pt idx="13">
                  <c:v>1.0107384886211181</c:v>
                </c:pt>
                <c:pt idx="14">
                  <c:v>1.0121379544838467</c:v>
                </c:pt>
                <c:pt idx="15">
                  <c:v>1.0136410038682837</c:v>
                </c:pt>
                <c:pt idx="16">
                  <c:v>1.0152476367744292</c:v>
                </c:pt>
                <c:pt idx="17">
                  <c:v>1.0169578532022829</c:v>
                </c:pt>
                <c:pt idx="18">
                  <c:v>1.0187716531518451</c:v>
                </c:pt>
                <c:pt idx="19">
                  <c:v>1.0206890366231158</c:v>
                </c:pt>
                <c:pt idx="20">
                  <c:v>1.022710003616095</c:v>
                </c:pt>
                <c:pt idx="21">
                  <c:v>1.0248345541307824</c:v>
                </c:pt>
                <c:pt idx="22">
                  <c:v>1.0270626881671783</c:v>
                </c:pt>
                <c:pt idx="23">
                  <c:v>1.0293944057252826</c:v>
                </c:pt>
                <c:pt idx="24">
                  <c:v>1.0318297068050952</c:v>
                </c:pt>
                <c:pt idx="25">
                  <c:v>1.0343685914066163</c:v>
                </c:pt>
                <c:pt idx="26">
                  <c:v>1.0370110595298458</c:v>
                </c:pt>
                <c:pt idx="27">
                  <c:v>1.0397571111747836</c:v>
                </c:pt>
                <c:pt idx="28">
                  <c:v>1.0426067463414301</c:v>
                </c:pt>
                <c:pt idx="29">
                  <c:v>1.0455599650297849</c:v>
                </c:pt>
                <c:pt idx="30">
                  <c:v>1.0486167672398479</c:v>
                </c:pt>
                <c:pt idx="31">
                  <c:v>1.0517771529716196</c:v>
                </c:pt>
                <c:pt idx="32">
                  <c:v>1.0550411222250995</c:v>
                </c:pt>
                <c:pt idx="33">
                  <c:v>1.0584086750002877</c:v>
                </c:pt>
                <c:pt idx="34">
                  <c:v>1.0618798112971846</c:v>
                </c:pt>
                <c:pt idx="35">
                  <c:v>1.0654545311157897</c:v>
                </c:pt>
                <c:pt idx="36">
                  <c:v>1.0691328344561033</c:v>
                </c:pt>
                <c:pt idx="37">
                  <c:v>1.0729147213181254</c:v>
                </c:pt>
                <c:pt idx="38">
                  <c:v>1.0768001917018557</c:v>
                </c:pt>
                <c:pt idx="39">
                  <c:v>1.0807892456072945</c:v>
                </c:pt>
                <c:pt idx="40">
                  <c:v>1.0848818830344418</c:v>
                </c:pt>
                <c:pt idx="41">
                  <c:v>1.0890781039832973</c:v>
                </c:pt>
                <c:pt idx="42">
                  <c:v>1.0933779084538613</c:v>
                </c:pt>
                <c:pt idx="43">
                  <c:v>1.0977812964461338</c:v>
                </c:pt>
                <c:pt idx="44">
                  <c:v>1.1022882679601147</c:v>
                </c:pt>
                <c:pt idx="45">
                  <c:v>1.1068988229958039</c:v>
                </c:pt>
                <c:pt idx="46">
                  <c:v>1.1116129615532016</c:v>
                </c:pt>
                <c:pt idx="47">
                  <c:v>1.1164306836323077</c:v>
                </c:pt>
                <c:pt idx="48">
                  <c:v>1.1213519892331223</c:v>
                </c:pt>
                <c:pt idx="49">
                  <c:v>1.1263768783556452</c:v>
                </c:pt>
                <c:pt idx="50">
                  <c:v>1.1315053509998765</c:v>
                </c:pt>
                <c:pt idx="51">
                  <c:v>1.1367374071658161</c:v>
                </c:pt>
                <c:pt idx="52">
                  <c:v>1.1420730468534643</c:v>
                </c:pt>
                <c:pt idx="53">
                  <c:v>1.1475122700628209</c:v>
                </c:pt>
                <c:pt idx="54">
                  <c:v>1.1530550767938856</c:v>
                </c:pt>
                <c:pt idx="55">
                  <c:v>1.1587014670466591</c:v>
                </c:pt>
                <c:pt idx="56">
                  <c:v>1.1644514408211408</c:v>
                </c:pt>
                <c:pt idx="57">
                  <c:v>1.170304998117331</c:v>
                </c:pt>
                <c:pt idx="58">
                  <c:v>1.1762621389352295</c:v>
                </c:pt>
                <c:pt idx="59">
                  <c:v>1.1823228632748366</c:v>
                </c:pt>
                <c:pt idx="60">
                  <c:v>1.188487171136152</c:v>
                </c:pt>
                <c:pt idx="61">
                  <c:v>1.1947550625191756</c:v>
                </c:pt>
                <c:pt idx="62">
                  <c:v>1.201126537423908</c:v>
                </c:pt>
                <c:pt idx="63">
                  <c:v>1.2076015958503485</c:v>
                </c:pt>
                <c:pt idx="64">
                  <c:v>1.2141802377984976</c:v>
                </c:pt>
                <c:pt idx="65">
                  <c:v>1.2208624632683549</c:v>
                </c:pt>
                <c:pt idx="66">
                  <c:v>1.2276482722599207</c:v>
                </c:pt>
                <c:pt idx="67">
                  <c:v>1.2345376647731949</c:v>
                </c:pt>
                <c:pt idx="68">
                  <c:v>1.2415306408081777</c:v>
                </c:pt>
                <c:pt idx="69">
                  <c:v>1.2486272003648689</c:v>
                </c:pt>
                <c:pt idx="70">
                  <c:v>1.2558273434432683</c:v>
                </c:pt>
                <c:pt idx="71">
                  <c:v>1.263131070043376</c:v>
                </c:pt>
                <c:pt idx="72">
                  <c:v>1.2705383801651924</c:v>
                </c:pt>
                <c:pt idx="73">
                  <c:v>1.2780492738087172</c:v>
                </c:pt>
                <c:pt idx="74">
                  <c:v>1.2856637509739501</c:v>
                </c:pt>
                <c:pt idx="75">
                  <c:v>1.2933818116608917</c:v>
                </c:pt>
                <c:pt idx="76">
                  <c:v>1.3012034558695416</c:v>
                </c:pt>
                <c:pt idx="77">
                  <c:v>1.3091286835999001</c:v>
                </c:pt>
                <c:pt idx="78">
                  <c:v>1.3171574948519666</c:v>
                </c:pt>
                <c:pt idx="79">
                  <c:v>1.3252898896257419</c:v>
                </c:pt>
                <c:pt idx="80">
                  <c:v>1.3335258679212254</c:v>
                </c:pt>
                <c:pt idx="81">
                  <c:v>1.3418654297384174</c:v>
                </c:pt>
                <c:pt idx="82">
                  <c:v>1.3503085750773178</c:v>
                </c:pt>
                <c:pt idx="83">
                  <c:v>1.3588553039379265</c:v>
                </c:pt>
                <c:pt idx="84">
                  <c:v>1.3675056163202437</c:v>
                </c:pt>
                <c:pt idx="85">
                  <c:v>1.3762595122242693</c:v>
                </c:pt>
                <c:pt idx="86">
                  <c:v>1.3851169916500032</c:v>
                </c:pt>
                <c:pt idx="87">
                  <c:v>1.3940780545974456</c:v>
                </c:pt>
                <c:pt idx="88">
                  <c:v>1.4031427010665967</c:v>
                </c:pt>
                <c:pt idx="89">
                  <c:v>1.4123109310574558</c:v>
                </c:pt>
                <c:pt idx="90">
                  <c:v>1.4215827445700233</c:v>
                </c:pt>
                <c:pt idx="91">
                  <c:v>1.4309581416042993</c:v>
                </c:pt>
                <c:pt idx="92">
                  <c:v>1.4404371221602839</c:v>
                </c:pt>
                <c:pt idx="93">
                  <c:v>1.4500196862379768</c:v>
                </c:pt>
                <c:pt idx="94">
                  <c:v>1.4597058338373781</c:v>
                </c:pt>
                <c:pt idx="95">
                  <c:v>1.4694955649584878</c:v>
                </c:pt>
                <c:pt idx="96">
                  <c:v>1.4793888796013057</c:v>
                </c:pt>
                <c:pt idx="97">
                  <c:v>1.4893857777658324</c:v>
                </c:pt>
                <c:pt idx="98">
                  <c:v>1.4994862594520673</c:v>
                </c:pt>
                <c:pt idx="99">
                  <c:v>1.5096903246600106</c:v>
                </c:pt>
                <c:pt idx="100">
                  <c:v>1.5199979733896622</c:v>
                </c:pt>
              </c:numCache>
            </c:numRef>
          </c:val>
          <c:smooth val="0"/>
          <c:extLst>
            <c:ext xmlns:c16="http://schemas.microsoft.com/office/drawing/2014/chart" uri="{C3380CC4-5D6E-409C-BE32-E72D297353CC}">
              <c16:uniqueId val="{00000001-5C48-4103-949E-30B60EE05559}"/>
            </c:ext>
          </c:extLst>
        </c:ser>
        <c:ser>
          <c:idx val="1"/>
          <c:order val="2"/>
          <c:tx>
            <c:strRef>
              <c:f>Efficiency!$BF$11</c:f>
              <c:strCache>
                <c:ptCount val="1"/>
                <c:pt idx="0">
                  <c:v>HS MOSFET</c:v>
                </c:pt>
              </c:strCache>
            </c:strRef>
          </c:tx>
          <c:spPr>
            <a:ln>
              <a:solidFill>
                <a:srgbClr val="0070C0"/>
              </a:solidFill>
              <a:prstDash val="dashDot"/>
            </a:ln>
          </c:spPr>
          <c:marker>
            <c:symbol val="none"/>
          </c:marker>
          <c:cat>
            <c:numRef>
              <c:f>Efficiency!$I$12:$I$112</c:f>
              <c:numCache>
                <c:formatCode>0.000</c:formatCode>
                <c:ptCount val="101"/>
                <c:pt idx="0" formatCode="General">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pt idx="61">
                  <c:v>6.1</c:v>
                </c:pt>
                <c:pt idx="62">
                  <c:v>6.2</c:v>
                </c:pt>
                <c:pt idx="63">
                  <c:v>6.3</c:v>
                </c:pt>
                <c:pt idx="64">
                  <c:v>6.4</c:v>
                </c:pt>
                <c:pt idx="65">
                  <c:v>6.5</c:v>
                </c:pt>
                <c:pt idx="66">
                  <c:v>6.6</c:v>
                </c:pt>
                <c:pt idx="67">
                  <c:v>6.7</c:v>
                </c:pt>
                <c:pt idx="68">
                  <c:v>6.8</c:v>
                </c:pt>
                <c:pt idx="69">
                  <c:v>6.9</c:v>
                </c:pt>
                <c:pt idx="70">
                  <c:v>7</c:v>
                </c:pt>
                <c:pt idx="71">
                  <c:v>7.1</c:v>
                </c:pt>
                <c:pt idx="72">
                  <c:v>7.2</c:v>
                </c:pt>
                <c:pt idx="73">
                  <c:v>7.3</c:v>
                </c:pt>
                <c:pt idx="74">
                  <c:v>7.4</c:v>
                </c:pt>
                <c:pt idx="75">
                  <c:v>7.5</c:v>
                </c:pt>
                <c:pt idx="76">
                  <c:v>7.6</c:v>
                </c:pt>
                <c:pt idx="77">
                  <c:v>7.7</c:v>
                </c:pt>
                <c:pt idx="78">
                  <c:v>7.8</c:v>
                </c:pt>
                <c:pt idx="79">
                  <c:v>7.9</c:v>
                </c:pt>
                <c:pt idx="80">
                  <c:v>8</c:v>
                </c:pt>
                <c:pt idx="81">
                  <c:v>8.1</c:v>
                </c:pt>
                <c:pt idx="82">
                  <c:v>8.1999999999999993</c:v>
                </c:pt>
                <c:pt idx="83">
                  <c:v>8.3000000000000007</c:v>
                </c:pt>
                <c:pt idx="84">
                  <c:v>8.4</c:v>
                </c:pt>
                <c:pt idx="85">
                  <c:v>8.5</c:v>
                </c:pt>
                <c:pt idx="86">
                  <c:v>8.6</c:v>
                </c:pt>
                <c:pt idx="87">
                  <c:v>8.6999999999999993</c:v>
                </c:pt>
                <c:pt idx="88">
                  <c:v>8.8000000000000007</c:v>
                </c:pt>
                <c:pt idx="89">
                  <c:v>8.9</c:v>
                </c:pt>
                <c:pt idx="90">
                  <c:v>9</c:v>
                </c:pt>
                <c:pt idx="91">
                  <c:v>9.1</c:v>
                </c:pt>
                <c:pt idx="92">
                  <c:v>9.1999999999999993</c:v>
                </c:pt>
                <c:pt idx="93">
                  <c:v>9.3000000000000007</c:v>
                </c:pt>
                <c:pt idx="94">
                  <c:v>9.4</c:v>
                </c:pt>
                <c:pt idx="95">
                  <c:v>9.5</c:v>
                </c:pt>
                <c:pt idx="96">
                  <c:v>9.6</c:v>
                </c:pt>
                <c:pt idx="97">
                  <c:v>9.6999999999999993</c:v>
                </c:pt>
                <c:pt idx="98">
                  <c:v>9.8000000000000007</c:v>
                </c:pt>
                <c:pt idx="99">
                  <c:v>9.9</c:v>
                </c:pt>
                <c:pt idx="100">
                  <c:v>10</c:v>
                </c:pt>
              </c:numCache>
            </c:numRef>
          </c:cat>
          <c:val>
            <c:numRef>
              <c:f>Efficiency!$BF$12:$BF$112</c:f>
              <c:numCache>
                <c:formatCode>0.000</c:formatCode>
                <c:ptCount val="101"/>
                <c:pt idx="0">
                  <c:v>0.2987128103292998</c:v>
                </c:pt>
                <c:pt idx="1">
                  <c:v>0.30310857247037887</c:v>
                </c:pt>
                <c:pt idx="2">
                  <c:v>0.30750812708170944</c:v>
                </c:pt>
                <c:pt idx="3">
                  <c:v>0.31191147732552027</c:v>
                </c:pt>
                <c:pt idx="4">
                  <c:v>0.31631862638031633</c:v>
                </c:pt>
                <c:pt idx="5">
                  <c:v>0.32072957744092434</c:v>
                </c:pt>
                <c:pt idx="6">
                  <c:v>0.32514433371853774</c:v>
                </c:pt>
                <c:pt idx="7">
                  <c:v>0.32956289844076281</c:v>
                </c:pt>
                <c:pt idx="8">
                  <c:v>0.33646700185225803</c:v>
                </c:pt>
                <c:pt idx="9">
                  <c:v>0.34956874394950399</c:v>
                </c:pt>
                <c:pt idx="10">
                  <c:v>0.36890405779732749</c:v>
                </c:pt>
                <c:pt idx="11">
                  <c:v>0.38904124125695089</c:v>
                </c:pt>
                <c:pt idx="12">
                  <c:v>0.39758578178661552</c:v>
                </c:pt>
                <c:pt idx="13">
                  <c:v>0.40613415047377621</c:v>
                </c:pt>
                <c:pt idx="14">
                  <c:v>0.41468635066222315</c:v>
                </c:pt>
                <c:pt idx="15">
                  <c:v>0.42324238571253225</c:v>
                </c:pt>
                <c:pt idx="16">
                  <c:v>0.43180225900211233</c:v>
                </c:pt>
                <c:pt idx="17">
                  <c:v>0.44036597392525312</c:v>
                </c:pt>
                <c:pt idx="18">
                  <c:v>0.44893353389317359</c:v>
                </c:pt>
                <c:pt idx="19">
                  <c:v>0.4575049423340698</c:v>
                </c:pt>
                <c:pt idx="20">
                  <c:v>0.46608020269316341</c:v>
                </c:pt>
                <c:pt idx="21">
                  <c:v>0.47465931843275089</c:v>
                </c:pt>
                <c:pt idx="22">
                  <c:v>0.48324229303225197</c:v>
                </c:pt>
                <c:pt idx="23">
                  <c:v>0.49182912998825923</c:v>
                </c:pt>
                <c:pt idx="24">
                  <c:v>0.50041983281458735</c:v>
                </c:pt>
                <c:pt idx="25">
                  <c:v>0.50901440504232254</c:v>
                </c:pt>
                <c:pt idx="26">
                  <c:v>0.51761285021987291</c:v>
                </c:pt>
                <c:pt idx="27">
                  <c:v>0.52621517191301825</c:v>
                </c:pt>
                <c:pt idx="28">
                  <c:v>0.53482137370496075</c:v>
                </c:pt>
                <c:pt idx="29">
                  <c:v>0.54343145919637514</c:v>
                </c:pt>
                <c:pt idx="30">
                  <c:v>0.55204543200545975</c:v>
                </c:pt>
                <c:pt idx="31">
                  <c:v>0.56066329576798779</c:v>
                </c:pt>
                <c:pt idx="32">
                  <c:v>0.56928505413735864</c:v>
                </c:pt>
                <c:pt idx="33">
                  <c:v>0.57791071078464906</c:v>
                </c:pt>
                <c:pt idx="34">
                  <c:v>0.58654026939866521</c:v>
                </c:pt>
                <c:pt idx="35">
                  <c:v>0.59517373368599513</c:v>
                </c:pt>
                <c:pt idx="36">
                  <c:v>0.60381110737106014</c:v>
                </c:pt>
                <c:pt idx="37">
                  <c:v>0.61245239419616859</c:v>
                </c:pt>
                <c:pt idx="38">
                  <c:v>0.62109759792156738</c:v>
                </c:pt>
                <c:pt idx="39">
                  <c:v>0.62974672232549578</c:v>
                </c:pt>
                <c:pt idx="40">
                  <c:v>0.63839977120423885</c:v>
                </c:pt>
                <c:pt idx="41">
                  <c:v>0.64705674837218063</c:v>
                </c:pt>
                <c:pt idx="42">
                  <c:v>0.65571765766185808</c:v>
                </c:pt>
                <c:pt idx="43">
                  <c:v>0.66438250292401468</c:v>
                </c:pt>
                <c:pt idx="44">
                  <c:v>0.67305128802765579</c:v>
                </c:pt>
                <c:pt idx="45">
                  <c:v>0.68172401686010264</c:v>
                </c:pt>
                <c:pt idx="46">
                  <c:v>0.69040069332704657</c:v>
                </c:pt>
                <c:pt idx="47">
                  <c:v>0.69908132135260548</c:v>
                </c:pt>
                <c:pt idx="48">
                  <c:v>0.70776590487937741</c:v>
                </c:pt>
                <c:pt idx="49">
                  <c:v>0.71645444786849843</c:v>
                </c:pt>
                <c:pt idx="50">
                  <c:v>0.72514695429969644</c:v>
                </c:pt>
                <c:pt idx="51">
                  <c:v>0.7338434281713484</c:v>
                </c:pt>
                <c:pt idx="52">
                  <c:v>0.74254387350053652</c:v>
                </c:pt>
                <c:pt idx="53">
                  <c:v>0.75124829432310469</c:v>
                </c:pt>
                <c:pt idx="54">
                  <c:v>0.75995669469371618</c:v>
                </c:pt>
                <c:pt idx="55">
                  <c:v>0.76866907868590961</c:v>
                </c:pt>
                <c:pt idx="56">
                  <c:v>0.77738545039215823</c:v>
                </c:pt>
                <c:pt idx="57">
                  <c:v>0.78610581392392587</c:v>
                </c:pt>
                <c:pt idx="58">
                  <c:v>0.79483017341172579</c:v>
                </c:pt>
                <c:pt idx="59">
                  <c:v>0.80355853300517932</c:v>
                </c:pt>
                <c:pt idx="60">
                  <c:v>0.81229089687307399</c:v>
                </c:pt>
                <c:pt idx="61">
                  <c:v>0.82102726920342262</c:v>
                </c:pt>
                <c:pt idx="62">
                  <c:v>0.82976765420352194</c:v>
                </c:pt>
                <c:pt idx="63">
                  <c:v>0.83851205610001345</c:v>
                </c:pt>
                <c:pt idx="64">
                  <c:v>0.84726047913894109</c:v>
                </c:pt>
                <c:pt idx="65">
                  <c:v>0.85601292758581282</c:v>
                </c:pt>
                <c:pt idx="66">
                  <c:v>0.86476940572566074</c:v>
                </c:pt>
                <c:pt idx="67">
                  <c:v>0.87352991786310064</c:v>
                </c:pt>
                <c:pt idx="68">
                  <c:v>0.88229446832239433</c:v>
                </c:pt>
                <c:pt idx="69">
                  <c:v>0.89106306144750969</c:v>
                </c:pt>
                <c:pt idx="70">
                  <c:v>0.89983570160218185</c:v>
                </c:pt>
                <c:pt idx="71">
                  <c:v>0.908612393169977</c:v>
                </c:pt>
                <c:pt idx="72">
                  <c:v>0.91739314055435184</c:v>
                </c:pt>
                <c:pt idx="73">
                  <c:v>0.92617794817871757</c:v>
                </c:pt>
                <c:pt idx="74">
                  <c:v>0.93496682048650159</c:v>
                </c:pt>
                <c:pt idx="75">
                  <c:v>0.94375976194121125</c:v>
                </c:pt>
                <c:pt idx="76">
                  <c:v>0.95255677702649688</c:v>
                </c:pt>
                <c:pt idx="77">
                  <c:v>0.96135787024621444</c:v>
                </c:pt>
                <c:pt idx="78">
                  <c:v>0.97016304612449034</c:v>
                </c:pt>
                <c:pt idx="79">
                  <c:v>0.97897230920578604</c:v>
                </c:pt>
                <c:pt idx="80">
                  <c:v>0.98778566405496049</c:v>
                </c:pt>
                <c:pt idx="81">
                  <c:v>0.99660311525733691</c:v>
                </c:pt>
                <c:pt idx="82">
                  <c:v>1.005424667418767</c:v>
                </c:pt>
                <c:pt idx="83">
                  <c:v>1.0142503251656971</c:v>
                </c:pt>
                <c:pt idx="84">
                  <c:v>1.0230800931452313</c:v>
                </c:pt>
                <c:pt idx="85">
                  <c:v>1.0319139760252014</c:v>
                </c:pt>
                <c:pt idx="86">
                  <c:v>1.0407519784942301</c:v>
                </c:pt>
                <c:pt idx="87">
                  <c:v>1.049594105261799</c:v>
                </c:pt>
                <c:pt idx="88">
                  <c:v>1.0584403610583155</c:v>
                </c:pt>
                <c:pt idx="89">
                  <c:v>1.0672907506351794</c:v>
                </c:pt>
                <c:pt idx="90">
                  <c:v>1.0761452787648513</c:v>
                </c:pt>
                <c:pt idx="91">
                  <c:v>1.0850039502409206</c:v>
                </c:pt>
                <c:pt idx="92">
                  <c:v>1.0938667698781726</c:v>
                </c:pt>
                <c:pt idx="93">
                  <c:v>1.1027337425126587</c:v>
                </c:pt>
                <c:pt idx="94">
                  <c:v>1.1116048730017634</c:v>
                </c:pt>
                <c:pt idx="95">
                  <c:v>1.1204801662242756</c:v>
                </c:pt>
                <c:pt idx="96">
                  <c:v>1.1293596270804569</c:v>
                </c:pt>
                <c:pt idx="97">
                  <c:v>1.138243260492112</c:v>
                </c:pt>
                <c:pt idx="98">
                  <c:v>1.1471310714026588</c:v>
                </c:pt>
                <c:pt idx="99">
                  <c:v>1.1560230647771985</c:v>
                </c:pt>
                <c:pt idx="100">
                  <c:v>1.164919245602587</c:v>
                </c:pt>
              </c:numCache>
            </c:numRef>
          </c:val>
          <c:smooth val="0"/>
          <c:extLst>
            <c:ext xmlns:c16="http://schemas.microsoft.com/office/drawing/2014/chart" uri="{C3380CC4-5D6E-409C-BE32-E72D297353CC}">
              <c16:uniqueId val="{00000002-5C48-4103-949E-30B60EE05559}"/>
            </c:ext>
          </c:extLst>
        </c:ser>
        <c:ser>
          <c:idx val="3"/>
          <c:order val="3"/>
          <c:tx>
            <c:strRef>
              <c:f>Efficiency!$BG$11</c:f>
              <c:strCache>
                <c:ptCount val="1"/>
                <c:pt idx="0">
                  <c:v>LS MOSFET // Diode</c:v>
                </c:pt>
              </c:strCache>
            </c:strRef>
          </c:tx>
          <c:spPr>
            <a:ln>
              <a:solidFill>
                <a:srgbClr val="FFC000"/>
              </a:solidFill>
              <a:prstDash val="sysDash"/>
            </a:ln>
          </c:spPr>
          <c:marker>
            <c:symbol val="none"/>
          </c:marker>
          <c:val>
            <c:numRef>
              <c:f>Efficiency!$BG$12:$BG$112</c:f>
              <c:numCache>
                <c:formatCode>0.000</c:formatCode>
                <c:ptCount val="101"/>
                <c:pt idx="0">
                  <c:v>0.24910523419841135</c:v>
                </c:pt>
                <c:pt idx="1">
                  <c:v>0.25005765971376792</c:v>
                </c:pt>
                <c:pt idx="2">
                  <c:v>0.25102903086766049</c:v>
                </c:pt>
                <c:pt idx="3">
                  <c:v>0.25201934513274887</c:v>
                </c:pt>
                <c:pt idx="4">
                  <c:v>0.25302860038600899</c:v>
                </c:pt>
                <c:pt idx="5">
                  <c:v>0.25405679490856375</c:v>
                </c:pt>
                <c:pt idx="6">
                  <c:v>0.25510392738553533</c:v>
                </c:pt>
                <c:pt idx="7">
                  <c:v>0.25616999690591946</c:v>
                </c:pt>
                <c:pt idx="8">
                  <c:v>0.25725500296248049</c:v>
                </c:pt>
                <c:pt idx="9">
                  <c:v>0.25835894545166899</c:v>
                </c:pt>
                <c:pt idx="10">
                  <c:v>0.25948182467355996</c:v>
                </c:pt>
                <c:pt idx="11">
                  <c:v>0.26099359255149795</c:v>
                </c:pt>
                <c:pt idx="12">
                  <c:v>0.26346646614889324</c:v>
                </c:pt>
                <c:pt idx="13">
                  <c:v>0.2659582798006721</c:v>
                </c:pt>
                <c:pt idx="14">
                  <c:v>0.26846903542122391</c:v>
                </c:pt>
                <c:pt idx="15">
                  <c:v>0.27099873532857838</c:v>
                </c:pt>
                <c:pt idx="16">
                  <c:v>0.27354738224447289</c:v>
                </c:pt>
                <c:pt idx="17">
                  <c:v>0.2761149792944419</c:v>
                </c:pt>
                <c:pt idx="18">
                  <c:v>0.27870153000792741</c:v>
                </c:pt>
                <c:pt idx="19">
                  <c:v>0.28130703831841131</c:v>
                </c:pt>
                <c:pt idx="20">
                  <c:v>0.28393150856356891</c:v>
                </c:pt>
                <c:pt idx="21">
                  <c:v>0.28657494548544438</c:v>
                </c:pt>
                <c:pt idx="22">
                  <c:v>0.2892373542306475</c:v>
                </c:pt>
                <c:pt idx="23">
                  <c:v>0.29191874035057197</c:v>
                </c:pt>
                <c:pt idx="24">
                  <c:v>0.29461910980163558</c:v>
                </c:pt>
                <c:pt idx="25">
                  <c:v>0.29733846894554161</c:v>
                </c:pt>
                <c:pt idx="26">
                  <c:v>0.30007682454956236</c:v>
                </c:pt>
                <c:pt idx="27">
                  <c:v>0.30283418378684374</c:v>
                </c:pt>
                <c:pt idx="28">
                  <c:v>0.30561055423673211</c:v>
                </c:pt>
                <c:pt idx="29">
                  <c:v>0.3084059438851226</c:v>
                </c:pt>
                <c:pt idx="30">
                  <c:v>0.31122036112482904</c:v>
                </c:pt>
                <c:pt idx="31">
                  <c:v>0.31405381475597605</c:v>
                </c:pt>
                <c:pt idx="32">
                  <c:v>0.31690631398641245</c:v>
                </c:pt>
                <c:pt idx="33">
                  <c:v>0.31977786843214728</c:v>
                </c:pt>
                <c:pt idx="34">
                  <c:v>0.32266848811780674</c:v>
                </c:pt>
                <c:pt idx="35">
                  <c:v>0.32557818347711404</c:v>
                </c:pt>
                <c:pt idx="36">
                  <c:v>0.32850696535339058</c:v>
                </c:pt>
                <c:pt idx="37">
                  <c:v>0.33145484500007938</c:v>
                </c:pt>
                <c:pt idx="38">
                  <c:v>0.33442183408129084</c:v>
                </c:pt>
                <c:pt idx="39">
                  <c:v>0.33740794467237012</c:v>
                </c:pt>
                <c:pt idx="40">
                  <c:v>0.3404131892604873</c:v>
                </c:pt>
                <c:pt idx="41">
                  <c:v>0.34343758074524916</c:v>
                </c:pt>
                <c:pt idx="42">
                  <c:v>0.34648113243933409</c:v>
                </c:pt>
                <c:pt idx="43">
                  <c:v>0.34954385806914845</c:v>
                </c:pt>
                <c:pt idx="44">
                  <c:v>0.35262577177550608</c:v>
                </c:pt>
                <c:pt idx="45">
                  <c:v>0.35572688811432973</c:v>
                </c:pt>
                <c:pt idx="46">
                  <c:v>0.35884722205737579</c:v>
                </c:pt>
                <c:pt idx="47">
                  <c:v>0.36198678899298098</c:v>
                </c:pt>
                <c:pt idx="48">
                  <c:v>0.36514560472683177</c:v>
                </c:pt>
                <c:pt idx="49">
                  <c:v>0.3683236854827574</c:v>
                </c:pt>
                <c:pt idx="50">
                  <c:v>0.37152104790354451</c:v>
                </c:pt>
                <c:pt idx="51">
                  <c:v>0.37473770905177578</c:v>
                </c:pt>
                <c:pt idx="52">
                  <c:v>0.37797368641069118</c:v>
                </c:pt>
                <c:pt idx="53">
                  <c:v>0.38122899788507181</c:v>
                </c:pt>
                <c:pt idx="54">
                  <c:v>0.38450366180214823</c:v>
                </c:pt>
                <c:pt idx="55">
                  <c:v>0.38779769691253063</c:v>
                </c:pt>
                <c:pt idx="56">
                  <c:v>0.39111112239116319</c:v>
                </c:pt>
                <c:pt idx="57">
                  <c:v>0.394443957838302</c:v>
                </c:pt>
                <c:pt idx="58">
                  <c:v>0.39779622328051589</c:v>
                </c:pt>
                <c:pt idx="59">
                  <c:v>0.40116793917171123</c:v>
                </c:pt>
                <c:pt idx="60">
                  <c:v>0.40455912639418118</c:v>
                </c:pt>
                <c:pt idx="61">
                  <c:v>0.40796980625967738</c:v>
                </c:pt>
                <c:pt idx="62">
                  <c:v>0.41140000051050701</c:v>
                </c:pt>
                <c:pt idx="63">
                  <c:v>0.41484973132065284</c:v>
                </c:pt>
                <c:pt idx="64">
                  <c:v>0.41831902129691845</c:v>
                </c:pt>
                <c:pt idx="65">
                  <c:v>0.42180789348009662</c:v>
                </c:pt>
                <c:pt idx="66">
                  <c:v>0.4253163713461634</c:v>
                </c:pt>
                <c:pt idx="67">
                  <c:v>0.42884447880749577</c:v>
                </c:pt>
                <c:pt idx="68">
                  <c:v>0.43239224021411393</c:v>
                </c:pt>
                <c:pt idx="69">
                  <c:v>0.43595968035494947</c:v>
                </c:pt>
                <c:pt idx="70">
                  <c:v>0.43954682445913673</c:v>
                </c:pt>
                <c:pt idx="71">
                  <c:v>0.4431536981973313</c:v>
                </c:pt>
                <c:pt idx="72">
                  <c:v>0.44678032768305143</c:v>
                </c:pt>
                <c:pt idx="73">
                  <c:v>0.45042673947404632</c:v>
                </c:pt>
                <c:pt idx="74">
                  <c:v>0.45409296057368953</c:v>
                </c:pt>
                <c:pt idx="75">
                  <c:v>0.45777901843239754</c:v>
                </c:pt>
                <c:pt idx="76">
                  <c:v>0.46148494094907455</c:v>
                </c:pt>
                <c:pt idx="77">
                  <c:v>0.46521075647258259</c:v>
                </c:pt>
                <c:pt idx="78">
                  <c:v>0.46895649380323817</c:v>
                </c:pt>
                <c:pt idx="79">
                  <c:v>0.47272218219433509</c:v>
                </c:pt>
                <c:pt idx="80">
                  <c:v>0.47650785135369289</c:v>
                </c:pt>
                <c:pt idx="81">
                  <c:v>0.48031353144523281</c:v>
                </c:pt>
                <c:pt idx="82">
                  <c:v>0.48413925309057937</c:v>
                </c:pt>
                <c:pt idx="83">
                  <c:v>0.48798504737068971</c:v>
                </c:pt>
                <c:pt idx="84">
                  <c:v>0.49185094582750888</c:v>
                </c:pt>
                <c:pt idx="85">
                  <c:v>0.49573698046565329</c:v>
                </c:pt>
                <c:pt idx="86">
                  <c:v>0.49964318375412076</c:v>
                </c:pt>
                <c:pt idx="87">
                  <c:v>0.5035695886280287</c:v>
                </c:pt>
                <c:pt idx="88">
                  <c:v>0.50751622849037881</c:v>
                </c:pt>
                <c:pt idx="89">
                  <c:v>0.51148313721385075</c:v>
                </c:pt>
                <c:pt idx="90">
                  <c:v>0.51547034914262402</c:v>
                </c:pt>
                <c:pt idx="91">
                  <c:v>0.51947789909422637</c:v>
                </c:pt>
                <c:pt idx="92">
                  <c:v>0.52350582236141285</c:v>
                </c:pt>
                <c:pt idx="93">
                  <c:v>0.52755415471407174</c:v>
                </c:pt>
                <c:pt idx="94">
                  <c:v>0.53162293240115976</c:v>
                </c:pt>
                <c:pt idx="95">
                  <c:v>0.5357121921526673</c:v>
                </c:pt>
                <c:pt idx="96">
                  <c:v>0.53982197118161102</c:v>
                </c:pt>
                <c:pt idx="97">
                  <c:v>0.54395230718605758</c:v>
                </c:pt>
                <c:pt idx="98">
                  <c:v>0.5481032383511758</c:v>
                </c:pt>
                <c:pt idx="99">
                  <c:v>0.55227480335131907</c:v>
                </c:pt>
                <c:pt idx="100">
                  <c:v>0.55646704135213843</c:v>
                </c:pt>
              </c:numCache>
            </c:numRef>
          </c:val>
          <c:smooth val="0"/>
          <c:extLst>
            <c:ext xmlns:c16="http://schemas.microsoft.com/office/drawing/2014/chart" uri="{C3380CC4-5D6E-409C-BE32-E72D297353CC}">
              <c16:uniqueId val="{00000003-5C48-4103-949E-30B60EE05559}"/>
            </c:ext>
          </c:extLst>
        </c:ser>
        <c:ser>
          <c:idx val="4"/>
          <c:order val="4"/>
          <c:tx>
            <c:strRef>
              <c:f>Efficiency!$BH$11</c:f>
              <c:strCache>
                <c:ptCount val="1"/>
                <c:pt idx="0">
                  <c:v>Sense resistor</c:v>
                </c:pt>
              </c:strCache>
            </c:strRef>
          </c:tx>
          <c:spPr>
            <a:ln>
              <a:solidFill>
                <a:srgbClr val="00B050"/>
              </a:solidFill>
              <a:prstDash val="lgDashDot"/>
            </a:ln>
          </c:spPr>
          <c:marker>
            <c:symbol val="none"/>
          </c:marker>
          <c:val>
            <c:numRef>
              <c:f>Efficiency!$BH$12:$BH$112</c:f>
              <c:numCache>
                <c:formatCode>0.000</c:formatCode>
                <c:ptCount val="101"/>
                <c:pt idx="0">
                  <c:v>1.903332273250184E-3</c:v>
                </c:pt>
                <c:pt idx="1">
                  <c:v>1.9543830900175391E-3</c:v>
                </c:pt>
                <c:pt idx="2">
                  <c:v>2.1054341967792329E-3</c:v>
                </c:pt>
                <c:pt idx="3">
                  <c:v>2.3564855935352641E-3</c:v>
                </c:pt>
                <c:pt idx="4">
                  <c:v>2.7075372802856357E-3</c:v>
                </c:pt>
                <c:pt idx="5">
                  <c:v>3.1585892570303461E-3</c:v>
                </c:pt>
                <c:pt idx="6">
                  <c:v>3.7096415237693947E-3</c:v>
                </c:pt>
                <c:pt idx="7">
                  <c:v>4.3606940805027824E-3</c:v>
                </c:pt>
                <c:pt idx="8">
                  <c:v>5.1117469272305115E-3</c:v>
                </c:pt>
                <c:pt idx="9">
                  <c:v>5.9628000639525766E-3</c:v>
                </c:pt>
                <c:pt idx="10">
                  <c:v>6.9138534906689796E-3</c:v>
                </c:pt>
                <c:pt idx="11">
                  <c:v>7.9649072073797265E-3</c:v>
                </c:pt>
                <c:pt idx="12">
                  <c:v>9.115961214084806E-3</c:v>
                </c:pt>
                <c:pt idx="13">
                  <c:v>1.0367015510784229E-2</c:v>
                </c:pt>
                <c:pt idx="14">
                  <c:v>1.1718070097477988E-2</c:v>
                </c:pt>
                <c:pt idx="15">
                  <c:v>1.3169124974166089E-2</c:v>
                </c:pt>
                <c:pt idx="16">
                  <c:v>1.4720180140848528E-2</c:v>
                </c:pt>
                <c:pt idx="17">
                  <c:v>1.6371235597525301E-2</c:v>
                </c:pt>
                <c:pt idx="18">
                  <c:v>1.8122291344196424E-2</c:v>
                </c:pt>
                <c:pt idx="19">
                  <c:v>1.9973347380861876E-2</c:v>
                </c:pt>
                <c:pt idx="20">
                  <c:v>2.1924403707521668E-2</c:v>
                </c:pt>
                <c:pt idx="21">
                  <c:v>2.3975460324175808E-2</c:v>
                </c:pt>
                <c:pt idx="22">
                  <c:v>2.6126517230824278E-2</c:v>
                </c:pt>
                <c:pt idx="23">
                  <c:v>2.8377574427467082E-2</c:v>
                </c:pt>
                <c:pt idx="24">
                  <c:v>3.0728631914104229E-2</c:v>
                </c:pt>
                <c:pt idx="25">
                  <c:v>3.3179689690735731E-2</c:v>
                </c:pt>
                <c:pt idx="26">
                  <c:v>3.5730747757361549E-2</c:v>
                </c:pt>
                <c:pt idx="27">
                  <c:v>3.8381806113981724E-2</c:v>
                </c:pt>
                <c:pt idx="28">
                  <c:v>4.1132864760596216E-2</c:v>
                </c:pt>
                <c:pt idx="29">
                  <c:v>4.398392369720508E-2</c:v>
                </c:pt>
                <c:pt idx="30">
                  <c:v>4.6934982923808252E-2</c:v>
                </c:pt>
                <c:pt idx="31">
                  <c:v>4.9986042440405783E-2</c:v>
                </c:pt>
                <c:pt idx="32">
                  <c:v>5.313710224699765E-2</c:v>
                </c:pt>
                <c:pt idx="33">
                  <c:v>5.6388162343583827E-2</c:v>
                </c:pt>
                <c:pt idx="34">
                  <c:v>5.9739222730164368E-2</c:v>
                </c:pt>
                <c:pt idx="35">
                  <c:v>6.3190283406739253E-2</c:v>
                </c:pt>
                <c:pt idx="36">
                  <c:v>6.6741344373308489E-2</c:v>
                </c:pt>
                <c:pt idx="37">
                  <c:v>7.0392405629872021E-2</c:v>
                </c:pt>
                <c:pt idx="38">
                  <c:v>7.4143467176429931E-2</c:v>
                </c:pt>
                <c:pt idx="39">
                  <c:v>7.799452901298215E-2</c:v>
                </c:pt>
                <c:pt idx="40">
                  <c:v>8.194559113952872E-2</c:v>
                </c:pt>
                <c:pt idx="41">
                  <c:v>8.5996653556069627E-2</c:v>
                </c:pt>
                <c:pt idx="42">
                  <c:v>9.0147716262604885E-2</c:v>
                </c:pt>
                <c:pt idx="43">
                  <c:v>9.4398779259134466E-2</c:v>
                </c:pt>
                <c:pt idx="44">
                  <c:v>9.8749842545658439E-2</c:v>
                </c:pt>
                <c:pt idx="45">
                  <c:v>0.10320090612217665</c:v>
                </c:pt>
                <c:pt idx="46">
                  <c:v>0.10775196998868927</c:v>
                </c:pt>
                <c:pt idx="47">
                  <c:v>0.11240303414519623</c:v>
                </c:pt>
                <c:pt idx="48">
                  <c:v>0.11715409859169749</c:v>
                </c:pt>
                <c:pt idx="49">
                  <c:v>0.12200516332819318</c:v>
                </c:pt>
                <c:pt idx="50">
                  <c:v>0.12695622835468309</c:v>
                </c:pt>
                <c:pt idx="51">
                  <c:v>0.13200729367116737</c:v>
                </c:pt>
                <c:pt idx="52">
                  <c:v>0.13715835927764605</c:v>
                </c:pt>
                <c:pt idx="53">
                  <c:v>0.142409425174119</c:v>
                </c:pt>
                <c:pt idx="54">
                  <c:v>0.14776049136058633</c:v>
                </c:pt>
                <c:pt idx="55">
                  <c:v>0.15321155783704798</c:v>
                </c:pt>
                <c:pt idx="56">
                  <c:v>0.15876262460350396</c:v>
                </c:pt>
                <c:pt idx="57">
                  <c:v>0.16441369165995429</c:v>
                </c:pt>
                <c:pt idx="58">
                  <c:v>0.17016475900639902</c:v>
                </c:pt>
                <c:pt idx="59">
                  <c:v>0.17601582664283799</c:v>
                </c:pt>
                <c:pt idx="60">
                  <c:v>0.1819668945692714</c:v>
                </c:pt>
                <c:pt idx="61">
                  <c:v>0.18801796278569899</c:v>
                </c:pt>
                <c:pt idx="62">
                  <c:v>0.1941690312921211</c:v>
                </c:pt>
                <c:pt idx="63">
                  <c:v>0.20042010008853745</c:v>
                </c:pt>
                <c:pt idx="64">
                  <c:v>0.20677116917494817</c:v>
                </c:pt>
                <c:pt idx="65">
                  <c:v>0.21322223855135317</c:v>
                </c:pt>
                <c:pt idx="66">
                  <c:v>0.21977330821775254</c:v>
                </c:pt>
                <c:pt idx="67">
                  <c:v>0.22642437817414629</c:v>
                </c:pt>
                <c:pt idx="68">
                  <c:v>0.23317544842053434</c:v>
                </c:pt>
                <c:pt idx="69">
                  <c:v>0.24002651895691682</c:v>
                </c:pt>
                <c:pt idx="70">
                  <c:v>0.24697758978329351</c:v>
                </c:pt>
                <c:pt idx="71">
                  <c:v>0.25402866089966458</c:v>
                </c:pt>
                <c:pt idx="72">
                  <c:v>0.26117973230603003</c:v>
                </c:pt>
                <c:pt idx="73">
                  <c:v>0.26843080400238978</c:v>
                </c:pt>
                <c:pt idx="74">
                  <c:v>0.27578187598874382</c:v>
                </c:pt>
                <c:pt idx="75">
                  <c:v>0.28323294826509227</c:v>
                </c:pt>
                <c:pt idx="76">
                  <c:v>0.29078402083143506</c:v>
                </c:pt>
                <c:pt idx="77">
                  <c:v>0.29843509368777221</c:v>
                </c:pt>
                <c:pt idx="78">
                  <c:v>0.3061861668341036</c:v>
                </c:pt>
                <c:pt idx="79">
                  <c:v>0.31403724027042951</c:v>
                </c:pt>
                <c:pt idx="80">
                  <c:v>0.32198831399674954</c:v>
                </c:pt>
                <c:pt idx="81">
                  <c:v>0.33003938801306398</c:v>
                </c:pt>
                <c:pt idx="82">
                  <c:v>0.33819046231937278</c:v>
                </c:pt>
                <c:pt idx="83">
                  <c:v>0.34644153691567603</c:v>
                </c:pt>
                <c:pt idx="84">
                  <c:v>0.35479261180197347</c:v>
                </c:pt>
                <c:pt idx="85">
                  <c:v>0.36324368697826531</c:v>
                </c:pt>
                <c:pt idx="86">
                  <c:v>0.3717947624445514</c:v>
                </c:pt>
                <c:pt idx="87">
                  <c:v>0.38044583820083183</c:v>
                </c:pt>
                <c:pt idx="88">
                  <c:v>0.38919691424710684</c:v>
                </c:pt>
                <c:pt idx="89">
                  <c:v>0.39804799058337603</c:v>
                </c:pt>
                <c:pt idx="90">
                  <c:v>0.40699906720963941</c:v>
                </c:pt>
                <c:pt idx="91">
                  <c:v>0.41605014412589725</c:v>
                </c:pt>
                <c:pt idx="92">
                  <c:v>0.42520122133214949</c:v>
                </c:pt>
                <c:pt idx="93">
                  <c:v>0.4344522988283962</c:v>
                </c:pt>
                <c:pt idx="94">
                  <c:v>0.44380337661463692</c:v>
                </c:pt>
                <c:pt idx="95">
                  <c:v>0.45325445469087206</c:v>
                </c:pt>
                <c:pt idx="96">
                  <c:v>0.4628055330571017</c:v>
                </c:pt>
                <c:pt idx="97">
                  <c:v>0.47245661171332559</c:v>
                </c:pt>
                <c:pt idx="98">
                  <c:v>0.48220769065954394</c:v>
                </c:pt>
                <c:pt idx="99">
                  <c:v>0.49205876989575653</c:v>
                </c:pt>
                <c:pt idx="100">
                  <c:v>0.50200984942196336</c:v>
                </c:pt>
              </c:numCache>
            </c:numRef>
          </c:val>
          <c:smooth val="0"/>
          <c:extLst>
            <c:ext xmlns:c16="http://schemas.microsoft.com/office/drawing/2014/chart" uri="{C3380CC4-5D6E-409C-BE32-E72D297353CC}">
              <c16:uniqueId val="{00000004-5C48-4103-949E-30B60EE05559}"/>
            </c:ext>
          </c:extLst>
        </c:ser>
        <c:dLbls>
          <c:showLegendKey val="0"/>
          <c:showVal val="0"/>
          <c:showCatName val="0"/>
          <c:showSerName val="0"/>
          <c:showPercent val="0"/>
          <c:showBubbleSize val="0"/>
        </c:dLbls>
        <c:marker val="1"/>
        <c:smooth val="0"/>
        <c:axId val="211017728"/>
        <c:axId val="211011456"/>
      </c:lineChart>
      <c:catAx>
        <c:axId val="211003264"/>
        <c:scaling>
          <c:orientation val="minMax"/>
        </c:scaling>
        <c:delete val="0"/>
        <c:axPos val="b"/>
        <c:majorGridlines>
          <c:spPr>
            <a:ln w="15875">
              <a:solidFill>
                <a:srgbClr val="969696"/>
              </a:solidFill>
              <a:prstDash val="sysDash"/>
            </a:ln>
          </c:spPr>
        </c:majorGridlines>
        <c:title>
          <c:tx>
            <c:rich>
              <a:bodyPr/>
              <a:lstStyle/>
              <a:p>
                <a:pPr>
                  <a:defRPr sz="1300" b="1" i="0" u="none" strike="noStrike" baseline="0">
                    <a:solidFill>
                      <a:srgbClr val="0000FF"/>
                    </a:solidFill>
                    <a:latin typeface="Arial" pitchFamily="34" charset="0"/>
                    <a:ea typeface="Calibri"/>
                    <a:cs typeface="Arial" pitchFamily="34" charset="0"/>
                  </a:defRPr>
                </a:pPr>
                <a:r>
                  <a:rPr lang="en-US" sz="1300">
                    <a:solidFill>
                      <a:srgbClr val="0000FF"/>
                    </a:solidFill>
                    <a:latin typeface="Arial" pitchFamily="34" charset="0"/>
                    <a:cs typeface="Arial" pitchFamily="34" charset="0"/>
                  </a:rPr>
                  <a:t>Load Current (A)</a:t>
                </a:r>
              </a:p>
            </c:rich>
          </c:tx>
          <c:layout>
            <c:manualLayout>
              <c:xMode val="edge"/>
              <c:yMode val="edge"/>
              <c:x val="0.41625343343709942"/>
              <c:y val="0.94571913573731337"/>
            </c:manualLayout>
          </c:layout>
          <c:overlay val="0"/>
          <c:spPr>
            <a:noFill/>
            <a:ln w="25400">
              <a:noFill/>
            </a:ln>
          </c:spPr>
        </c:title>
        <c:numFmt formatCode="General" sourceLinked="0"/>
        <c:majorTickMark val="in"/>
        <c:minorTickMark val="in"/>
        <c:tickLblPos val="nextTo"/>
        <c:spPr>
          <a:ln w="3175">
            <a:solidFill>
              <a:srgbClr val="000000"/>
            </a:solidFill>
            <a:prstDash val="solid"/>
          </a:ln>
        </c:spPr>
        <c:txPr>
          <a:bodyPr rot="0" vert="horz"/>
          <a:lstStyle/>
          <a:p>
            <a:pPr>
              <a:defRPr sz="1100" b="1" i="0" u="none" strike="noStrike" baseline="0">
                <a:solidFill>
                  <a:srgbClr val="0000FF"/>
                </a:solidFill>
                <a:latin typeface="Arial" pitchFamily="34" charset="0"/>
                <a:ea typeface="Calibri"/>
                <a:cs typeface="Arial" pitchFamily="34" charset="0"/>
              </a:defRPr>
            </a:pPr>
            <a:endParaRPr lang="en-US"/>
          </a:p>
        </c:txPr>
        <c:crossAx val="211009536"/>
        <c:crosses val="autoZero"/>
        <c:auto val="1"/>
        <c:lblAlgn val="ctr"/>
        <c:lblOffset val="100"/>
        <c:tickLblSkip val="20"/>
        <c:tickMarkSkip val="20"/>
        <c:noMultiLvlLbl val="1"/>
      </c:catAx>
      <c:valAx>
        <c:axId val="211009536"/>
        <c:scaling>
          <c:orientation val="minMax"/>
          <c:max val="100"/>
          <c:min val="65"/>
        </c:scaling>
        <c:delete val="0"/>
        <c:axPos val="l"/>
        <c:majorGridlines>
          <c:spPr>
            <a:ln w="15875">
              <a:solidFill>
                <a:srgbClr val="808080"/>
              </a:solidFill>
              <a:prstDash val="solid"/>
            </a:ln>
          </c:spPr>
        </c:majorGridlines>
        <c:minorGridlines/>
        <c:title>
          <c:tx>
            <c:rich>
              <a:bodyPr/>
              <a:lstStyle/>
              <a:p>
                <a:pPr>
                  <a:defRPr sz="1300" b="1" i="0" u="none" strike="noStrike" baseline="0">
                    <a:solidFill>
                      <a:srgbClr val="FF0000"/>
                    </a:solidFill>
                    <a:latin typeface="Arial" pitchFamily="34" charset="0"/>
                    <a:ea typeface="Calibri"/>
                    <a:cs typeface="Arial" pitchFamily="34" charset="0"/>
                  </a:defRPr>
                </a:pPr>
                <a:r>
                  <a:rPr lang="en-US" sz="1300" b="1">
                    <a:solidFill>
                      <a:srgbClr val="FF0000"/>
                    </a:solidFill>
                    <a:latin typeface="Arial" pitchFamily="34" charset="0"/>
                    <a:cs typeface="Arial" pitchFamily="34" charset="0"/>
                  </a:rPr>
                  <a:t>Estimated Efficiency at Startup  (%)</a:t>
                </a:r>
              </a:p>
            </c:rich>
          </c:tx>
          <c:layout>
            <c:manualLayout>
              <c:xMode val="edge"/>
              <c:yMode val="edge"/>
              <c:x val="1.1200987702529872E-2"/>
              <c:y val="0.20644628705606108"/>
            </c:manualLayout>
          </c:layout>
          <c:overlay val="0"/>
          <c:spPr>
            <a:noFill/>
            <a:ln w="25400">
              <a:noFill/>
            </a:ln>
          </c:spPr>
        </c:title>
        <c:numFmt formatCode="#,##0" sourceLinked="0"/>
        <c:majorTickMark val="out"/>
        <c:minorTickMark val="out"/>
        <c:tickLblPos val="nextTo"/>
        <c:spPr>
          <a:ln w="3175">
            <a:solidFill>
              <a:srgbClr val="000000"/>
            </a:solidFill>
            <a:prstDash val="solid"/>
          </a:ln>
        </c:spPr>
        <c:txPr>
          <a:bodyPr rot="0" vert="horz"/>
          <a:lstStyle/>
          <a:p>
            <a:pPr>
              <a:defRPr sz="1100" b="1" i="0" u="none" strike="noStrike" baseline="0">
                <a:solidFill>
                  <a:srgbClr val="FF0000"/>
                </a:solidFill>
                <a:latin typeface="Arial" pitchFamily="34" charset="0"/>
                <a:ea typeface="Calibri"/>
                <a:cs typeface="Arial" pitchFamily="34" charset="0"/>
              </a:defRPr>
            </a:pPr>
            <a:endParaRPr lang="en-US"/>
          </a:p>
        </c:txPr>
        <c:crossAx val="211003264"/>
        <c:crosses val="autoZero"/>
        <c:crossBetween val="midCat"/>
        <c:majorUnit val="5"/>
        <c:minorUnit val="2.5"/>
      </c:valAx>
      <c:valAx>
        <c:axId val="211011456"/>
        <c:scaling>
          <c:orientation val="minMax"/>
        </c:scaling>
        <c:delete val="0"/>
        <c:axPos val="r"/>
        <c:title>
          <c:tx>
            <c:rich>
              <a:bodyPr rot="-5400000" vert="horz"/>
              <a:lstStyle/>
              <a:p>
                <a:pPr>
                  <a:defRPr sz="1400" b="1"/>
                </a:pPr>
                <a:r>
                  <a:rPr lang="en-US" sz="1400" b="1"/>
                  <a:t>Power Loss (W)</a:t>
                </a:r>
              </a:p>
            </c:rich>
          </c:tx>
          <c:layout>
            <c:manualLayout>
              <c:xMode val="edge"/>
              <c:yMode val="edge"/>
              <c:x val="0.95594291793250197"/>
              <c:y val="0.37048873366731228"/>
            </c:manualLayout>
          </c:layout>
          <c:overlay val="0"/>
        </c:title>
        <c:numFmt formatCode="General" sourceLinked="0"/>
        <c:majorTickMark val="cross"/>
        <c:minorTickMark val="none"/>
        <c:tickLblPos val="nextTo"/>
        <c:txPr>
          <a:bodyPr/>
          <a:lstStyle/>
          <a:p>
            <a:pPr>
              <a:defRPr sz="1100" b="1">
                <a:solidFill>
                  <a:sysClr val="windowText" lastClr="000000"/>
                </a:solidFill>
              </a:defRPr>
            </a:pPr>
            <a:endParaRPr lang="en-US"/>
          </a:p>
        </c:txPr>
        <c:crossAx val="211017728"/>
        <c:crosses val="max"/>
        <c:crossBetween val="between"/>
      </c:valAx>
      <c:catAx>
        <c:axId val="211017728"/>
        <c:scaling>
          <c:orientation val="minMax"/>
        </c:scaling>
        <c:delete val="1"/>
        <c:axPos val="b"/>
        <c:numFmt formatCode="General" sourceLinked="1"/>
        <c:majorTickMark val="out"/>
        <c:minorTickMark val="none"/>
        <c:tickLblPos val="nextTo"/>
        <c:crossAx val="211011456"/>
        <c:crosses val="autoZero"/>
        <c:auto val="1"/>
        <c:lblAlgn val="ctr"/>
        <c:lblOffset val="100"/>
        <c:noMultiLvlLbl val="0"/>
      </c:catAx>
      <c:spPr>
        <a:noFill/>
        <a:ln w="25400">
          <a:noFill/>
        </a:ln>
      </c:spPr>
    </c:plotArea>
    <c:legend>
      <c:legendPos val="t"/>
      <c:layout>
        <c:manualLayout>
          <c:xMode val="edge"/>
          <c:yMode val="edge"/>
          <c:x val="0.24436132321583859"/>
          <c:y val="1.1885841661788752E-2"/>
          <c:w val="0.71865767157320171"/>
          <c:h val="0.11649066572204307"/>
        </c:manualLayout>
      </c:layout>
      <c:overlay val="0"/>
      <c:spPr>
        <a:noFill/>
        <a:ln w="25400">
          <a:noFill/>
        </a:ln>
      </c:spPr>
      <c:txPr>
        <a:bodyPr anchor="t" anchorCtr="0"/>
        <a:lstStyle/>
        <a:p>
          <a:pPr>
            <a:defRPr sz="1200" b="0"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rgbClr val="FFFFFF"/>
    </a:solidFill>
    <a:ln w="25400">
      <a:solidFill>
        <a:srgbClr val="000000"/>
      </a:solid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66" r="0.75000000000000666" t="1" header="0.5" footer="0.5"/>
    <c:pageSetup paperSize="5"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rgbClr val="000000"/>
                </a:solidFill>
                <a:latin typeface="Arial"/>
                <a:ea typeface="Arial"/>
                <a:cs typeface="Arial"/>
              </a:defRPr>
            </a:pPr>
            <a:r>
              <a:rPr lang="en-US" sz="1600" baseline="0"/>
              <a:t>CV LOOP - OPEN LOOP RESPONSE in CCM </a:t>
            </a:r>
            <a:r>
              <a:rPr lang="en-US" sz="1800" b="1" i="0" baseline="0">
                <a:effectLst/>
              </a:rPr>
              <a:t>@V</a:t>
            </a:r>
            <a:r>
              <a:rPr lang="en-US" sz="1800" b="1" i="0" baseline="-25000">
                <a:effectLst/>
              </a:rPr>
              <a:t>SUPPLY(typ)</a:t>
            </a:r>
            <a:endParaRPr lang="en-US" sz="1600">
              <a:effectLst/>
            </a:endParaRPr>
          </a:p>
        </c:rich>
      </c:tx>
      <c:layout>
        <c:manualLayout>
          <c:xMode val="edge"/>
          <c:yMode val="edge"/>
          <c:x val="0.12328808296910675"/>
          <c:y val="1.6251301945748486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Bode!$AE$11</c:f>
              <c:strCache>
                <c:ptCount val="1"/>
                <c:pt idx="0">
                  <c:v>OPENLOOP_GAIN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Bode!$AE$12:$AE$138</c:f>
              <c:numCache>
                <c:formatCode>_(* #,##0.00_);_(* \(#,##0.00\);_(* "-"??_);_(@_)</c:formatCode>
                <c:ptCount val="127"/>
                <c:pt idx="0">
                  <c:v>84.481439070840182</c:v>
                </c:pt>
                <c:pt idx="1">
                  <c:v>81.000207632720972</c:v>
                </c:pt>
                <c:pt idx="2">
                  <c:v>78.515731042912506</c:v>
                </c:pt>
                <c:pt idx="3">
                  <c:v>76.58416498572231</c:v>
                </c:pt>
                <c:pt idx="4">
                  <c:v>75.004148331506002</c:v>
                </c:pt>
                <c:pt idx="5">
                  <c:v>73.66738992012867</c:v>
                </c:pt>
                <c:pt idx="6">
                  <c:v>72.508965037762295</c:v>
                </c:pt>
                <c:pt idx="7">
                  <c:v>71.486884602822073</c:v>
                </c:pt>
                <c:pt idx="8">
                  <c:v>70.57242904992691</c:v>
                </c:pt>
                <c:pt idx="9">
                  <c:v>69.74508937513184</c:v>
                </c:pt>
                <c:pt idx="10">
                  <c:v>68.989709446629348</c:v>
                </c:pt>
                <c:pt idx="11">
                  <c:v>68.294772151732559</c:v>
                </c:pt>
                <c:pt idx="12">
                  <c:v>67.651320666432042</c:v>
                </c:pt>
                <c:pt idx="13">
                  <c:v>67.052251884555233</c:v>
                </c:pt>
                <c:pt idx="14">
                  <c:v>66.491837871112523</c:v>
                </c:pt>
                <c:pt idx="15">
                  <c:v>65.965392384648581</c:v>
                </c:pt>
                <c:pt idx="16">
                  <c:v>65.469032710836856</c:v>
                </c:pt>
                <c:pt idx="17">
                  <c:v>64.999505884585318</c:v>
                </c:pt>
                <c:pt idx="18">
                  <c:v>64.554059482498729</c:v>
                </c:pt>
                <c:pt idx="19">
                  <c:v>61.032665662875274</c:v>
                </c:pt>
                <c:pt idx="20">
                  <c:v>58.534063426605471</c:v>
                </c:pt>
                <c:pt idx="21">
                  <c:v>56.595966607946863</c:v>
                </c:pt>
                <c:pt idx="22">
                  <c:v>55.012422914197785</c:v>
                </c:pt>
                <c:pt idx="23">
                  <c:v>53.673562183840076</c:v>
                </c:pt>
                <c:pt idx="24">
                  <c:v>52.513798845039176</c:v>
                </c:pt>
                <c:pt idx="25">
                  <c:v>51.490827737097433</c:v>
                </c:pt>
                <c:pt idx="26">
                  <c:v>50.575762692751717</c:v>
                </c:pt>
                <c:pt idx="27">
                  <c:v>49.748000137884006</c:v>
                </c:pt>
                <c:pt idx="28">
                  <c:v>48.992327023932006</c:v>
                </c:pt>
                <c:pt idx="29">
                  <c:v>48.297190319532035</c:v>
                </c:pt>
                <c:pt idx="30">
                  <c:v>47.653609626180042</c:v>
                </c:pt>
                <c:pt idx="31">
                  <c:v>47.054465845479001</c:v>
                </c:pt>
                <c:pt idx="32">
                  <c:v>46.494019883529312</c:v>
                </c:pt>
                <c:pt idx="33">
                  <c:v>45.967577520456643</c:v>
                </c:pt>
                <c:pt idx="34">
                  <c:v>45.471250214847984</c:v>
                </c:pt>
                <c:pt idx="35">
                  <c:v>45.001780665233362</c:v>
                </c:pt>
                <c:pt idx="36">
                  <c:v>44.556413167008458</c:v>
                </c:pt>
                <c:pt idx="37">
                  <c:v>41.036636393267912</c:v>
                </c:pt>
                <c:pt idx="38">
                  <c:v>38.540719479199169</c:v>
                </c:pt>
                <c:pt idx="39">
                  <c:v>36.606182775571305</c:v>
                </c:pt>
                <c:pt idx="40">
                  <c:v>35.027020548621365</c:v>
                </c:pt>
                <c:pt idx="41">
                  <c:v>33.693338245671029</c:v>
                </c:pt>
                <c:pt idx="42">
                  <c:v>32.539533799548394</c:v>
                </c:pt>
                <c:pt idx="43">
                  <c:v>31.523287749059236</c:v>
                </c:pt>
                <c:pt idx="44">
                  <c:v>30.615699946793079</c:v>
                </c:pt>
                <c:pt idx="45">
                  <c:v>29.796152476179202</c:v>
                </c:pt>
                <c:pt idx="46">
                  <c:v>29.049417336881696</c:v>
                </c:pt>
                <c:pt idx="47">
                  <c:v>28.363925868247868</c:v>
                </c:pt>
                <c:pt idx="48">
                  <c:v>27.73068137639768</c:v>
                </c:pt>
                <c:pt idx="49">
                  <c:v>27.142547850023419</c:v>
                </c:pt>
                <c:pt idx="50">
                  <c:v>26.593768730603067</c:v>
                </c:pt>
                <c:pt idx="51">
                  <c:v>26.079631855073018</c:v>
                </c:pt>
                <c:pt idx="52">
                  <c:v>25.596230335426881</c:v>
                </c:pt>
                <c:pt idx="53">
                  <c:v>25.140288194443791</c:v>
                </c:pt>
                <c:pt idx="54">
                  <c:v>24.709030794259775</c:v>
                </c:pt>
                <c:pt idx="55">
                  <c:v>21.358176987358291</c:v>
                </c:pt>
                <c:pt idx="56">
                  <c:v>19.068789325731672</c:v>
                </c:pt>
                <c:pt idx="57">
                  <c:v>17.362041044334418</c:v>
                </c:pt>
                <c:pt idx="58">
                  <c:v>16.019112651209323</c:v>
                </c:pt>
                <c:pt idx="59">
                  <c:v>14.920656290302889</c:v>
                </c:pt>
                <c:pt idx="60">
                  <c:v>13.994422354324282</c:v>
                </c:pt>
                <c:pt idx="61">
                  <c:v>13.193686315123987</c:v>
                </c:pt>
                <c:pt idx="62">
                  <c:v>12.486885215230885</c:v>
                </c:pt>
                <c:pt idx="63">
                  <c:v>11.85204743583313</c:v>
                </c:pt>
                <c:pt idx="64">
                  <c:v>11.27353548120966</c:v>
                </c:pt>
                <c:pt idx="65">
                  <c:v>10.74001993000925</c:v>
                </c:pt>
                <c:pt idx="66">
                  <c:v>10.24316294501403</c:v>
                </c:pt>
                <c:pt idx="67">
                  <c:v>9.7767366214811577</c:v>
                </c:pt>
                <c:pt idx="68">
                  <c:v>9.3360200356743359</c:v>
                </c:pt>
                <c:pt idx="69">
                  <c:v>8.9173806294924063</c:v>
                </c:pt>
                <c:pt idx="70">
                  <c:v>8.5179802054554266</c:v>
                </c:pt>
                <c:pt idx="71">
                  <c:v>8.13556646320305</c:v>
                </c:pt>
                <c:pt idx="72">
                  <c:v>7.7683239281095258</c:v>
                </c:pt>
                <c:pt idx="73">
                  <c:v>4.6934529356141352</c:v>
                </c:pt>
                <c:pt idx="74">
                  <c:v>2.3152915024719771</c:v>
                </c:pt>
                <c:pt idx="75">
                  <c:v>0.35360256443830451</c:v>
                </c:pt>
                <c:pt idx="76">
                  <c:v>-1.3330072832719235</c:v>
                </c:pt>
                <c:pt idx="77">
                  <c:v>-2.8273408558907622</c:v>
                </c:pt>
                <c:pt idx="78">
                  <c:v>-4.1815460267883324</c:v>
                </c:pt>
                <c:pt idx="79">
                  <c:v>-5.4301315686035583</c:v>
                </c:pt>
                <c:pt idx="80">
                  <c:v>-6.5968066870886357</c:v>
                </c:pt>
                <c:pt idx="81">
                  <c:v>-7.6983530507935978</c:v>
                </c:pt>
                <c:pt idx="82">
                  <c:v>-8.7469431217942475</c:v>
                </c:pt>
                <c:pt idx="83">
                  <c:v>-9.7515916945628973</c:v>
                </c:pt>
                <c:pt idx="84">
                  <c:v>-10.71909829157145</c:v>
                </c:pt>
                <c:pt idx="85">
                  <c:v>-11.654677354211648</c:v>
                </c:pt>
                <c:pt idx="86">
                  <c:v>-12.56238996693458</c:v>
                </c:pt>
                <c:pt idx="87">
                  <c:v>-13.445445565073346</c:v>
                </c:pt>
                <c:pt idx="88">
                  <c:v>-14.306416315023121</c:v>
                </c:pt>
                <c:pt idx="89">
                  <c:v>-15.147391614353435</c:v>
                </c:pt>
                <c:pt idx="90">
                  <c:v>-15.970090822451628</c:v>
                </c:pt>
                <c:pt idx="91">
                  <c:v>-23.424326819116828</c:v>
                </c:pt>
                <c:pt idx="92">
                  <c:v>-29.864355970388775</c:v>
                </c:pt>
                <c:pt idx="93">
                  <c:v>-35.574473594865076</c:v>
                </c:pt>
                <c:pt idx="94">
                  <c:v>-40.707920737787937</c:v>
                </c:pt>
                <c:pt idx="95">
                  <c:v>-45.367793636814127</c:v>
                </c:pt>
                <c:pt idx="96">
                  <c:v>-49.630654574113358</c:v>
                </c:pt>
                <c:pt idx="97">
                  <c:v>-53.555966969518245</c:v>
                </c:pt>
                <c:pt idx="98">
                  <c:v>-57.191006321640039</c:v>
                </c:pt>
                <c:pt idx="99">
                  <c:v>-60.573951298393716</c:v>
                </c:pt>
                <c:pt idx="100">
                  <c:v>-63.736033725008355</c:v>
                </c:pt>
                <c:pt idx="101">
                  <c:v>-66.703101067382249</c:v>
                </c:pt>
                <c:pt idx="102">
                  <c:v>-69.496774955477804</c:v>
                </c:pt>
                <c:pt idx="103">
                  <c:v>-72.135320812533877</c:v>
                </c:pt>
                <c:pt idx="104">
                  <c:v>-74.634307623831518</c:v>
                </c:pt>
                <c:pt idx="105">
                  <c:v>-77.007113941400931</c:v>
                </c:pt>
                <c:pt idx="106">
                  <c:v>-79.265320342743138</c:v>
                </c:pt>
                <c:pt idx="107">
                  <c:v>-81.419017298001378</c:v>
                </c:pt>
                <c:pt idx="108">
                  <c:v>-83.477049382411209</c:v>
                </c:pt>
                <c:pt idx="109">
                  <c:v>-100.15407942724414</c:v>
                </c:pt>
                <c:pt idx="110">
                  <c:v>-112.29425129344733</c:v>
                </c:pt>
                <c:pt idx="111">
                  <c:v>-121.81592800080547</c:v>
                </c:pt>
                <c:pt idx="112">
                  <c:v>-129.64048502948549</c:v>
                </c:pt>
                <c:pt idx="113">
                  <c:v>-136.27818638064346</c:v>
                </c:pt>
                <c:pt idx="114">
                  <c:v>-142.04017066106474</c:v>
                </c:pt>
                <c:pt idx="115">
                  <c:v>-147.12980570939101</c:v>
                </c:pt>
                <c:pt idx="116">
                  <c:v>-151.68717764476781</c:v>
                </c:pt>
                <c:pt idx="117">
                  <c:v>-155.81282038365515</c:v>
                </c:pt>
                <c:pt idx="118">
                  <c:v>-159.58129648488645</c:v>
                </c:pt>
                <c:pt idx="119">
                  <c:v>-163.04941916077024</c:v>
                </c:pt>
                <c:pt idx="120">
                  <c:v>-166.26146378810489</c:v>
                </c:pt>
                <c:pt idx="121">
                  <c:v>-169.25259981787053</c:v>
                </c:pt>
                <c:pt idx="122">
                  <c:v>-172.0512249110115</c:v>
                </c:pt>
                <c:pt idx="123">
                  <c:v>-174.68059693951736</c:v>
                </c:pt>
                <c:pt idx="124">
                  <c:v>-177.16000270582776</c:v>
                </c:pt>
                <c:pt idx="125">
                  <c:v>-179.50561259685867</c:v>
                </c:pt>
                <c:pt idx="126">
                  <c:v>-181.73111721388543</c:v>
                </c:pt>
              </c:numCache>
            </c:numRef>
          </c:yVal>
          <c:smooth val="0"/>
          <c:extLst>
            <c:ext xmlns:c16="http://schemas.microsoft.com/office/drawing/2014/chart" uri="{C3380CC4-5D6E-409C-BE32-E72D297353CC}">
              <c16:uniqueId val="{00000000-25F5-476A-AF9B-BEBBD67F00A8}"/>
            </c:ext>
          </c:extLst>
        </c:ser>
        <c:dLbls>
          <c:showLegendKey val="0"/>
          <c:showVal val="0"/>
          <c:showCatName val="0"/>
          <c:showSerName val="0"/>
          <c:showPercent val="0"/>
          <c:showBubbleSize val="0"/>
        </c:dLbls>
        <c:axId val="80968320"/>
        <c:axId val="80978688"/>
      </c:scatterChart>
      <c:scatterChart>
        <c:scatterStyle val="lineMarker"/>
        <c:varyColors val="0"/>
        <c:ser>
          <c:idx val="2"/>
          <c:order val="2"/>
          <c:tx>
            <c:v>fCROSS(CV)</c:v>
          </c:tx>
          <c:spPr>
            <a:effectLst>
              <a:glow rad="228600">
                <a:schemeClr val="accent1">
                  <a:satMod val="175000"/>
                  <a:alpha val="40000"/>
                </a:schemeClr>
              </a:glow>
            </a:effectLst>
          </c:spPr>
          <c:marker>
            <c:symbol val="triangle"/>
            <c:size val="10"/>
            <c:spPr>
              <a:solidFill>
                <a:schemeClr val="tx1"/>
              </a:solidFill>
              <a:ln w="25400">
                <a:solidFill>
                  <a:schemeClr val="tx1"/>
                </a:solidFill>
              </a:ln>
              <a:effectLst>
                <a:glow rad="228600">
                  <a:schemeClr val="accent1">
                    <a:satMod val="175000"/>
                    <a:alpha val="40000"/>
                  </a:schemeClr>
                </a:glow>
              </a:effectLst>
            </c:spPr>
          </c:marker>
          <c:dLbls>
            <c:dLbl>
              <c:idx val="0"/>
              <c:tx>
                <c:rich>
                  <a:bodyPr wrap="square" lIns="38100" tIns="19050" rIns="38100" bIns="19050" anchor="ctr">
                    <a:noAutofit/>
                  </a:bodyPr>
                  <a:lstStyle/>
                  <a:p>
                    <a:pPr>
                      <a:defRPr sz="1000" b="1" baseline="0"/>
                    </a:pPr>
                    <a:r>
                      <a:rPr lang="en-US" sz="1000" b="1" baseline="0"/>
                      <a:t>fCROSS(CV)</a:t>
                    </a:r>
                  </a:p>
                </c:rich>
              </c:tx>
              <c:spPr>
                <a:noFill/>
                <a:ln>
                  <a:noFill/>
                </a:ln>
                <a:effectLst/>
              </c:spPr>
              <c:dLblPos val="t"/>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showDataLabelsRange val="0"/>
                </c:ext>
                <c:ext xmlns:c16="http://schemas.microsoft.com/office/drawing/2014/chart" uri="{C3380CC4-5D6E-409C-BE32-E72D297353CC}">
                  <c16:uniqueId val="{00000001-25F5-476A-AF9B-BEBBD67F00A8}"/>
                </c:ext>
              </c:extLst>
            </c:dLbl>
            <c:spPr>
              <a:noFill/>
              <a:ln>
                <a:noFill/>
              </a:ln>
              <a:effectLst/>
            </c:spPr>
            <c:txPr>
              <a:bodyPr wrap="square" lIns="38100" tIns="19050" rIns="38100" bIns="19050" anchor="ctr">
                <a:spAutoFit/>
              </a:bodyPr>
              <a:lstStyle/>
              <a:p>
                <a:pPr>
                  <a:defRPr sz="1000" b="1" baseline="0"/>
                </a:pPr>
                <a:endParaRPr lang="en-US"/>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Bode!$AI$8</c:f>
              <c:numCache>
                <c:formatCode>_(* #,##0.0_);_(* \(#,##0.0\);_(* "-"?_);_(@_)</c:formatCode>
                <c:ptCount val="1"/>
                <c:pt idx="0">
                  <c:v>26048.264258975963</c:v>
                </c:pt>
              </c:numCache>
            </c:numRef>
          </c:xVal>
          <c:yVal>
            <c:numLit>
              <c:formatCode>General</c:formatCode>
              <c:ptCount val="1"/>
              <c:pt idx="0">
                <c:v>0</c:v>
              </c:pt>
            </c:numLit>
          </c:yVal>
          <c:smooth val="0"/>
          <c:extLst>
            <c:ext xmlns:c16="http://schemas.microsoft.com/office/drawing/2014/chart" uri="{C3380CC4-5D6E-409C-BE32-E72D297353CC}">
              <c16:uniqueId val="{00000002-25F5-476A-AF9B-BEBBD67F00A8}"/>
            </c:ext>
          </c:extLst>
        </c:ser>
        <c:ser>
          <c:idx val="3"/>
          <c:order val="3"/>
          <c:tx>
            <c:v>fPLOAD</c:v>
          </c:tx>
          <c:marker>
            <c:symbol val="x"/>
            <c:size val="11"/>
            <c:spPr>
              <a:noFill/>
              <a:ln w="25400">
                <a:solidFill>
                  <a:schemeClr val="tx1"/>
                </a:solidFill>
              </a:ln>
              <a:effectLst>
                <a:glow rad="63500">
                  <a:srgbClr val="00B050">
                    <a:alpha val="40000"/>
                  </a:srgbClr>
                </a:glow>
              </a:effectLst>
            </c:spPr>
          </c:marker>
          <c:dLbls>
            <c:dLbl>
              <c:idx val="0"/>
              <c:layout>
                <c:manualLayout>
                  <c:x val="-6.7147028097071113E-2"/>
                  <c:y val="-5.569546006395977E-2"/>
                </c:manualLayout>
              </c:layout>
              <c:tx>
                <c:rich>
                  <a:bodyPr wrap="square" lIns="38100" tIns="19050" rIns="38100" bIns="19050" anchor="ctr" anchorCtr="0">
                    <a:noAutofit/>
                  </a:bodyPr>
                  <a:lstStyle/>
                  <a:p>
                    <a:pPr algn="ctr">
                      <a:defRPr lang="en-US" sz="1000" b="1" i="0" u="none" strike="noStrike" kern="1200" baseline="-25000">
                        <a:solidFill>
                          <a:srgbClr val="000000"/>
                        </a:solidFill>
                        <a:latin typeface="Arial"/>
                        <a:ea typeface="Arial"/>
                        <a:cs typeface="Arial"/>
                      </a:defRPr>
                    </a:pPr>
                    <a:fld id="{3833914D-311C-4C5D-B515-DAD54E2B3908}" type="SERIESNAME">
                      <a:rPr lang="en-US" sz="1000" b="1" i="0" u="none" strike="noStrike" kern="1200" baseline="0">
                        <a:solidFill>
                          <a:srgbClr val="000000"/>
                        </a:solidFill>
                        <a:latin typeface="Arial"/>
                        <a:ea typeface="Arial"/>
                        <a:cs typeface="Arial"/>
                      </a:rPr>
                      <a:pPr algn="ctr">
                        <a:defRPr lang="en-US" sz="1000" b="1" i="0" u="none" strike="noStrike" kern="1200" baseline="-25000">
                          <a:solidFill>
                            <a:srgbClr val="000000"/>
                          </a:solidFill>
                          <a:latin typeface="Arial"/>
                          <a:ea typeface="Arial"/>
                          <a:cs typeface="Arial"/>
                        </a:defRPr>
                      </a:pPr>
                      <a:t>[SERIES NAME]</a:t>
                    </a:fld>
                    <a:endParaRPr lang="en-US"/>
                  </a:p>
                </c:rich>
              </c:tx>
              <c:spPr>
                <a:noFill/>
                <a:ln>
                  <a:noFill/>
                </a:ln>
                <a:effectLst/>
              </c:spPr>
              <c:dLblPos val="r"/>
              <c:showLegendKey val="0"/>
              <c:showVal val="0"/>
              <c:showCatName val="0"/>
              <c:showSerName val="1"/>
              <c:showPercent val="0"/>
              <c:showBubbleSize val="0"/>
              <c:extLst>
                <c:ext xmlns:c15="http://schemas.microsoft.com/office/drawing/2012/chart" uri="{CE6537A1-D6FC-4f65-9D91-7224C49458BB}">
                  <c15:layout>
                    <c:manualLayout>
                      <c:w val="0.10290414513738469"/>
                      <c:h val="5.929217279919953E-2"/>
                    </c:manualLayout>
                  </c15:layout>
                  <c15:dlblFieldTable/>
                  <c15:showDataLabelsRange val="0"/>
                </c:ext>
                <c:ext xmlns:c16="http://schemas.microsoft.com/office/drawing/2014/chart" uri="{C3380CC4-5D6E-409C-BE32-E72D297353CC}">
                  <c16:uniqueId val="{00000003-25F5-476A-AF9B-BEBBD67F00A8}"/>
                </c:ext>
              </c:extLst>
            </c:dLbl>
            <c:spPr>
              <a:noFill/>
              <a:ln>
                <a:noFill/>
              </a:ln>
              <a:effectLst/>
            </c:spPr>
            <c:txPr>
              <a:bodyPr wrap="square" lIns="38100" tIns="19050" rIns="38100" bIns="19050" anchor="ctr" anchorCtr="0">
                <a:spAutoFit/>
              </a:bodyPr>
              <a:lstStyle/>
              <a:p>
                <a:pPr algn="ctr">
                  <a:defRPr lang="en-US" sz="1000" b="1" i="0" u="none" strike="noStrike" kern="1200" baseline="0">
                    <a:solidFill>
                      <a:srgbClr val="000000"/>
                    </a:solidFill>
                    <a:latin typeface="Arial"/>
                    <a:ea typeface="Arial"/>
                    <a:cs typeface="Arial"/>
                  </a:defRPr>
                </a:pPr>
                <a:endParaRPr lang="en-US"/>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Bode!$AM$8</c:f>
              <c:numCache>
                <c:formatCode>_(* #,##0.0_);_(* \(#,##0.0\);_(* "-"?_);_(@_)</c:formatCode>
                <c:ptCount val="1"/>
                <c:pt idx="0">
                  <c:v>70549.972846740216</c:v>
                </c:pt>
              </c:numCache>
            </c:numRef>
          </c:xVal>
          <c:yVal>
            <c:numRef>
              <c:f>Bode!$AN$8</c:f>
              <c:numCache>
                <c:formatCode>_(* #,##0.0_);_(* \(#,##0.0\);_(* "-"?_);_(@_)</c:formatCode>
                <c:ptCount val="1"/>
                <c:pt idx="0">
                  <c:v>-10.822006907657606</c:v>
                </c:pt>
              </c:numCache>
            </c:numRef>
          </c:yVal>
          <c:smooth val="0"/>
          <c:extLst>
            <c:ext xmlns:c16="http://schemas.microsoft.com/office/drawing/2014/chart" uri="{C3380CC4-5D6E-409C-BE32-E72D297353CC}">
              <c16:uniqueId val="{00000004-25F5-476A-AF9B-BEBBD67F00A8}"/>
            </c:ext>
          </c:extLst>
        </c:ser>
        <c:ser>
          <c:idx val="4"/>
          <c:order val="4"/>
          <c:tx>
            <c:v>fZCOMP</c:v>
          </c:tx>
          <c:spPr>
            <a:effectLst>
              <a:glow rad="127000">
                <a:schemeClr val="accent4"/>
              </a:glow>
            </a:effectLst>
          </c:spPr>
          <c:marker>
            <c:symbol val="circle"/>
            <c:size val="12"/>
            <c:spPr>
              <a:noFill/>
              <a:ln w="25400">
                <a:solidFill>
                  <a:schemeClr val="tx1"/>
                </a:solidFill>
              </a:ln>
              <a:effectLst>
                <a:glow rad="127000">
                  <a:schemeClr val="accent4"/>
                </a:glow>
              </a:effectLst>
            </c:spPr>
          </c:marker>
          <c:dLbls>
            <c:spPr>
              <a:noFill/>
              <a:ln>
                <a:noFill/>
              </a:ln>
              <a:effectLst/>
            </c:spPr>
            <c:txPr>
              <a:bodyPr wrap="square" lIns="38100" tIns="19050" rIns="38100" bIns="19050" anchor="ctr">
                <a:spAutoFit/>
              </a:bodyPr>
              <a:lstStyle/>
              <a:p>
                <a:pPr>
                  <a:defRPr sz="1000" b="1"/>
                </a:pPr>
                <a:endParaRPr lang="en-US"/>
              </a:p>
            </c:txPr>
            <c:dLblPos val="l"/>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Bode!$AP$8</c:f>
              <c:numCache>
                <c:formatCode>_(* #,##0.0_);_(* \(#,##0.0\);_(* "-"?_);_(@_)</c:formatCode>
                <c:ptCount val="1"/>
                <c:pt idx="0">
                  <c:v>2812.1737998612584</c:v>
                </c:pt>
              </c:numCache>
            </c:numRef>
          </c:xVal>
          <c:yVal>
            <c:numRef>
              <c:f>Bode!$AQ$8</c:f>
              <c:numCache>
                <c:formatCode>_(* #,##0.0_);_(* \(#,##0.0\);_(* "-"?_);_(@_)</c:formatCode>
                <c:ptCount val="1"/>
                <c:pt idx="0">
                  <c:v>16.52358692548755</c:v>
                </c:pt>
              </c:numCache>
            </c:numRef>
          </c:yVal>
          <c:smooth val="0"/>
          <c:extLst>
            <c:ext xmlns:c16="http://schemas.microsoft.com/office/drawing/2014/chart" uri="{C3380CC4-5D6E-409C-BE32-E72D297353CC}">
              <c16:uniqueId val="{00000006-25F5-476A-AF9B-BEBBD67F00A8}"/>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Bode!$AF$11</c:f>
              <c:strCache>
                <c:ptCount val="1"/>
                <c:pt idx="0">
                  <c:v>OPENLOOP_PHASE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Bode!$AF$12:$AF$138</c:f>
              <c:numCache>
                <c:formatCode>_(* #,##0.00_);_(* \(#,##0.00\);_(* "-"??_);_(@_)</c:formatCode>
                <c:ptCount val="127"/>
                <c:pt idx="0">
                  <c:v>-82.560550417940149</c:v>
                </c:pt>
                <c:pt idx="1">
                  <c:v>-85.021440109500503</c:v>
                </c:pt>
                <c:pt idx="2">
                  <c:v>-86.258375055708044</c:v>
                </c:pt>
                <c:pt idx="3">
                  <c:v>-87.001467059521559</c:v>
                </c:pt>
                <c:pt idx="4">
                  <c:v>-87.496752104142715</c:v>
                </c:pt>
                <c:pt idx="5">
                  <c:v>-87.850171955663612</c:v>
                </c:pt>
                <c:pt idx="6">
                  <c:v>-88.114830365896466</c:v>
                </c:pt>
                <c:pt idx="7">
                  <c:v>-88.320273789163494</c:v>
                </c:pt>
                <c:pt idx="8">
                  <c:v>-88.484247415405974</c:v>
                </c:pt>
                <c:pt idx="9">
                  <c:v>-88.618051226001342</c:v>
                </c:pt>
                <c:pt idx="10">
                  <c:v>-88.729222178196267</c:v>
                </c:pt>
                <c:pt idx="11">
                  <c:v>-88.822980037535487</c:v>
                </c:pt>
                <c:pt idx="12">
                  <c:v>-88.903054229999043</c:v>
                </c:pt>
                <c:pt idx="13">
                  <c:v>-88.972180253938831</c:v>
                </c:pt>
                <c:pt idx="14">
                  <c:v>-89.032410083332692</c:v>
                </c:pt>
                <c:pt idx="15">
                  <c:v>-89.085313091674934</c:v>
                </c:pt>
                <c:pt idx="16">
                  <c:v>-89.132110041393346</c:v>
                </c:pt>
                <c:pt idx="17">
                  <c:v>-89.173764783300484</c:v>
                </c:pt>
                <c:pt idx="18">
                  <c:v>-89.211048459253931</c:v>
                </c:pt>
                <c:pt idx="19">
                  <c:v>-89.439626224747499</c:v>
                </c:pt>
                <c:pt idx="20">
                  <c:v>-89.543604459485181</c:v>
                </c:pt>
                <c:pt idx="21">
                  <c:v>-89.597739060401352</c:v>
                </c:pt>
                <c:pt idx="22">
                  <c:v>-89.626951522257926</c:v>
                </c:pt>
                <c:pt idx="23">
                  <c:v>-89.641923099785984</c:v>
                </c:pt>
                <c:pt idx="24">
                  <c:v>-89.647994649991688</c:v>
                </c:pt>
                <c:pt idx="25">
                  <c:v>-89.648133445209183</c:v>
                </c:pt>
                <c:pt idx="26">
                  <c:v>-89.644119942605997</c:v>
                </c:pt>
                <c:pt idx="27">
                  <c:v>-89.637087237377827</c:v>
                </c:pt>
                <c:pt idx="28">
                  <c:v>-89.627790793526557</c:v>
                </c:pt>
                <c:pt idx="29">
                  <c:v>-89.616753685093471</c:v>
                </c:pt>
                <c:pt idx="30">
                  <c:v>-89.60434959181103</c:v>
                </c:pt>
                <c:pt idx="31">
                  <c:v>-89.59085259679199</c:v>
                </c:pt>
                <c:pt idx="32">
                  <c:v>-89.576468310228222</c:v>
                </c:pt>
                <c:pt idx="33">
                  <c:v>-89.561354008326134</c:v>
                </c:pt>
                <c:pt idx="34">
                  <c:v>-89.545632059301624</c:v>
                </c:pt>
                <c:pt idx="35">
                  <c:v>-89.529399109605691</c:v>
                </c:pt>
                <c:pt idx="36">
                  <c:v>-89.512732514294385</c:v>
                </c:pt>
                <c:pt idx="37">
                  <c:v>-89.331877626151325</c:v>
                </c:pt>
                <c:pt idx="38">
                  <c:v>-89.139130293038249</c:v>
                </c:pt>
                <c:pt idx="39">
                  <c:v>-88.94215368131988</c:v>
                </c:pt>
                <c:pt idx="40">
                  <c:v>-88.743622637281177</c:v>
                </c:pt>
                <c:pt idx="41">
                  <c:v>-88.544783583626042</c:v>
                </c:pt>
                <c:pt idx="42">
                  <c:v>-88.346344009841658</c:v>
                </c:pt>
                <c:pt idx="43">
                  <c:v>-88.148768599080171</c:v>
                </c:pt>
                <c:pt idx="44">
                  <c:v>-87.952397403360237</c:v>
                </c:pt>
                <c:pt idx="45">
                  <c:v>-87.757499361445767</c:v>
                </c:pt>
                <c:pt idx="46">
                  <c:v>-87.564298922649954</c:v>
                </c:pt>
                <c:pt idx="47">
                  <c:v>-87.372990298232253</c:v>
                </c:pt>
                <c:pt idx="48">
                  <c:v>-87.183745560713646</c:v>
                </c:pt>
                <c:pt idx="49">
                  <c:v>-86.996719490460734</c:v>
                </c:pt>
                <c:pt idx="50">
                  <c:v>-86.812052615810359</c:v>
                </c:pt>
                <c:pt idx="51">
                  <c:v>-86.629873209239747</c:v>
                </c:pt>
                <c:pt idx="52">
                  <c:v>-86.450298660355799</c:v>
                </c:pt>
                <c:pt idx="53">
                  <c:v>-86.273436466846007</c:v>
                </c:pt>
                <c:pt idx="54">
                  <c:v>-86.099384985969266</c:v>
                </c:pt>
                <c:pt idx="55">
                  <c:v>-84.529548803544813</c:v>
                </c:pt>
                <c:pt idx="56">
                  <c:v>-83.297546112783209</c:v>
                </c:pt>
                <c:pt idx="57">
                  <c:v>-82.40863056679278</c:v>
                </c:pt>
                <c:pt idx="58">
                  <c:v>-81.84130473584122</c:v>
                </c:pt>
                <c:pt idx="59">
                  <c:v>-81.561300227056336</c:v>
                </c:pt>
                <c:pt idx="60">
                  <c:v>-81.529544738469411</c:v>
                </c:pt>
                <c:pt idx="61">
                  <c:v>-81.706685495346463</c:v>
                </c:pt>
                <c:pt idx="62">
                  <c:v>-82.055705553297329</c:v>
                </c:pt>
                <c:pt idx="63">
                  <c:v>-82.543350834825574</c:v>
                </c:pt>
                <c:pt idx="64">
                  <c:v>-83.140746073887115</c:v>
                </c:pt>
                <c:pt idx="65">
                  <c:v>-83.823465052674905</c:v>
                </c:pt>
                <c:pt idx="66">
                  <c:v>-84.571264357115453</c:v>
                </c:pt>
                <c:pt idx="67">
                  <c:v>-85.367639046307715</c:v>
                </c:pt>
                <c:pt idx="68">
                  <c:v>-86.199310038499249</c:v>
                </c:pt>
                <c:pt idx="69">
                  <c:v>-87.055712103827261</c:v>
                </c:pt>
                <c:pt idx="70">
                  <c:v>-87.928520818927467</c:v>
                </c:pt>
                <c:pt idx="71">
                  <c:v>-88.811236176836204</c:v>
                </c:pt>
                <c:pt idx="72">
                  <c:v>-89.698827733909155</c:v>
                </c:pt>
                <c:pt idx="73">
                  <c:v>-98.330773311559625</c:v>
                </c:pt>
                <c:pt idx="74">
                  <c:v>-106.16269941116717</c:v>
                </c:pt>
                <c:pt idx="75">
                  <c:v>-113.33685510560613</c:v>
                </c:pt>
                <c:pt idx="76">
                  <c:v>-120.04727969037164</c:v>
                </c:pt>
                <c:pt idx="77">
                  <c:v>-126.41450309336616</c:v>
                </c:pt>
                <c:pt idx="78">
                  <c:v>-132.50881577236044</c:v>
                </c:pt>
                <c:pt idx="79">
                  <c:v>-138.37207883112347</c:v>
                </c:pt>
                <c:pt idx="80">
                  <c:v>-144.03037450961443</c:v>
                </c:pt>
                <c:pt idx="81">
                  <c:v>-149.50094556405949</c:v>
                </c:pt>
                <c:pt idx="82">
                  <c:v>-154.79602058860837</c:v>
                </c:pt>
                <c:pt idx="83">
                  <c:v>-159.92495292027462</c:v>
                </c:pt>
                <c:pt idx="84">
                  <c:v>-164.89542895143185</c:v>
                </c:pt>
                <c:pt idx="85">
                  <c:v>-169.71415215828748</c:v>
                </c:pt>
                <c:pt idx="86">
                  <c:v>-174.38722724276042</c:v>
                </c:pt>
                <c:pt idx="87">
                  <c:v>-178.92037158567393</c:v>
                </c:pt>
                <c:pt idx="88">
                  <c:v>-183.31902758394787</c:v>
                </c:pt>
                <c:pt idx="89">
                  <c:v>-187.58841895942851</c:v>
                </c:pt>
                <c:pt idx="90">
                  <c:v>-191.73357636854905</c:v>
                </c:pt>
                <c:pt idx="91">
                  <c:v>-227.32928098688498</c:v>
                </c:pt>
                <c:pt idx="92">
                  <c:v>-254.73564710692347</c:v>
                </c:pt>
                <c:pt idx="93">
                  <c:v>-276.42847029218512</c:v>
                </c:pt>
                <c:pt idx="94">
                  <c:v>-293.99427850739357</c:v>
                </c:pt>
                <c:pt idx="95">
                  <c:v>-308.49168264579919</c:v>
                </c:pt>
                <c:pt idx="96">
                  <c:v>-320.65064271357602</c:v>
                </c:pt>
                <c:pt idx="97">
                  <c:v>-330.9881832035378</c:v>
                </c:pt>
                <c:pt idx="98">
                  <c:v>-339.87952107592844</c:v>
                </c:pt>
                <c:pt idx="99">
                  <c:v>-347.60320853414765</c:v>
                </c:pt>
                <c:pt idx="100">
                  <c:v>-354.37040168668182</c:v>
                </c:pt>
                <c:pt idx="101">
                  <c:v>-360.3442098575174</c:v>
                </c:pt>
                <c:pt idx="102">
                  <c:v>-365.65274838279458</c:v>
                </c:pt>
                <c:pt idx="103">
                  <c:v>-370.39813068085436</c:v>
                </c:pt>
                <c:pt idx="104">
                  <c:v>-374.66279466888</c:v>
                </c:pt>
                <c:pt idx="105">
                  <c:v>-378.51404517145511</c:v>
                </c:pt>
                <c:pt idx="106">
                  <c:v>-382.00737812144939</c:v>
                </c:pt>
                <c:pt idx="107">
                  <c:v>-385.18895607765563</c:v>
                </c:pt>
                <c:pt idx="108">
                  <c:v>-388.09748098431737</c:v>
                </c:pt>
                <c:pt idx="109">
                  <c:v>-407.48090259152571</c:v>
                </c:pt>
                <c:pt idx="110">
                  <c:v>-417.7430143393625</c:v>
                </c:pt>
                <c:pt idx="111">
                  <c:v>-424.05174346290266</c:v>
                </c:pt>
                <c:pt idx="112">
                  <c:v>-428.31032455287698</c:v>
                </c:pt>
                <c:pt idx="113">
                  <c:v>-431.37420747456002</c:v>
                </c:pt>
                <c:pt idx="114">
                  <c:v>-433.6825926715855</c:v>
                </c:pt>
                <c:pt idx="115">
                  <c:v>-435.48348154258815</c:v>
                </c:pt>
                <c:pt idx="116">
                  <c:v>-436.92727869751275</c:v>
                </c:pt>
                <c:pt idx="117">
                  <c:v>-438.11041138391187</c:v>
                </c:pt>
                <c:pt idx="118">
                  <c:v>-439.09751144556515</c:v>
                </c:pt>
                <c:pt idx="119">
                  <c:v>-439.93350426312213</c:v>
                </c:pt>
                <c:pt idx="120">
                  <c:v>-440.65057846611364</c:v>
                </c:pt>
                <c:pt idx="121">
                  <c:v>-441.27239614555083</c:v>
                </c:pt>
                <c:pt idx="122">
                  <c:v>-441.81673813240434</c:v>
                </c:pt>
                <c:pt idx="123">
                  <c:v>-442.29722282330511</c:v>
                </c:pt>
                <c:pt idx="124">
                  <c:v>-442.7244559427927</c:v>
                </c:pt>
                <c:pt idx="125">
                  <c:v>-443.10681940443595</c:v>
                </c:pt>
                <c:pt idx="126">
                  <c:v>-443.45102478447393</c:v>
                </c:pt>
              </c:numCache>
            </c:numRef>
          </c:yVal>
          <c:smooth val="0"/>
          <c:extLst>
            <c:ext xmlns:c16="http://schemas.microsoft.com/office/drawing/2014/chart" uri="{C3380CC4-5D6E-409C-BE32-E72D297353CC}">
              <c16:uniqueId val="{00000009-25F5-476A-AF9B-BEBBD67F00A8}"/>
            </c:ext>
          </c:extLst>
        </c:ser>
        <c:dLbls>
          <c:showLegendKey val="0"/>
          <c:showVal val="0"/>
          <c:showCatName val="0"/>
          <c:showSerName val="0"/>
          <c:showPercent val="0"/>
          <c:showBubbleSize val="0"/>
        </c:dLbls>
        <c:axId val="80980608"/>
        <c:axId val="80982400"/>
      </c:scatterChart>
      <c:valAx>
        <c:axId val="80968320"/>
        <c:scaling>
          <c:logBase val="10"/>
          <c:orientation val="minMax"/>
          <c:max val="1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400" b="1" i="0" u="none" strike="noStrike" baseline="0">
                    <a:solidFill>
                      <a:srgbClr val="000000"/>
                    </a:solidFill>
                    <a:latin typeface="Arial"/>
                    <a:ea typeface="Arial"/>
                    <a:cs typeface="Arial"/>
                  </a:defRPr>
                </a:pPr>
                <a:r>
                  <a:rPr lang="en-US" sz="1400"/>
                  <a:t>Frequency (Hz)</a:t>
                </a:r>
              </a:p>
            </c:rich>
          </c:tx>
          <c:layout>
            <c:manualLayout>
              <c:xMode val="edge"/>
              <c:yMode val="edge"/>
              <c:x val="0.42690764520080698"/>
              <c:y val="0.9000083922042877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100"/>
          <c:min val="-40"/>
        </c:scaling>
        <c:delete val="0"/>
        <c:axPos val="l"/>
        <c:majorGridlines>
          <c:spPr>
            <a:ln w="3175">
              <a:solidFill>
                <a:srgbClr val="000000"/>
              </a:solidFill>
              <a:prstDash val="solid"/>
            </a:ln>
          </c:spPr>
        </c:majorGridlines>
        <c:title>
          <c:tx>
            <c:rich>
              <a:bodyPr/>
              <a:lstStyle/>
              <a:p>
                <a:pPr>
                  <a:defRPr sz="1400" b="1" i="0" u="none" strike="noStrike" baseline="0">
                    <a:solidFill>
                      <a:srgbClr val="0000FF"/>
                    </a:solidFill>
                    <a:latin typeface="Arial"/>
                    <a:ea typeface="Arial"/>
                    <a:cs typeface="Arial"/>
                  </a:defRPr>
                </a:pPr>
                <a:r>
                  <a:rPr lang="en-US" sz="1400">
                    <a:solidFill>
                      <a:srgbClr val="0000FF"/>
                    </a:solidFill>
                  </a:rPr>
                  <a:t>Loop Gain (dB)</a:t>
                </a:r>
              </a:p>
            </c:rich>
          </c:tx>
          <c:layout>
            <c:manualLayout>
              <c:xMode val="edge"/>
              <c:yMode val="edge"/>
              <c:x val="1.7212827297800173E-2"/>
              <c:y val="0.351723522057510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FF"/>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b"/>
        <c:numFmt formatCode="General" sourceLinked="1"/>
        <c:majorTickMark val="out"/>
        <c:minorTickMark val="none"/>
        <c:tickLblPos val="none"/>
        <c:crossAx val="80982400"/>
        <c:crossesAt val="0"/>
        <c:crossBetween val="midCat"/>
      </c:valAx>
      <c:valAx>
        <c:axId val="80982400"/>
        <c:scaling>
          <c:orientation val="minMax"/>
          <c:max val="-45"/>
          <c:min val="-202.5"/>
        </c:scaling>
        <c:delete val="0"/>
        <c:axPos val="r"/>
        <c:title>
          <c:tx>
            <c:rich>
              <a:bodyPr/>
              <a:lstStyle/>
              <a:p>
                <a:pPr>
                  <a:defRPr sz="1400" b="1" i="0" u="none" strike="noStrike" baseline="0">
                    <a:solidFill>
                      <a:srgbClr val="FF0000"/>
                    </a:solidFill>
                    <a:latin typeface="Arial"/>
                    <a:ea typeface="Arial"/>
                    <a:cs typeface="Arial"/>
                  </a:defRPr>
                </a:pPr>
                <a:r>
                  <a:rPr lang="en-US" sz="1400">
                    <a:solidFill>
                      <a:srgbClr val="FF0000"/>
                    </a:solidFill>
                  </a:rPr>
                  <a:t>Loop Phase (°)</a:t>
                </a:r>
              </a:p>
            </c:rich>
          </c:tx>
          <c:layout>
            <c:manualLayout>
              <c:xMode val="edge"/>
              <c:yMode val="edge"/>
              <c:x val="0.95718172965910109"/>
              <c:y val="0.354532758646660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22.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COMP2VOUT</a:t>
            </a:r>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Bode!$I$11</c:f>
              <c:strCache>
                <c:ptCount val="1"/>
                <c:pt idx="0">
                  <c:v>COMP2VOUT_GAIN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Bode!$I$12:$I$138</c:f>
              <c:numCache>
                <c:formatCode>General</c:formatCode>
                <c:ptCount val="127"/>
                <c:pt idx="0">
                  <c:v>16.221668641109282</c:v>
                </c:pt>
                <c:pt idx="1">
                  <c:v>16.221668248471168</c:v>
                </c:pt>
                <c:pt idx="2">
                  <c:v>16.221667698777939</c:v>
                </c:pt>
                <c:pt idx="3">
                  <c:v>16.221666992029718</c:v>
                </c:pt>
                <c:pt idx="4">
                  <c:v>16.221666128226694</c:v>
                </c:pt>
                <c:pt idx="5">
                  <c:v>16.221665107369049</c:v>
                </c:pt>
                <c:pt idx="6">
                  <c:v>16.221663929457041</c:v>
                </c:pt>
                <c:pt idx="7">
                  <c:v>16.221662594490944</c:v>
                </c:pt>
                <c:pt idx="8">
                  <c:v>16.221661102471078</c:v>
                </c:pt>
                <c:pt idx="9">
                  <c:v>16.221659453397784</c:v>
                </c:pt>
                <c:pt idx="10">
                  <c:v>16.221657647271456</c:v>
                </c:pt>
                <c:pt idx="11">
                  <c:v>16.221655684092553</c:v>
                </c:pt>
                <c:pt idx="12">
                  <c:v>16.221653563861508</c:v>
                </c:pt>
                <c:pt idx="13">
                  <c:v>16.221651286578833</c:v>
                </c:pt>
                <c:pt idx="14">
                  <c:v>16.221648852245071</c:v>
                </c:pt>
                <c:pt idx="15">
                  <c:v>16.221646260860791</c:v>
                </c:pt>
                <c:pt idx="16">
                  <c:v>16.221643512426621</c:v>
                </c:pt>
                <c:pt idx="17">
                  <c:v>16.221640606943225</c:v>
                </c:pt>
                <c:pt idx="18">
                  <c:v>16.221637544411255</c:v>
                </c:pt>
                <c:pt idx="19">
                  <c:v>16.221598281599825</c:v>
                </c:pt>
                <c:pt idx="20">
                  <c:v>16.221543314969075</c:v>
                </c:pt>
                <c:pt idx="21">
                  <c:v>16.221472645824136</c:v>
                </c:pt>
                <c:pt idx="22">
                  <c:v>16.221386275842956</c:v>
                </c:pt>
                <c:pt idx="23">
                  <c:v>16.221284207076096</c:v>
                </c:pt>
                <c:pt idx="24">
                  <c:v>16.221166441946636</c:v>
                </c:pt>
                <c:pt idx="25">
                  <c:v>16.221032983250051</c:v>
                </c:pt>
                <c:pt idx="26">
                  <c:v>16.220883834153966</c:v>
                </c:pt>
                <c:pt idx="27">
                  <c:v>16.220718998198038</c:v>
                </c:pt>
                <c:pt idx="28">
                  <c:v>16.220538479293683</c:v>
                </c:pt>
                <c:pt idx="29">
                  <c:v>16.220342281723791</c:v>
                </c:pt>
                <c:pt idx="30">
                  <c:v>16.220130410142573</c:v>
                </c:pt>
                <c:pt idx="31">
                  <c:v>16.21990286957513</c:v>
                </c:pt>
                <c:pt idx="32">
                  <c:v>16.219659665417229</c:v>
                </c:pt>
                <c:pt idx="33">
                  <c:v>16.219400803434901</c:v>
                </c:pt>
                <c:pt idx="34">
                  <c:v>16.21912628976413</c:v>
                </c:pt>
                <c:pt idx="35">
                  <c:v>16.218836130910404</c:v>
                </c:pt>
                <c:pt idx="36">
                  <c:v>16.21853033374839</c:v>
                </c:pt>
                <c:pt idx="37">
                  <c:v>16.214614030575504</c:v>
                </c:pt>
                <c:pt idx="38">
                  <c:v>16.209144179724234</c:v>
                </c:pt>
                <c:pt idx="39">
                  <c:v>16.202133656514786</c:v>
                </c:pt>
                <c:pt idx="40">
                  <c:v>16.193598875912876</c:v>
                </c:pt>
                <c:pt idx="41">
                  <c:v>16.183559690631959</c:v>
                </c:pt>
                <c:pt idx="42">
                  <c:v>16.17203926915893</c:v>
                </c:pt>
                <c:pt idx="43">
                  <c:v>16.159063955161344</c:v>
                </c:pt>
                <c:pt idx="44">
                  <c:v>16.14466310992756</c:v>
                </c:pt>
                <c:pt idx="45">
                  <c:v>16.128868939652897</c:v>
                </c:pt>
                <c:pt idx="46">
                  <c:v>16.11171630951257</c:v>
                </c:pt>
                <c:pt idx="47">
                  <c:v>16.093242546554222</c:v>
                </c:pt>
                <c:pt idx="48">
                  <c:v>16.073487233499844</c:v>
                </c:pt>
                <c:pt idx="49">
                  <c:v>16.05249199556846</c:v>
                </c:pt>
                <c:pt idx="50">
                  <c:v>16.03030028241913</c:v>
                </c:pt>
                <c:pt idx="51">
                  <c:v>16.006957147270374</c:v>
                </c:pt>
                <c:pt idx="52">
                  <c:v>15.982509025180649</c:v>
                </c:pt>
                <c:pt idx="53">
                  <c:v>15.957003512376605</c:v>
                </c:pt>
                <c:pt idx="54">
                  <c:v>15.930489148396882</c:v>
                </c:pt>
                <c:pt idx="55">
                  <c:v>15.620806424730958</c:v>
                </c:pt>
                <c:pt idx="56">
                  <c:v>15.263508288898038</c:v>
                </c:pt>
                <c:pt idx="57">
                  <c:v>14.898102031121123</c:v>
                </c:pt>
                <c:pt idx="58">
                  <c:v>14.550448091164691</c:v>
                </c:pt>
                <c:pt idx="59">
                  <c:v>14.234120118437927</c:v>
                </c:pt>
                <c:pt idx="60">
                  <c:v>13.954091213235714</c:v>
                </c:pt>
                <c:pt idx="61">
                  <c:v>13.710228143913932</c:v>
                </c:pt>
                <c:pt idx="62">
                  <c:v>13.499795177910055</c:v>
                </c:pt>
                <c:pt idx="63">
                  <c:v>13.319001320428725</c:v>
                </c:pt>
                <c:pt idx="64">
                  <c:v>13.163859240818605</c:v>
                </c:pt>
                <c:pt idx="65">
                  <c:v>13.030612686746165</c:v>
                </c:pt>
                <c:pt idx="66">
                  <c:v>12.915915997054237</c:v>
                </c:pt>
                <c:pt idx="67">
                  <c:v>12.816881208315472</c:v>
                </c:pt>
                <c:pt idx="68">
                  <c:v>12.73106013684502</c:v>
                </c:pt>
                <c:pt idx="69">
                  <c:v>12.656398618887419</c:v>
                </c:pt>
                <c:pt idx="70">
                  <c:v>12.591182355725341</c:v>
                </c:pt>
                <c:pt idx="71">
                  <c:v>12.533983857625394</c:v>
                </c:pt>
                <c:pt idx="72">
                  <c:v>12.483614607993063</c:v>
                </c:pt>
                <c:pt idx="73">
                  <c:v>12.199559644483903</c:v>
                </c:pt>
                <c:pt idx="74">
                  <c:v>12.088878262119644</c:v>
                </c:pt>
                <c:pt idx="75">
                  <c:v>12.035399941662902</c:v>
                </c:pt>
                <c:pt idx="76">
                  <c:v>12.00572053328319</c:v>
                </c:pt>
                <c:pt idx="77">
                  <c:v>11.987604592612715</c:v>
                </c:pt>
                <c:pt idx="78">
                  <c:v>11.975756546342415</c:v>
                </c:pt>
                <c:pt idx="79">
                  <c:v>11.967592154434829</c:v>
                </c:pt>
                <c:pt idx="80">
                  <c:v>11.96173140174686</c:v>
                </c:pt>
                <c:pt idx="81">
                  <c:v>11.957383879855053</c:v>
                </c:pt>
                <c:pt idx="82">
                  <c:v>11.954070815982531</c:v>
                </c:pt>
                <c:pt idx="83">
                  <c:v>11.951488626262528</c:v>
                </c:pt>
                <c:pt idx="84">
                  <c:v>11.949437336727811</c:v>
                </c:pt>
                <c:pt idx="85">
                  <c:v>11.947780910013554</c:v>
                </c:pt>
                <c:pt idx="86">
                  <c:v>11.946424214028259</c:v>
                </c:pt>
                <c:pt idx="87">
                  <c:v>11.945299112756249</c:v>
                </c:pt>
                <c:pt idx="88">
                  <c:v>11.944355774497126</c:v>
                </c:pt>
                <c:pt idx="89">
                  <c:v>11.943557076270032</c:v>
                </c:pt>
                <c:pt idx="90">
                  <c:v>11.942874905793811</c:v>
                </c:pt>
                <c:pt idx="91">
                  <c:v>11.939363165137344</c:v>
                </c:pt>
                <c:pt idx="92">
                  <c:v>11.938132584984558</c:v>
                </c:pt>
                <c:pt idx="93">
                  <c:v>11.937562743590755</c:v>
                </c:pt>
                <c:pt idx="94">
                  <c:v>11.937253131492927</c:v>
                </c:pt>
                <c:pt idx="95">
                  <c:v>11.937066421808725</c:v>
                </c:pt>
                <c:pt idx="96">
                  <c:v>11.936945230638599</c:v>
                </c:pt>
                <c:pt idx="97">
                  <c:v>11.936862138093591</c:v>
                </c:pt>
                <c:pt idx="98">
                  <c:v>11.936802700349954</c:v>
                </c:pt>
                <c:pt idx="99">
                  <c:v>11.93675872199548</c:v>
                </c:pt>
                <c:pt idx="100">
                  <c:v>11.936725272197556</c:v>
                </c:pt>
                <c:pt idx="101">
                  <c:v>11.936699239999054</c:v>
                </c:pt>
                <c:pt idx="102">
                  <c:v>11.936678584003417</c:v>
                </c:pt>
                <c:pt idx="103">
                  <c:v>11.936661919643486</c:v>
                </c:pt>
                <c:pt idx="104">
                  <c:v>11.936648280981796</c:v>
                </c:pt>
                <c:pt idx="105">
                  <c:v>11.936636977521619</c:v>
                </c:pt>
                <c:pt idx="106">
                  <c:v>11.936627505062487</c:v>
                </c:pt>
                <c:pt idx="107">
                  <c:v>11.936619488485366</c:v>
                </c:pt>
                <c:pt idx="108">
                  <c:v>11.936612644036179</c:v>
                </c:pt>
                <c:pt idx="109">
                  <c:v>11.936577446424558</c:v>
                </c:pt>
                <c:pt idx="110">
                  <c:v>11.936565127112985</c:v>
                </c:pt>
                <c:pt idx="111">
                  <c:v>11.936559425005724</c:v>
                </c:pt>
                <c:pt idx="112">
                  <c:v>11.936556327557897</c:v>
                </c:pt>
                <c:pt idx="113">
                  <c:v>11.936554459892184</c:v>
                </c:pt>
                <c:pt idx="114">
                  <c:v>11.936553247704346</c:v>
                </c:pt>
                <c:pt idx="115">
                  <c:v>11.936552416631987</c:v>
                </c:pt>
                <c:pt idx="116">
                  <c:v>11.936551822170561</c:v>
                </c:pt>
                <c:pt idx="117">
                  <c:v>11.936551382336216</c:v>
                </c:pt>
                <c:pt idx="118">
                  <c:v>11.936551047806105</c:v>
                </c:pt>
                <c:pt idx="119">
                  <c:v>11.936550787462943</c:v>
                </c:pt>
                <c:pt idx="120">
                  <c:v>11.936550580888593</c:v>
                </c:pt>
                <c:pt idx="121">
                  <c:v>11.936550414234961</c:v>
                </c:pt>
                <c:pt idx="122">
                  <c:v>11.936550277841116</c:v>
                </c:pt>
                <c:pt idx="123">
                  <c:v>11.93655016480124</c:v>
                </c:pt>
                <c:pt idx="124">
                  <c:v>11.93655007007273</c:v>
                </c:pt>
                <c:pt idx="125">
                  <c:v>11.936549989904011</c:v>
                </c:pt>
                <c:pt idx="126">
                  <c:v>11.936549921457209</c:v>
                </c:pt>
              </c:numCache>
            </c:numRef>
          </c:yVal>
          <c:smooth val="0"/>
          <c:extLst>
            <c:ext xmlns:c16="http://schemas.microsoft.com/office/drawing/2014/chart" uri="{C3380CC4-5D6E-409C-BE32-E72D297353CC}">
              <c16:uniqueId val="{00000000-0C0E-4CFD-A6D1-FD0E785314D1}"/>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Bode!$J$11</c:f>
              <c:strCache>
                <c:ptCount val="1"/>
                <c:pt idx="0">
                  <c:v>COMP2VOUT_PHASE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Bode!$J$12:$J$138</c:f>
              <c:numCache>
                <c:formatCode>General</c:formatCode>
                <c:ptCount val="127"/>
                <c:pt idx="0">
                  <c:v>-7.5768446392133447E-3</c:v>
                </c:pt>
                <c:pt idx="1">
                  <c:v>-1.1365265875700572E-2</c:v>
                </c:pt>
                <c:pt idx="2">
                  <c:v>-1.5153685812444813E-2</c:v>
                </c:pt>
                <c:pt idx="3">
                  <c:v>-1.8942104016199484E-2</c:v>
                </c:pt>
                <c:pt idx="4">
                  <c:v>-2.2730520053718121E-2</c:v>
                </c:pt>
                <c:pt idx="5">
                  <c:v>-2.6518933491756186E-2</c:v>
                </c:pt>
                <c:pt idx="6">
                  <c:v>-3.0307343897068906E-2</c:v>
                </c:pt>
                <c:pt idx="7">
                  <c:v>-3.4095750836413093E-2</c:v>
                </c:pt>
                <c:pt idx="8">
                  <c:v>-3.7884153876548442E-2</c:v>
                </c:pt>
                <c:pt idx="9">
                  <c:v>-4.1672552584234406E-2</c:v>
                </c:pt>
                <c:pt idx="10">
                  <c:v>-4.5460946526232192E-2</c:v>
                </c:pt>
                <c:pt idx="11">
                  <c:v>-4.9249335269306853E-2</c:v>
                </c:pt>
                <c:pt idx="12">
                  <c:v>-5.303771838022403E-2</c:v>
                </c:pt>
                <c:pt idx="13">
                  <c:v>-5.6826095425751101E-2</c:v>
                </c:pt>
                <c:pt idx="14">
                  <c:v>-6.0614465972660417E-2</c:v>
                </c:pt>
                <c:pt idx="15">
                  <c:v>-6.4402829587724364E-2</c:v>
                </c:pt>
                <c:pt idx="16">
                  <c:v>-6.8191185837719673E-2</c:v>
                </c:pt>
                <c:pt idx="17">
                  <c:v>-7.1979534289424718E-2</c:v>
                </c:pt>
                <c:pt idx="18">
                  <c:v>-7.5767874509623051E-2</c:v>
                </c:pt>
                <c:pt idx="19">
                  <c:v>-0.11365072867350814</c:v>
                </c:pt>
                <c:pt idx="20">
                  <c:v>-0.15153228317800282</c:v>
                </c:pt>
                <c:pt idx="21">
                  <c:v>-0.18941210488617807</c:v>
                </c:pt>
                <c:pt idx="22">
                  <c:v>-0.22728976073211674</c:v>
                </c:pt>
                <c:pt idx="23">
                  <c:v>-0.2651648177386694</c:v>
                </c:pt>
                <c:pt idx="24">
                  <c:v>-0.30303684303517381</c:v>
                </c:pt>
                <c:pt idx="25">
                  <c:v>-0.34090540387518026</c:v>
                </c:pt>
                <c:pt idx="26">
                  <c:v>-0.37877006765419297</c:v>
                </c:pt>
                <c:pt idx="27">
                  <c:v>-0.41663040192732359</c:v>
                </c:pt>
                <c:pt idx="28">
                  <c:v>-0.45448597442700478</c:v>
                </c:pt>
                <c:pt idx="29">
                  <c:v>-0.49233635308067236</c:v>
                </c:pt>
                <c:pt idx="30">
                  <c:v>-0.53018110602837842</c:v>
                </c:pt>
                <c:pt idx="31">
                  <c:v>-0.56801980164044696</c:v>
                </c:pt>
                <c:pt idx="32">
                  <c:v>-0.60585200853510079</c:v>
                </c:pt>
                <c:pt idx="33">
                  <c:v>-0.64367729559600806</c:v>
                </c:pt>
                <c:pt idx="34">
                  <c:v>-0.68149523198987927</c:v>
                </c:pt>
                <c:pt idx="35">
                  <c:v>-0.71930538718399906</c:v>
                </c:pt>
                <c:pt idx="36">
                  <c:v>-0.75710733096372718</c:v>
                </c:pt>
                <c:pt idx="37">
                  <c:v>-1.1345807560790713</c:v>
                </c:pt>
                <c:pt idx="38">
                  <c:v>-1.5107628339990213</c:v>
                </c:pt>
                <c:pt idx="39">
                  <c:v>-1.8852313029045304</c:v>
                </c:pt>
                <c:pt idx="40">
                  <c:v>-2.2575708231171308</c:v>
                </c:pt>
                <c:pt idx="41">
                  <c:v>-2.6273745900922498</c:v>
                </c:pt>
                <c:pt idx="42">
                  <c:v>-2.9942458718472502</c:v>
                </c:pt>
                <c:pt idx="43">
                  <c:v>-3.3577994584147519</c:v>
                </c:pt>
                <c:pt idx="44">
                  <c:v>-3.7176630122715588</c:v>
                </c:pt>
                <c:pt idx="45">
                  <c:v>-4.0734783101907492</c:v>
                </c:pt>
                <c:pt idx="46">
                  <c:v>-4.4249023685658022</c:v>
                </c:pt>
                <c:pt idx="47">
                  <c:v>-4.7716084459212595</c:v>
                </c:pt>
                <c:pt idx="48">
                  <c:v>-5.1132869180204095</c:v>
                </c:pt>
                <c:pt idx="49">
                  <c:v>-5.4496460226738712</c:v>
                </c:pt>
                <c:pt idx="50">
                  <c:v>-5.7804124730052795</c:v>
                </c:pt>
                <c:pt idx="51">
                  <c:v>-6.1053319395159695</c:v>
                </c:pt>
                <c:pt idx="52">
                  <c:v>-6.4241694027836038</c:v>
                </c:pt>
                <c:pt idx="53">
                  <c:v>-6.7367093800029068</c:v>
                </c:pt>
                <c:pt idx="54">
                  <c:v>-7.0427560298176521</c:v>
                </c:pt>
                <c:pt idx="55">
                  <c:v>-9.716722373138623</c:v>
                </c:pt>
                <c:pt idx="56">
                  <c:v>-11.65994365204795</c:v>
                </c:pt>
                <c:pt idx="57">
                  <c:v>-12.929551294511457</c:v>
                </c:pt>
                <c:pt idx="58">
                  <c:v>-13.649299401132435</c:v>
                </c:pt>
                <c:pt idx="59">
                  <c:v>-13.955379527387748</c:v>
                </c:pt>
                <c:pt idx="60">
                  <c:v>-13.968206213081233</c:v>
                </c:pt>
                <c:pt idx="61">
                  <c:v>-13.783124840042685</c:v>
                </c:pt>
                <c:pt idx="62">
                  <c:v>-13.470915845472449</c:v>
                </c:pt>
                <c:pt idx="63">
                  <c:v>-13.081998670582738</c:v>
                </c:pt>
                <c:pt idx="64">
                  <c:v>-12.651259335036839</c:v>
                </c:pt>
                <c:pt idx="65">
                  <c:v>-12.202276913418128</c:v>
                </c:pt>
                <c:pt idx="66">
                  <c:v>-11.750632240770754</c:v>
                </c:pt>
                <c:pt idx="67">
                  <c:v>-11.30635272272775</c:v>
                </c:pt>
                <c:pt idx="68">
                  <c:v>-10.875660538309841</c:v>
                </c:pt>
                <c:pt idx="69">
                  <c:v>-10.462198603186904</c:v>
                </c:pt>
                <c:pt idx="70">
                  <c:v>-10.067880111824977</c:v>
                </c:pt>
                <c:pt idx="71">
                  <c:v>-9.6934727786702108</c:v>
                </c:pt>
                <c:pt idx="72">
                  <c:v>-9.3389985037958816</c:v>
                </c:pt>
                <c:pt idx="73">
                  <c:v>-6.7169948468983165</c:v>
                </c:pt>
                <c:pt idx="74">
                  <c:v>-5.1817474547681979</c:v>
                </c:pt>
                <c:pt idx="75">
                  <c:v>-4.2011427148232707</c:v>
                </c:pt>
                <c:pt idx="76">
                  <c:v>-3.5267526392009501</c:v>
                </c:pt>
                <c:pt idx="77">
                  <c:v>-3.0364351315588594</c:v>
                </c:pt>
                <c:pt idx="78">
                  <c:v>-2.6646108051834929</c:v>
                </c:pt>
                <c:pt idx="79">
                  <c:v>-2.373278657749891</c:v>
                </c:pt>
                <c:pt idx="80">
                  <c:v>-2.1390107319014091</c:v>
                </c:pt>
                <c:pt idx="81">
                  <c:v>-1.9466189200462269</c:v>
                </c:pt>
                <c:pt idx="82">
                  <c:v>-1.7858423867422317</c:v>
                </c:pt>
                <c:pt idx="83">
                  <c:v>-1.6495071782995741</c:v>
                </c:pt>
                <c:pt idx="84">
                  <c:v>-1.5324504272597137</c:v>
                </c:pt>
                <c:pt idx="85">
                  <c:v>-1.4308637867079557</c:v>
                </c:pt>
                <c:pt idx="86">
                  <c:v>-1.341877652773019</c:v>
                </c:pt>
                <c:pt idx="87">
                  <c:v>-1.2632893332299933</c:v>
                </c:pt>
                <c:pt idx="88">
                  <c:v>-1.1933803143643287</c:v>
                </c:pt>
                <c:pt idx="89">
                  <c:v>-1.1307903827484356</c:v>
                </c:pt>
                <c:pt idx="90">
                  <c:v>-1.0744290153520057</c:v>
                </c:pt>
                <c:pt idx="91">
                  <c:v>-0.71689743737732159</c:v>
                </c:pt>
                <c:pt idx="92">
                  <c:v>-0.53783377658970211</c:v>
                </c:pt>
                <c:pt idx="93">
                  <c:v>-0.43032655362969702</c:v>
                </c:pt>
                <c:pt idx="94">
                  <c:v>-0.35863241634977555</c:v>
                </c:pt>
                <c:pt idx="95">
                  <c:v>-0.30741314697036193</c:v>
                </c:pt>
                <c:pt idx="96">
                  <c:v>-0.26899441688146047</c:v>
                </c:pt>
                <c:pt idx="97">
                  <c:v>-0.23911097110320559</c:v>
                </c:pt>
                <c:pt idx="98">
                  <c:v>-0.21520297883372239</c:v>
                </c:pt>
                <c:pt idx="99">
                  <c:v>-0.19564116011528551</c:v>
                </c:pt>
                <c:pt idx="100">
                  <c:v>-0.17933918620160258</c:v>
                </c:pt>
                <c:pt idx="101">
                  <c:v>-0.16554491021927698</c:v>
                </c:pt>
                <c:pt idx="102">
                  <c:v>-0.15372104449436391</c:v>
                </c:pt>
                <c:pt idx="103">
                  <c:v>-0.14347355519227578</c:v>
                </c:pt>
                <c:pt idx="104">
                  <c:v>-0.13450690326968043</c:v>
                </c:pt>
                <c:pt idx="105">
                  <c:v>-0.12659507981807164</c:v>
                </c:pt>
                <c:pt idx="106">
                  <c:v>-0.11956229472443626</c:v>
                </c:pt>
                <c:pt idx="107">
                  <c:v>-0.11326976277175883</c:v>
                </c:pt>
                <c:pt idx="108">
                  <c:v>-0.10760645340011828</c:v>
                </c:pt>
                <c:pt idx="109">
                  <c:v>-7.173824847354901E-2</c:v>
                </c:pt>
                <c:pt idx="110">
                  <c:v>-5.380384723644277E-2</c:v>
                </c:pt>
                <c:pt idx="111">
                  <c:v>-4.3043137361474526E-2</c:v>
                </c:pt>
                <c:pt idx="112">
                  <c:v>-3.5869308101517831E-2</c:v>
                </c:pt>
                <c:pt idx="113">
                  <c:v>-3.0745135167225348E-2</c:v>
                </c:pt>
                <c:pt idx="114">
                  <c:v>-2.6902001186472006E-2</c:v>
                </c:pt>
                <c:pt idx="115">
                  <c:v>-2.3912894767177981E-2</c:v>
                </c:pt>
                <c:pt idx="116">
                  <c:v>-2.1521608395755357E-2</c:v>
                </c:pt>
                <c:pt idx="117">
                  <c:v>-1.9565100630293798E-2</c:v>
                </c:pt>
                <c:pt idx="118">
                  <c:v>-1.7934677034010225E-2</c:v>
                </c:pt>
                <c:pt idx="119">
                  <c:v>-1.6555087539053836E-2</c:v>
                </c:pt>
                <c:pt idx="120">
                  <c:v>-1.5372582057039143E-2</c:v>
                </c:pt>
                <c:pt idx="121">
                  <c:v>-1.4347743833603653E-2</c:v>
                </c:pt>
                <c:pt idx="122">
                  <c:v>-1.3451010289304809E-2</c:v>
                </c:pt>
                <c:pt idx="123">
                  <c:v>-1.2659774737279644E-2</c:v>
                </c:pt>
                <c:pt idx="124">
                  <c:v>-1.195645419344993E-2</c:v>
                </c:pt>
                <c:pt idx="125">
                  <c:v>-1.1327167351046458E-2</c:v>
                </c:pt>
                <c:pt idx="126">
                  <c:v>-1.0760809162267265E-2</c:v>
                </c:pt>
              </c:numCache>
            </c:numRef>
          </c:yVal>
          <c:smooth val="0"/>
          <c:extLst>
            <c:ext xmlns:c16="http://schemas.microsoft.com/office/drawing/2014/chart" uri="{C3380CC4-5D6E-409C-BE32-E72D297353CC}">
              <c16:uniqueId val="{00000001-0C0E-4CFD-A6D1-FD0E785314D1}"/>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30"/>
          <c:min val="-3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0"/>
          <c:min val="-9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VOUT2FB</a:t>
            </a:r>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Bode!$N$11</c:f>
              <c:strCache>
                <c:ptCount val="1"/>
                <c:pt idx="0">
                  <c:v>VOUT2FB_GAIN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Bode!$N$12:$N$138</c:f>
              <c:numCache>
                <c:formatCode>General</c:formatCode>
                <c:ptCount val="127"/>
                <c:pt idx="0">
                  <c:v>-13.979400082669686</c:v>
                </c:pt>
                <c:pt idx="1">
                  <c:v>-13.979400077606378</c:v>
                </c:pt>
                <c:pt idx="2">
                  <c:v>-13.979400070517746</c:v>
                </c:pt>
                <c:pt idx="3">
                  <c:v>-13.979400061403748</c:v>
                </c:pt>
                <c:pt idx="4">
                  <c:v>-13.97940005026447</c:v>
                </c:pt>
                <c:pt idx="5">
                  <c:v>-13.979400037099953</c:v>
                </c:pt>
                <c:pt idx="6">
                  <c:v>-13.979400021910118</c:v>
                </c:pt>
                <c:pt idx="7">
                  <c:v>-13.979400004695</c:v>
                </c:pt>
                <c:pt idx="8">
                  <c:v>-13.979399985454686</c:v>
                </c:pt>
                <c:pt idx="9">
                  <c:v>-13.979399964189094</c:v>
                </c:pt>
                <c:pt idx="10">
                  <c:v>-13.979399940898441</c:v>
                </c:pt>
                <c:pt idx="11">
                  <c:v>-13.979399915582505</c:v>
                </c:pt>
                <c:pt idx="12">
                  <c:v>-13.979399888241504</c:v>
                </c:pt>
                <c:pt idx="13">
                  <c:v>-13.979399858875441</c:v>
                </c:pt>
                <c:pt idx="14">
                  <c:v>-13.979399827484226</c:v>
                </c:pt>
                <c:pt idx="15">
                  <c:v>-13.97939979406808</c:v>
                </c:pt>
                <c:pt idx="16">
                  <c:v>-13.979399758626911</c:v>
                </c:pt>
                <c:pt idx="17">
                  <c:v>-13.97939972116081</c:v>
                </c:pt>
                <c:pt idx="18">
                  <c:v>-13.97939968166977</c:v>
                </c:pt>
                <c:pt idx="19">
                  <c:v>-13.979399175402262</c:v>
                </c:pt>
                <c:pt idx="20">
                  <c:v>-13.979398466713135</c:v>
                </c:pt>
                <c:pt idx="21">
                  <c:v>-13.979397555687669</c:v>
                </c:pt>
                <c:pt idx="22">
                  <c:v>-13.979396442435545</c:v>
                </c:pt>
                <c:pt idx="23">
                  <c:v>-13.979395127090822</c:v>
                </c:pt>
                <c:pt idx="24">
                  <c:v>-13.979393609811609</c:v>
                </c:pt>
                <c:pt idx="25">
                  <c:v>-13.979391890780411</c:v>
                </c:pt>
                <c:pt idx="26">
                  <c:v>-13.979389970203941</c:v>
                </c:pt>
                <c:pt idx="27">
                  <c:v>-13.979387848312793</c:v>
                </c:pt>
                <c:pt idx="28">
                  <c:v>-13.979385525361819</c:v>
                </c:pt>
                <c:pt idx="29">
                  <c:v>-13.979383001629696</c:v>
                </c:pt>
                <c:pt idx="30">
                  <c:v>-13.979380277418974</c:v>
                </c:pt>
                <c:pt idx="31">
                  <c:v>-13.979377353056162</c:v>
                </c:pt>
                <c:pt idx="32">
                  <c:v>-13.97937422889121</c:v>
                </c:pt>
                <c:pt idx="33">
                  <c:v>-13.97937090529785</c:v>
                </c:pt>
                <c:pt idx="34">
                  <c:v>-13.979367382673209</c:v>
                </c:pt>
                <c:pt idx="35">
                  <c:v>-13.979363661437853</c:v>
                </c:pt>
                <c:pt idx="36">
                  <c:v>-13.979359742035486</c:v>
                </c:pt>
                <c:pt idx="37">
                  <c:v>-13.979309762788779</c:v>
                </c:pt>
                <c:pt idx="38">
                  <c:v>-13.979240621719192</c:v>
                </c:pt>
                <c:pt idx="39">
                  <c:v>-13.979153119876045</c:v>
                </c:pt>
                <c:pt idx="40">
                  <c:v>-13.979048247728885</c:v>
                </c:pt>
                <c:pt idx="41">
                  <c:v>-13.978927158447849</c:v>
                </c:pt>
                <c:pt idx="42">
                  <c:v>-13.978791138135962</c:v>
                </c:pt>
                <c:pt idx="43">
                  <c:v>-13.978641574372491</c:v>
                </c:pt>
                <c:pt idx="44">
                  <c:v>-13.978479924394891</c:v>
                </c:pt>
                <c:pt idx="45">
                  <c:v>-13.978307684132652</c:v>
                </c:pt>
                <c:pt idx="46">
                  <c:v>-13.978126359130904</c:v>
                </c:pt>
                <c:pt idx="47">
                  <c:v>-13.977937438186029</c:v>
                </c:pt>
                <c:pt idx="48">
                  <c:v>-13.977742370279397</c:v>
                </c:pt>
                <c:pt idx="49">
                  <c:v>-13.977542545163391</c:v>
                </c:pt>
                <c:pt idx="50">
                  <c:v>-13.977339277740157</c:v>
                </c:pt>
                <c:pt idx="51">
                  <c:v>-13.977133796183727</c:v>
                </c:pt>
                <c:pt idx="52">
                  <c:v>-13.976927233612974</c:v>
                </c:pt>
                <c:pt idx="53">
                  <c:v>-13.976720623006491</c:v>
                </c:pt>
                <c:pt idx="54">
                  <c:v>-13.976514894981509</c:v>
                </c:pt>
                <c:pt idx="55">
                  <c:v>-13.974642868593904</c:v>
                </c:pt>
                <c:pt idx="56">
                  <c:v>-13.973275975329456</c:v>
                </c:pt>
                <c:pt idx="57">
                  <c:v>-13.972382569266523</c:v>
                </c:pt>
                <c:pt idx="58">
                  <c:v>-13.971837773812057</c:v>
                </c:pt>
                <c:pt idx="59">
                  <c:v>-13.971536700816182</c:v>
                </c:pt>
                <c:pt idx="60">
                  <c:v>-13.971407920244507</c:v>
                </c:pt>
                <c:pt idx="61">
                  <c:v>-13.971405269275991</c:v>
                </c:pt>
                <c:pt idx="62">
                  <c:v>-13.971499025694087</c:v>
                </c:pt>
                <c:pt idx="63">
                  <c:v>-13.971669782110791</c:v>
                </c:pt>
                <c:pt idx="64">
                  <c:v>-13.971904604990065</c:v>
                </c:pt>
                <c:pt idx="65">
                  <c:v>-13.972194682567789</c:v>
                </c:pt>
                <c:pt idx="66">
                  <c:v>-13.972533879076096</c:v>
                </c:pt>
                <c:pt idx="67">
                  <c:v>-13.972917832925933</c:v>
                </c:pt>
                <c:pt idx="68">
                  <c:v>-13.973343383466201</c:v>
                </c:pt>
                <c:pt idx="69">
                  <c:v>-13.973808199193915</c:v>
                </c:pt>
                <c:pt idx="70">
                  <c:v>-13.974310531754899</c:v>
                </c:pt>
                <c:pt idx="71">
                  <c:v>-13.974849050021971</c:v>
                </c:pt>
                <c:pt idx="72">
                  <c:v>-13.975422726139611</c:v>
                </c:pt>
                <c:pt idx="73">
                  <c:v>-13.982974804315955</c:v>
                </c:pt>
                <c:pt idx="74">
                  <c:v>-13.993671862242913</c:v>
                </c:pt>
                <c:pt idx="75">
                  <c:v>-14.007427427879307</c:v>
                </c:pt>
                <c:pt idx="76">
                  <c:v>-14.024196489488759</c:v>
                </c:pt>
                <c:pt idx="77">
                  <c:v>-14.043938600905022</c:v>
                </c:pt>
                <c:pt idx="78">
                  <c:v>-14.066610801267849</c:v>
                </c:pt>
                <c:pt idx="79">
                  <c:v>-14.09216586505339</c:v>
                </c:pt>
                <c:pt idx="80">
                  <c:v>-14.120551913278742</c:v>
                </c:pt>
                <c:pt idx="81">
                  <c:v>-14.151712468791171</c:v>
                </c:pt>
                <c:pt idx="82">
                  <c:v>-14.185586687292833</c:v>
                </c:pt>
                <c:pt idx="83">
                  <c:v>-14.222109669827404</c:v>
                </c:pt>
                <c:pt idx="84">
                  <c:v>-14.261212817689282</c:v>
                </c:pt>
                <c:pt idx="85">
                  <c:v>-14.302824210666444</c:v>
                </c:pt>
                <c:pt idx="86">
                  <c:v>-14.346868997576257</c:v>
                </c:pt>
                <c:pt idx="87">
                  <c:v>-14.393269791665571</c:v>
                </c:pt>
                <c:pt idx="88">
                  <c:v>-14.441947065280855</c:v>
                </c:pt>
                <c:pt idx="89">
                  <c:v>-14.492819539287844</c:v>
                </c:pt>
                <c:pt idx="90">
                  <c:v>-14.545804563457754</c:v>
                </c:pt>
                <c:pt idx="91">
                  <c:v>-15.173367481895433</c:v>
                </c:pt>
                <c:pt idx="92">
                  <c:v>-15.922867659137474</c:v>
                </c:pt>
                <c:pt idx="93">
                  <c:v>-16.728396924143624</c:v>
                </c:pt>
                <c:pt idx="94">
                  <c:v>-17.545165747061741</c:v>
                </c:pt>
                <c:pt idx="95">
                  <c:v>-18.346424049675925</c:v>
                </c:pt>
                <c:pt idx="96">
                  <c:v>-19.117910198355542</c:v>
                </c:pt>
                <c:pt idx="97">
                  <c:v>-19.853107737450376</c:v>
                </c:pt>
                <c:pt idx="98">
                  <c:v>-20.549986953443955</c:v>
                </c:pt>
                <c:pt idx="99">
                  <c:v>-21.208977220363639</c:v>
                </c:pt>
                <c:pt idx="100">
                  <c:v>-21.831769090146416</c:v>
                </c:pt>
                <c:pt idx="101">
                  <c:v>-22.420628952574546</c:v>
                </c:pt>
                <c:pt idx="102">
                  <c:v>-22.978017315790609</c:v>
                </c:pt>
                <c:pt idx="103">
                  <c:v>-23.506383057292865</c:v>
                </c:pt>
                <c:pt idx="104">
                  <c:v>-24.008058298318979</c:v>
                </c:pt>
                <c:pt idx="105">
                  <c:v>-24.4852101197773</c:v>
                </c:pt>
                <c:pt idx="106">
                  <c:v>-24.939823858774677</c:v>
                </c:pt>
                <c:pt idx="107">
                  <c:v>-25.373703467857673</c:v>
                </c:pt>
                <c:pt idx="108">
                  <c:v>-25.788480629716407</c:v>
                </c:pt>
                <c:pt idx="109">
                  <c:v>-29.148638472928997</c:v>
                </c:pt>
                <c:pt idx="110">
                  <c:v>-31.589377222851226</c:v>
                </c:pt>
                <c:pt idx="111">
                  <c:v>-33.50045028151817</c:v>
                </c:pt>
                <c:pt idx="112">
                  <c:v>-35.069268107532004</c:v>
                </c:pt>
                <c:pt idx="113">
                  <c:v>-36.399251230107616</c:v>
                </c:pt>
                <c:pt idx="114">
                  <c:v>-37.553269650604236</c:v>
                </c:pt>
                <c:pt idx="115">
                  <c:v>-38.572325058612932</c:v>
                </c:pt>
                <c:pt idx="116">
                  <c:v>-39.484614984355744</c:v>
                </c:pt>
                <c:pt idx="117">
                  <c:v>-40.310351482857683</c:v>
                </c:pt>
                <c:pt idx="118">
                  <c:v>-41.064511701526882</c:v>
                </c:pt>
                <c:pt idx="119">
                  <c:v>-41.758499676950358</c:v>
                </c:pt>
                <c:pt idx="120">
                  <c:v>-42.401197957174929</c:v>
                </c:pt>
                <c:pt idx="121">
                  <c:v>-42.999659230821251</c:v>
                </c:pt>
                <c:pt idx="122">
                  <c:v>-43.559576236918012</c:v>
                </c:pt>
                <c:pt idx="123">
                  <c:v>-44.085610044269075</c:v>
                </c:pt>
                <c:pt idx="124">
                  <c:v>-44.581624978371501</c:v>
                </c:pt>
                <c:pt idx="125">
                  <c:v>-45.050860318449836</c:v>
                </c:pt>
                <c:pt idx="126">
                  <c:v>-45.496058132340885</c:v>
                </c:pt>
              </c:numCache>
            </c:numRef>
          </c:yVal>
          <c:smooth val="0"/>
          <c:extLst>
            <c:ext xmlns:c16="http://schemas.microsoft.com/office/drawing/2014/chart" uri="{C3380CC4-5D6E-409C-BE32-E72D297353CC}">
              <c16:uniqueId val="{00000000-B44D-4CB2-9395-347B32D1D3C6}"/>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Bode!$O$11</c:f>
              <c:strCache>
                <c:ptCount val="1"/>
                <c:pt idx="0">
                  <c:v>VOUT2FB_PHASE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Bode!$O$12:$O$138</c:f>
              <c:numCache>
                <c:formatCode>General</c:formatCode>
                <c:ptCount val="127"/>
                <c:pt idx="0">
                  <c:v>-1.7280001705861011E-4</c:v>
                </c:pt>
                <c:pt idx="1">
                  <c:v>-2.5920005757264545E-4</c:v>
                </c:pt>
                <c:pt idx="2">
                  <c:v>-3.4560013646872125E-4</c:v>
                </c:pt>
                <c:pt idx="3">
                  <c:v>-4.3200026654023231E-4</c:v>
                </c:pt>
                <c:pt idx="4">
                  <c:v>-5.1840046058096738E-4</c:v>
                </c:pt>
                <c:pt idx="5">
                  <c:v>-6.0480073138466644E-4</c:v>
                </c:pt>
                <c:pt idx="6">
                  <c:v>-6.9120109174458796E-4</c:v>
                </c:pt>
                <c:pt idx="7">
                  <c:v>-7.7760155445403634E-4</c:v>
                </c:pt>
                <c:pt idx="8">
                  <c:v>-8.6400213230605695E-4</c:v>
                </c:pt>
                <c:pt idx="9">
                  <c:v>-9.5040283809346294E-4</c:v>
                </c:pt>
                <c:pt idx="10">
                  <c:v>-1.0368036846086265E-3</c:v>
                </c:pt>
                <c:pt idx="11">
                  <c:v>-1.1232046846442246E-3</c:v>
                </c:pt>
                <c:pt idx="12">
                  <c:v>-1.2096058509919886E-3</c:v>
                </c:pt>
                <c:pt idx="13">
                  <c:v>-1.296007196443663E-3</c:v>
                </c:pt>
                <c:pt idx="14">
                  <c:v>-1.3824087337904918E-3</c:v>
                </c:pt>
                <c:pt idx="15">
                  <c:v>-1.4688104758238821E-3</c:v>
                </c:pt>
                <c:pt idx="16">
                  <c:v>-1.5552124353334946E-3</c:v>
                </c:pt>
                <c:pt idx="17">
                  <c:v>-1.641614625109801E-3</c:v>
                </c:pt>
                <c:pt idx="18">
                  <c:v>-1.7280170579424437E-3</c:v>
                </c:pt>
                <c:pt idx="19">
                  <c:v>-2.5920575677083773E-3</c:v>
                </c:pt>
                <c:pt idx="20">
                  <c:v>-3.4561364473499685E-3</c:v>
                </c:pt>
                <c:pt idx="21">
                  <c:v>-4.3202664750200065E-3</c:v>
                </c:pt>
                <c:pt idx="22">
                  <c:v>-5.1844604187674661E-3</c:v>
                </c:pt>
                <c:pt idx="23">
                  <c:v>-6.0487310340147692E-3</c:v>
                </c:pt>
                <c:pt idx="24">
                  <c:v>-6.9130910610382549E-3</c:v>
                </c:pt>
                <c:pt idx="25">
                  <c:v>-7.7775532224672352E-3</c:v>
                </c:pt>
                <c:pt idx="26">
                  <c:v>-8.6421302207801837E-3</c:v>
                </c:pt>
                <c:pt idx="27">
                  <c:v>-9.506834735813173E-3</c:v>
                </c:pt>
                <c:pt idx="28">
                  <c:v>-1.0371679422274988E-2</c:v>
                </c:pt>
                <c:pt idx="29">
                  <c:v>-1.1236676907283581E-2</c:v>
                </c:pt>
                <c:pt idx="30">
                  <c:v>-1.2101839787891625E-2</c:v>
                </c:pt>
                <c:pt idx="31">
                  <c:v>-1.2967180628647103E-2</c:v>
                </c:pt>
                <c:pt idx="32">
                  <c:v>-1.3832711959156438E-2</c:v>
                </c:pt>
                <c:pt idx="33">
                  <c:v>-1.4698446271666311E-2</c:v>
                </c:pt>
                <c:pt idx="34">
                  <c:v>-1.556439601864246E-2</c:v>
                </c:pt>
                <c:pt idx="35">
                  <c:v>-1.6430573610405109E-2</c:v>
                </c:pt>
                <c:pt idx="36">
                  <c:v>-1.7296991412740798E-2</c:v>
                </c:pt>
                <c:pt idx="37">
                  <c:v>-2.5977065000178139E-2</c:v>
                </c:pt>
                <c:pt idx="38">
                  <c:v>-3.4694343515271994E-2</c:v>
                </c:pt>
                <c:pt idx="39">
                  <c:v>-4.3460110947054438E-2</c:v>
                </c:pt>
                <c:pt idx="40">
                  <c:v>-5.2284750934896977E-2</c:v>
                </c:pt>
                <c:pt idx="41">
                  <c:v>-6.117758911646709E-2</c:v>
                </c:pt>
                <c:pt idx="42">
                  <c:v>-7.0146773786730732E-2</c:v>
                </c:pt>
                <c:pt idx="43">
                  <c:v>-7.9199196755882051E-2</c:v>
                </c:pt>
                <c:pt idx="44">
                  <c:v>-8.8340454105543795E-2</c:v>
                </c:pt>
                <c:pt idx="45">
                  <c:v>-9.7574844599228258E-2</c:v>
                </c:pt>
                <c:pt idx="46">
                  <c:v>-0.10690540192662076</c:v>
                </c:pt>
                <c:pt idx="47">
                  <c:v>-0.11633395582225177</c:v>
                </c:pt>
                <c:pt idx="48">
                  <c:v>-0.12586121641679904</c:v>
                </c:pt>
                <c:pt idx="49">
                  <c:v>-0.13548687593040787</c:v>
                </c:pt>
                <c:pt idx="50">
                  <c:v>-0.14520972194374818</c:v>
                </c:pt>
                <c:pt idx="51">
                  <c:v>-0.15502775690531043</c:v>
                </c:pt>
                <c:pt idx="52">
                  <c:v>-0.16493831916781931</c:v>
                </c:pt>
                <c:pt idx="53">
                  <c:v>-0.17493820160912066</c:v>
                </c:pt>
                <c:pt idx="54">
                  <c:v>-0.18502376470162962</c:v>
                </c:pt>
                <c:pt idx="55">
                  <c:v>-0.28966235861670087</c:v>
                </c:pt>
                <c:pt idx="56">
                  <c:v>-0.39844929951396568</c:v>
                </c:pt>
                <c:pt idx="57">
                  <c:v>-0.50876066787488838</c:v>
                </c:pt>
                <c:pt idx="58">
                  <c:v>-0.61939534689607545</c:v>
                </c:pt>
                <c:pt idx="59">
                  <c:v>-0.72989803931142994</c:v>
                </c:pt>
                <c:pt idx="60">
                  <c:v>-0.84012845150284499</c:v>
                </c:pt>
                <c:pt idx="61">
                  <c:v>-0.95006719939502238</c:v>
                </c:pt>
                <c:pt idx="62">
                  <c:v>-1.0597368372241909</c:v>
                </c:pt>
                <c:pt idx="63">
                  <c:v>-1.1691711123138107</c:v>
                </c:pt>
                <c:pt idx="64">
                  <c:v>-1.278403586720418</c:v>
                </c:pt>
                <c:pt idx="65">
                  <c:v>-1.3874639130824857</c:v>
                </c:pt>
                <c:pt idx="66">
                  <c:v>-1.4963770645909529</c:v>
                </c:pt>
                <c:pt idx="67">
                  <c:v>-1.6051636337352968</c:v>
                </c:pt>
                <c:pt idx="68">
                  <c:v>-1.7138404498397009</c:v>
                </c:pt>
                <c:pt idx="69">
                  <c:v>-1.8224212272493461</c:v>
                </c:pt>
                <c:pt idx="70">
                  <c:v>-1.9309171440685562</c:v>
                </c:pt>
                <c:pt idx="71">
                  <c:v>-2.039337326564326</c:v>
                </c:pt>
                <c:pt idx="72">
                  <c:v>-2.1476892427660412</c:v>
                </c:pt>
                <c:pt idx="73">
                  <c:v>-3.2283883679994894</c:v>
                </c:pt>
                <c:pt idx="74">
                  <c:v>-4.3051264977901536</c:v>
                </c:pt>
                <c:pt idx="75">
                  <c:v>-5.3781359475910904</c:v>
                </c:pt>
                <c:pt idx="76">
                  <c:v>-6.447025775746754</c:v>
                </c:pt>
                <c:pt idx="77">
                  <c:v>-7.5112278294506929</c:v>
                </c:pt>
                <c:pt idx="78">
                  <c:v>-8.5701180953758076</c:v>
                </c:pt>
                <c:pt idx="79">
                  <c:v>-9.6230600405118452</c:v>
                </c:pt>
                <c:pt idx="80">
                  <c:v>-10.669423567454023</c:v>
                </c:pt>
                <c:pt idx="81">
                  <c:v>-11.70859477899363</c:v>
                </c:pt>
                <c:pt idx="82">
                  <c:v>-12.739981722313445</c:v>
                </c:pt>
                <c:pt idx="83">
                  <c:v>-13.763018124769539</c:v>
                </c:pt>
                <c:pt idx="84">
                  <c:v>-14.777165989982922</c:v>
                </c:pt>
                <c:pt idx="85">
                  <c:v>-15.781917462979582</c:v>
                </c:pt>
                <c:pt idx="86">
                  <c:v>-16.776796172276072</c:v>
                </c:pt>
                <c:pt idx="87">
                  <c:v>-17.76135816341181</c:v>
                </c:pt>
                <c:pt idx="88">
                  <c:v>-18.735192492898481</c:v>
                </c:pt>
                <c:pt idx="89">
                  <c:v>-19.697921528593408</c:v>
                </c:pt>
                <c:pt idx="90">
                  <c:v>-20.649200990659633</c:v>
                </c:pt>
                <c:pt idx="91">
                  <c:v>-29.47944732465276</c:v>
                </c:pt>
                <c:pt idx="92">
                  <c:v>-37.006790261471934</c:v>
                </c:pt>
                <c:pt idx="93">
                  <c:v>-43.294744423060145</c:v>
                </c:pt>
                <c:pt idx="94">
                  <c:v>-48.508135409921074</c:v>
                </c:pt>
                <c:pt idx="95">
                  <c:v>-52.833584997682607</c:v>
                </c:pt>
                <c:pt idx="96">
                  <c:v>-56.44159693604977</c:v>
                </c:pt>
                <c:pt idx="97">
                  <c:v>-59.474434783085577</c:v>
                </c:pt>
                <c:pt idx="98">
                  <c:v>-62.045944034960307</c:v>
                </c:pt>
                <c:pt idx="99">
                  <c:v>-64.245602805987758</c:v>
                </c:pt>
                <c:pt idx="100">
                  <c:v>-66.143351911875598</c:v>
                </c:pt>
                <c:pt idx="101">
                  <c:v>-67.79393262632081</c:v>
                </c:pt>
                <c:pt idx="102">
                  <c:v>-69.240405639190925</c:v>
                </c:pt>
                <c:pt idx="103">
                  <c:v>-70.516880770983292</c:v>
                </c:pt>
                <c:pt idx="104">
                  <c:v>-71.650592577421449</c:v>
                </c:pt>
                <c:pt idx="105">
                  <c:v>-72.663466881161071</c:v>
                </c:pt>
                <c:pt idx="106">
                  <c:v>-73.573302365786247</c:v>
                </c:pt>
                <c:pt idx="107">
                  <c:v>-74.394664723576469</c:v>
                </c:pt>
                <c:pt idx="108">
                  <c:v>-75.139566981414333</c:v>
                </c:pt>
                <c:pt idx="109">
                  <c:v>-79.968536900953623</c:v>
                </c:pt>
                <c:pt idx="110">
                  <c:v>-82.442711240302842</c:v>
                </c:pt>
                <c:pt idx="111">
                  <c:v>-83.941547637484192</c:v>
                </c:pt>
                <c:pt idx="112">
                  <c:v>-84.945544517537328</c:v>
                </c:pt>
                <c:pt idx="113">
                  <c:v>-85.664631592697589</c:v>
                </c:pt>
                <c:pt idx="114">
                  <c:v>-86.204858776846635</c:v>
                </c:pt>
                <c:pt idx="115">
                  <c:v>-86.625508110857183</c:v>
                </c:pt>
                <c:pt idx="116">
                  <c:v>-86.962292176873206</c:v>
                </c:pt>
                <c:pt idx="117">
                  <c:v>-87.238000189701225</c:v>
                </c:pt>
                <c:pt idx="118">
                  <c:v>-87.467855234376415</c:v>
                </c:pt>
                <c:pt idx="119">
                  <c:v>-87.662411982478446</c:v>
                </c:pt>
                <c:pt idx="120">
                  <c:v>-87.829218019295382</c:v>
                </c:pt>
                <c:pt idx="121">
                  <c:v>-87.973813138333725</c:v>
                </c:pt>
                <c:pt idx="122">
                  <c:v>-88.100355113997637</c:v>
                </c:pt>
                <c:pt idx="123">
                  <c:v>-88.212025236220398</c:v>
                </c:pt>
                <c:pt idx="124">
                  <c:v>-88.311299001994229</c:v>
                </c:pt>
                <c:pt idx="125">
                  <c:v>-88.400131513140721</c:v>
                </c:pt>
                <c:pt idx="126">
                  <c:v>-88.480087363785628</c:v>
                </c:pt>
              </c:numCache>
            </c:numRef>
          </c:yVal>
          <c:smooth val="0"/>
          <c:extLst>
            <c:ext xmlns:c16="http://schemas.microsoft.com/office/drawing/2014/chart" uri="{C3380CC4-5D6E-409C-BE32-E72D297353CC}">
              <c16:uniqueId val="{00000001-B44D-4CB2-9395-347B32D1D3C6}"/>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0"/>
          <c:min val="-4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90"/>
          <c:min val="-9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FB2COMP</a:t>
            </a:r>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Bode!$V$11</c:f>
              <c:strCache>
                <c:ptCount val="1"/>
                <c:pt idx="0">
                  <c:v>FB2COMP_GAIN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Bode!$V$12:$V$138</c:f>
              <c:numCache>
                <c:formatCode>General</c:formatCode>
                <c:ptCount val="127"/>
                <c:pt idx="0">
                  <c:v>82.239170512893054</c:v>
                </c:pt>
                <c:pt idx="1">
                  <c:v>78.757939462964245</c:v>
                </c:pt>
                <c:pt idx="2">
                  <c:v>76.273463416622221</c:v>
                </c:pt>
                <c:pt idx="3">
                  <c:v>74.341898058174309</c:v>
                </c:pt>
                <c:pt idx="4">
                  <c:v>72.761882257976055</c:v>
                </c:pt>
                <c:pt idx="5">
                  <c:v>71.425124855892378</c:v>
                </c:pt>
                <c:pt idx="6">
                  <c:v>70.266701138094959</c:v>
                </c:pt>
                <c:pt idx="7">
                  <c:v>69.24462202299874</c:v>
                </c:pt>
                <c:pt idx="8">
                  <c:v>68.330167945222385</c:v>
                </c:pt>
                <c:pt idx="9">
                  <c:v>67.502829900820529</c:v>
                </c:pt>
                <c:pt idx="10">
                  <c:v>66.747451757985431</c:v>
                </c:pt>
                <c:pt idx="11">
                  <c:v>66.052516404029575</c:v>
                </c:pt>
                <c:pt idx="12">
                  <c:v>65.409067014943318</c:v>
                </c:pt>
                <c:pt idx="13">
                  <c:v>64.810000484553555</c:v>
                </c:pt>
                <c:pt idx="14">
                  <c:v>64.249588877870082</c:v>
                </c:pt>
                <c:pt idx="15">
                  <c:v>63.723145953437182</c:v>
                </c:pt>
                <c:pt idx="16">
                  <c:v>63.226788996927617</c:v>
                </c:pt>
                <c:pt idx="17">
                  <c:v>62.757265043248751</c:v>
                </c:pt>
                <c:pt idx="18">
                  <c:v>62.311821669004729</c:v>
                </c:pt>
                <c:pt idx="19">
                  <c:v>58.790466667484566</c:v>
                </c:pt>
                <c:pt idx="20">
                  <c:v>56.291918775339489</c:v>
                </c:pt>
                <c:pt idx="21">
                  <c:v>54.353891825607192</c:v>
                </c:pt>
                <c:pt idx="22">
                  <c:v>52.770433524017747</c:v>
                </c:pt>
                <c:pt idx="23">
                  <c:v>51.431673707136497</c:v>
                </c:pt>
                <c:pt idx="24">
                  <c:v>50.272026800863905</c:v>
                </c:pt>
                <c:pt idx="25">
                  <c:v>49.249187641889336</c:v>
                </c:pt>
                <c:pt idx="26">
                  <c:v>48.334270059988739</c:v>
                </c:pt>
                <c:pt idx="27">
                  <c:v>47.506670477735049</c:v>
                </c:pt>
                <c:pt idx="28">
                  <c:v>46.75117584290939</c:v>
                </c:pt>
                <c:pt idx="29">
                  <c:v>46.056233120143872</c:v>
                </c:pt>
                <c:pt idx="30">
                  <c:v>45.412861906582762</c:v>
                </c:pt>
                <c:pt idx="31">
                  <c:v>44.813943099130441</c:v>
                </c:pt>
                <c:pt idx="32">
                  <c:v>44.253737598841489</c:v>
                </c:pt>
                <c:pt idx="33">
                  <c:v>43.727551180449275</c:v>
                </c:pt>
                <c:pt idx="34">
                  <c:v>43.23149529680191</c:v>
                </c:pt>
                <c:pt idx="35">
                  <c:v>42.762312640344518</c:v>
                </c:pt>
                <c:pt idx="36">
                  <c:v>42.317247500041788</c:v>
                </c:pt>
                <c:pt idx="37">
                  <c:v>38.801343206152758</c:v>
                </c:pt>
                <c:pt idx="38">
                  <c:v>36.310835620147252</c:v>
                </c:pt>
                <c:pt idx="39">
                  <c:v>34.38323301850955</c:v>
                </c:pt>
                <c:pt idx="40">
                  <c:v>32.812514242962656</c:v>
                </c:pt>
                <c:pt idx="41">
                  <c:v>31.488766041263059</c:v>
                </c:pt>
                <c:pt idx="42">
                  <c:v>30.346364463829158</c:v>
                </c:pt>
                <c:pt idx="43">
                  <c:v>29.342965093348617</c:v>
                </c:pt>
                <c:pt idx="44">
                  <c:v>28.449639878326288</c:v>
                </c:pt>
                <c:pt idx="45">
                  <c:v>27.645740191887857</c:v>
                </c:pt>
                <c:pt idx="46">
                  <c:v>26.916004674025594</c:v>
                </c:pt>
                <c:pt idx="47">
                  <c:v>26.24882882578985</c:v>
                </c:pt>
                <c:pt idx="48">
                  <c:v>25.63517781951029</c:v>
                </c:pt>
                <c:pt idx="49">
                  <c:v>25.067875408358908</c:v>
                </c:pt>
                <c:pt idx="50">
                  <c:v>24.541122898999149</c:v>
                </c:pt>
                <c:pt idx="51">
                  <c:v>24.050164303261312</c:v>
                </c:pt>
                <c:pt idx="52">
                  <c:v>23.591047431133866</c:v>
                </c:pt>
                <c:pt idx="53">
                  <c:v>23.160449742078345</c:v>
                </c:pt>
                <c:pt idx="54">
                  <c:v>22.755548989235876</c:v>
                </c:pt>
                <c:pt idx="55">
                  <c:v>19.713121365592929</c:v>
                </c:pt>
                <c:pt idx="56">
                  <c:v>17.780526487864332</c:v>
                </c:pt>
                <c:pt idx="57">
                  <c:v>16.439398515909176</c:v>
                </c:pt>
                <c:pt idx="58">
                  <c:v>15.444932462893071</c:v>
                </c:pt>
                <c:pt idx="59">
                  <c:v>14.664101717213192</c:v>
                </c:pt>
                <c:pt idx="60">
                  <c:v>14.019611883908393</c:v>
                </c:pt>
                <c:pt idx="61">
                  <c:v>13.464825207101885</c:v>
                </c:pt>
                <c:pt idx="62">
                  <c:v>12.970884404071409</c:v>
                </c:pt>
                <c:pt idx="63">
                  <c:v>12.519589068952454</c:v>
                </c:pt>
                <c:pt idx="64">
                  <c:v>12.09927569002099</c:v>
                </c:pt>
                <c:pt idx="65">
                  <c:v>11.702361834944055</c:v>
                </c:pt>
                <c:pt idx="66">
                  <c:v>11.323848702154873</c:v>
                </c:pt>
                <c:pt idx="67">
                  <c:v>10.960391461089481</c:v>
                </c:pt>
                <c:pt idx="68">
                  <c:v>10.609713645750549</c:v>
                </c:pt>
                <c:pt idx="69">
                  <c:v>10.270233927664435</c:v>
                </c:pt>
                <c:pt idx="70">
                  <c:v>9.9408260200837049</c:v>
                </c:pt>
                <c:pt idx="71">
                  <c:v>9.6206631049611318</c:v>
                </c:pt>
                <c:pt idx="72">
                  <c:v>9.309116483816041</c:v>
                </c:pt>
                <c:pt idx="73">
                  <c:v>6.5863552596782595</c:v>
                </c:pt>
                <c:pt idx="74">
                  <c:v>4.4129560728981696</c:v>
                </c:pt>
                <c:pt idx="75">
                  <c:v>2.6235284718734535</c:v>
                </c:pt>
                <c:pt idx="76">
                  <c:v>1.1085552808929815</c:v>
                </c:pt>
                <c:pt idx="77">
                  <c:v>-0.2042340468156599</c:v>
                </c:pt>
                <c:pt idx="78">
                  <c:v>-1.3635109234409004</c:v>
                </c:pt>
                <c:pt idx="79">
                  <c:v>-2.4030742236625664</c:v>
                </c:pt>
                <c:pt idx="80">
                  <c:v>-3.3471280416078981</c:v>
                </c:pt>
                <c:pt idx="81">
                  <c:v>-4.2134934737054284</c:v>
                </c:pt>
                <c:pt idx="82">
                  <c:v>-5.0156134677594446</c:v>
                </c:pt>
                <c:pt idx="83">
                  <c:v>-5.7638423976476938</c:v>
                </c:pt>
                <c:pt idx="84">
                  <c:v>-6.4663004553480183</c:v>
                </c:pt>
                <c:pt idx="85">
                  <c:v>-7.1294554991013905</c:v>
                </c:pt>
                <c:pt idx="86">
                  <c:v>-7.7585293217587949</c:v>
                </c:pt>
                <c:pt idx="87">
                  <c:v>-8.3577877777855676</c:v>
                </c:pt>
                <c:pt idx="88">
                  <c:v>-8.9307521990979293</c:v>
                </c:pt>
                <c:pt idx="89">
                  <c:v>-9.4803562732792326</c:v>
                </c:pt>
                <c:pt idx="90">
                  <c:v>-10.009064364671678</c:v>
                </c:pt>
                <c:pt idx="91">
                  <c:v>-14.48791032324136</c:v>
                </c:pt>
                <c:pt idx="92">
                  <c:v>-18.054546515561469</c:v>
                </c:pt>
                <c:pt idx="93">
                  <c:v>-21.067122019000667</c:v>
                </c:pt>
                <c:pt idx="94">
                  <c:v>-23.681874704976174</c:v>
                </c:pt>
                <c:pt idx="95">
                  <c:v>-25.989267030916018</c:v>
                </c:pt>
                <c:pt idx="96">
                  <c:v>-28.050454487807666</c:v>
                </c:pt>
                <c:pt idx="97">
                  <c:v>-29.910035946156732</c:v>
                </c:pt>
                <c:pt idx="98">
                  <c:v>-31.601843386195281</c:v>
                </c:pt>
                <c:pt idx="99">
                  <c:v>-33.152171242269944</c:v>
                </c:pt>
                <c:pt idx="100">
                  <c:v>-34.581821286093373</c:v>
                </c:pt>
                <c:pt idx="101">
                  <c:v>-35.907491112913441</c:v>
                </c:pt>
                <c:pt idx="102">
                  <c:v>-37.142754885356283</c:v>
                </c:pt>
                <c:pt idx="103">
                  <c:v>-38.298773711390098</c:v>
                </c:pt>
                <c:pt idx="104">
                  <c:v>-39.384819772101388</c:v>
                </c:pt>
                <c:pt idx="105">
                  <c:v>-40.40866892526256</c:v>
                </c:pt>
                <c:pt idx="106">
                  <c:v>-41.376898715427757</c:v>
                </c:pt>
                <c:pt idx="107">
                  <c:v>-42.295117322552748</c:v>
                </c:pt>
                <c:pt idx="108">
                  <c:v>-43.168141420937189</c:v>
                </c:pt>
                <c:pt idx="109">
                  <c:v>-50.117866667728492</c:v>
                </c:pt>
                <c:pt idx="110">
                  <c:v>-55.082057748891714</c:v>
                </c:pt>
                <c:pt idx="111">
                  <c:v>-58.94293115064032</c:v>
                </c:pt>
                <c:pt idx="112">
                  <c:v>-62.101723241382906</c:v>
                </c:pt>
                <c:pt idx="113">
                  <c:v>-64.774487118078255</c:v>
                </c:pt>
                <c:pt idx="114">
                  <c:v>-67.090846688416391</c:v>
                </c:pt>
                <c:pt idx="115">
                  <c:v>-69.134671102533588</c:v>
                </c:pt>
                <c:pt idx="116">
                  <c:v>-70.963341638990244</c:v>
                </c:pt>
                <c:pt idx="117">
                  <c:v>-72.617843313472989</c:v>
                </c:pt>
                <c:pt idx="118">
                  <c:v>-74.128468467483387</c:v>
                </c:pt>
                <c:pt idx="119">
                  <c:v>-75.518238723356944</c:v>
                </c:pt>
                <c:pt idx="120">
                  <c:v>-76.805059442114384</c:v>
                </c:pt>
                <c:pt idx="121">
                  <c:v>-78.003131206510105</c:v>
                </c:pt>
                <c:pt idx="122">
                  <c:v>-79.123905954075298</c:v>
                </c:pt>
                <c:pt idx="123">
                  <c:v>-80.176753353737638</c:v>
                </c:pt>
                <c:pt idx="124">
                  <c:v>-81.169436777649921</c:v>
                </c:pt>
                <c:pt idx="125">
                  <c:v>-82.108460624914414</c:v>
                </c:pt>
                <c:pt idx="126">
                  <c:v>-82.999328583472874</c:v>
                </c:pt>
              </c:numCache>
            </c:numRef>
          </c:yVal>
          <c:smooth val="0"/>
          <c:extLst>
            <c:ext xmlns:c16="http://schemas.microsoft.com/office/drawing/2014/chart" uri="{C3380CC4-5D6E-409C-BE32-E72D297353CC}">
              <c16:uniqueId val="{00000000-3335-4498-BFBC-B05620B268D3}"/>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Bode!$W$11</c:f>
              <c:strCache>
                <c:ptCount val="1"/>
                <c:pt idx="0">
                  <c:v>FB2COMP_PHASE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Bode!$W$12:$W$138</c:f>
              <c:numCache>
                <c:formatCode>General</c:formatCode>
                <c:ptCount val="127"/>
                <c:pt idx="0">
                  <c:v>-82.552099954134974</c:v>
                </c:pt>
                <c:pt idx="1">
                  <c:v>-85.00876441484391</c:v>
                </c:pt>
                <c:pt idx="2">
                  <c:v>-86.24147413146143</c:v>
                </c:pt>
                <c:pt idx="3">
                  <c:v>-86.980340907366823</c:v>
                </c:pt>
                <c:pt idx="4">
                  <c:v>-87.47140072618221</c:v>
                </c:pt>
                <c:pt idx="5">
                  <c:v>-87.820595354420149</c:v>
                </c:pt>
                <c:pt idx="6">
                  <c:v>-88.081028544313341</c:v>
                </c:pt>
                <c:pt idx="7">
                  <c:v>-88.282246750604429</c:v>
                </c:pt>
                <c:pt idx="8">
                  <c:v>-88.441995163655221</c:v>
                </c:pt>
                <c:pt idx="9">
                  <c:v>-88.571573765263565</c:v>
                </c:pt>
                <c:pt idx="10">
                  <c:v>-88.678519513096617</c:v>
                </c:pt>
                <c:pt idx="11">
                  <c:v>-88.768052173119557</c:v>
                </c:pt>
                <c:pt idx="12">
                  <c:v>-88.843901171732909</c:v>
                </c:pt>
                <c:pt idx="13">
                  <c:v>-88.908802007708999</c:v>
                </c:pt>
                <c:pt idx="14">
                  <c:v>-88.964806655446154</c:v>
                </c:pt>
                <c:pt idx="15">
                  <c:v>-89.013484488859092</c:v>
                </c:pt>
                <c:pt idx="16">
                  <c:v>-89.056056270796091</c:v>
                </c:pt>
                <c:pt idx="17">
                  <c:v>-89.093485852490133</c:v>
                </c:pt>
                <c:pt idx="18">
                  <c:v>-89.126544376219258</c:v>
                </c:pt>
                <c:pt idx="19">
                  <c:v>-89.312871151347366</c:v>
                </c:pt>
                <c:pt idx="20">
                  <c:v>-89.374599657059179</c:v>
                </c:pt>
                <c:pt idx="21">
                  <c:v>-89.386486210664557</c:v>
                </c:pt>
                <c:pt idx="22">
                  <c:v>-89.373452727239979</c:v>
                </c:pt>
                <c:pt idx="23">
                  <c:v>-89.346180881754933</c:v>
                </c:pt>
                <c:pt idx="24">
                  <c:v>-89.310011951362668</c:v>
                </c:pt>
                <c:pt idx="25">
                  <c:v>-89.267913628437853</c:v>
                </c:pt>
                <c:pt idx="26">
                  <c:v>-89.22166679006672</c:v>
                </c:pt>
                <c:pt idx="27">
                  <c:v>-89.17240495122671</c:v>
                </c:pt>
                <c:pt idx="28">
                  <c:v>-89.120883995549278</c:v>
                </c:pt>
                <c:pt idx="29">
                  <c:v>-89.067627416537832</c:v>
                </c:pt>
                <c:pt idx="30">
                  <c:v>-89.013009313204435</c:v>
                </c:pt>
                <c:pt idx="31">
                  <c:v>-88.957304187743645</c:v>
                </c:pt>
                <c:pt idx="32">
                  <c:v>-88.900718069216225</c:v>
                </c:pt>
                <c:pt idx="33">
                  <c:v>-88.84340865246935</c:v>
                </c:pt>
                <c:pt idx="34">
                  <c:v>-88.785498724116422</c:v>
                </c:pt>
                <c:pt idx="35">
                  <c:v>-88.727085348747565</c:v>
                </c:pt>
                <c:pt idx="36">
                  <c:v>-88.668246299284363</c:v>
                </c:pt>
                <c:pt idx="37">
                  <c:v>-88.066197007859273</c:v>
                </c:pt>
                <c:pt idx="38">
                  <c:v>-87.453509463816815</c:v>
                </c:pt>
                <c:pt idx="39">
                  <c:v>-86.838257828046423</c:v>
                </c:pt>
                <c:pt idx="40">
                  <c:v>-86.223521919566622</c:v>
                </c:pt>
                <c:pt idx="41">
                  <c:v>-85.61094565668246</c:v>
                </c:pt>
                <c:pt idx="42">
                  <c:v>-85.001625129262663</c:v>
                </c:pt>
                <c:pt idx="43">
                  <c:v>-84.396403355310056</c:v>
                </c:pt>
                <c:pt idx="44">
                  <c:v>-83.795987144977929</c:v>
                </c:pt>
                <c:pt idx="45">
                  <c:v>-83.200999378186168</c:v>
                </c:pt>
                <c:pt idx="46">
                  <c:v>-82.612004470856789</c:v>
                </c:pt>
                <c:pt idx="47">
                  <c:v>-82.029521562681609</c:v>
                </c:pt>
                <c:pt idx="48">
                  <c:v>-81.454031656978373</c:v>
                </c:pt>
                <c:pt idx="49">
                  <c:v>-80.885981620772938</c:v>
                </c:pt>
                <c:pt idx="50">
                  <c:v>-80.325786498387117</c:v>
                </c:pt>
                <c:pt idx="51">
                  <c:v>-79.773830906036721</c:v>
                </c:pt>
                <c:pt idx="52">
                  <c:v>-79.23046993108585</c:v>
                </c:pt>
                <c:pt idx="53">
                  <c:v>-78.696029777835989</c:v>
                </c:pt>
                <c:pt idx="54">
                  <c:v>-78.170808301115528</c:v>
                </c:pt>
                <c:pt idx="55">
                  <c:v>-73.472010464972044</c:v>
                </c:pt>
                <c:pt idx="56">
                  <c:v>-69.837692896930776</c:v>
                </c:pt>
                <c:pt idx="57">
                  <c:v>-67.218618402317787</c:v>
                </c:pt>
                <c:pt idx="58">
                  <c:v>-65.470753206288933</c:v>
                </c:pt>
                <c:pt idx="59">
                  <c:v>-64.424109269012206</c:v>
                </c:pt>
                <c:pt idx="60">
                  <c:v>-63.919356620709586</c:v>
                </c:pt>
                <c:pt idx="61">
                  <c:v>-63.821833028983896</c:v>
                </c:pt>
                <c:pt idx="62">
                  <c:v>-64.023735054435946</c:v>
                </c:pt>
                <c:pt idx="63">
                  <c:v>-64.441371878454191</c:v>
                </c:pt>
                <c:pt idx="64">
                  <c:v>-65.01096504638555</c:v>
                </c:pt>
                <c:pt idx="65">
                  <c:v>-65.684495946743823</c:v>
                </c:pt>
                <c:pt idx="66">
                  <c:v>-66.42613162598515</c:v>
                </c:pt>
                <c:pt idx="67">
                  <c:v>-67.209335343915683</c:v>
                </c:pt>
                <c:pt idx="68">
                  <c:v>-68.01460513423234</c:v>
                </c:pt>
                <c:pt idx="69">
                  <c:v>-68.827735180776457</c:v>
                </c:pt>
                <c:pt idx="70">
                  <c:v>-69.638492646282415</c:v>
                </c:pt>
                <c:pt idx="71">
                  <c:v>-70.439616551785264</c:v>
                </c:pt>
                <c:pt idx="72">
                  <c:v>-71.226062859457926</c:v>
                </c:pt>
                <c:pt idx="73">
                  <c:v>-77.947134818214593</c:v>
                </c:pt>
                <c:pt idx="74">
                  <c:v>-82.8329669524948</c:v>
                </c:pt>
                <c:pt idx="75">
                  <c:v>-86.57124080867041</c:v>
                </c:pt>
                <c:pt idx="76">
                  <c:v>-89.616614363660887</c:v>
                </c:pt>
                <c:pt idx="77">
                  <c:v>-92.222184136268112</c:v>
                </c:pt>
                <c:pt idx="78">
                  <c:v>-94.532280488986657</c:v>
                </c:pt>
                <c:pt idx="79">
                  <c:v>-96.633245628809249</c:v>
                </c:pt>
                <c:pt idx="80">
                  <c:v>-98.579181168641739</c:v>
                </c:pt>
                <c:pt idx="81">
                  <c:v>-100.40538247634066</c:v>
                </c:pt>
                <c:pt idx="82">
                  <c:v>-102.13568030236048</c:v>
                </c:pt>
                <c:pt idx="83">
                  <c:v>-103.78664331413765</c:v>
                </c:pt>
                <c:pt idx="84">
                  <c:v>-105.37008754522165</c:v>
                </c:pt>
                <c:pt idx="85">
                  <c:v>-106.89463185311475</c:v>
                </c:pt>
                <c:pt idx="86">
                  <c:v>-108.36669401442123</c:v>
                </c:pt>
                <c:pt idx="87">
                  <c:v>-109.7911469430644</c:v>
                </c:pt>
                <c:pt idx="88">
                  <c:v>-111.17176172882508</c:v>
                </c:pt>
                <c:pt idx="89">
                  <c:v>-112.5115131278914</c:v>
                </c:pt>
                <c:pt idx="90">
                  <c:v>-113.81279404113876</c:v>
                </c:pt>
                <c:pt idx="91">
                  <c:v>-125.03210110663514</c:v>
                </c:pt>
                <c:pt idx="92">
                  <c:v>-133.62087947771346</c:v>
                </c:pt>
                <c:pt idx="93">
                  <c:v>-140.23661261987419</c:v>
                </c:pt>
                <c:pt idx="94">
                  <c:v>-145.3901579558601</c:v>
                </c:pt>
                <c:pt idx="95">
                  <c:v>-149.46667789602662</c:v>
                </c:pt>
                <c:pt idx="96">
                  <c:v>-152.74502916462745</c:v>
                </c:pt>
                <c:pt idx="97">
                  <c:v>-155.42422971689456</c:v>
                </c:pt>
                <c:pt idx="98">
                  <c:v>-157.64662591610272</c:v>
                </c:pt>
                <c:pt idx="99">
                  <c:v>-159.51510068282275</c:v>
                </c:pt>
                <c:pt idx="100">
                  <c:v>-161.1050704550498</c:v>
                </c:pt>
                <c:pt idx="101">
                  <c:v>-162.47267121119438</c:v>
                </c:pt>
                <c:pt idx="102">
                  <c:v>-163.66033174681317</c:v>
                </c:pt>
                <c:pt idx="103">
                  <c:v>-164.7005949538117</c:v>
                </c:pt>
                <c:pt idx="104">
                  <c:v>-165.61876807031084</c:v>
                </c:pt>
                <c:pt idx="105">
                  <c:v>-166.4347855674157</c:v>
                </c:pt>
                <c:pt idx="106">
                  <c:v>-167.1645370947405</c:v>
                </c:pt>
                <c:pt idx="107">
                  <c:v>-167.82082740521261</c:v>
                </c:pt>
                <c:pt idx="108">
                  <c:v>-168.41407969727231</c:v>
                </c:pt>
                <c:pt idx="109">
                  <c:v>-172.22137423268805</c:v>
                </c:pt>
                <c:pt idx="110">
                  <c:v>-174.15142863903611</c:v>
                </c:pt>
                <c:pt idx="111">
                  <c:v>-175.3157033597096</c:v>
                </c:pt>
                <c:pt idx="112">
                  <c:v>-176.09395179155132</c:v>
                </c:pt>
                <c:pt idx="113">
                  <c:v>-176.6506830376841</c:v>
                </c:pt>
                <c:pt idx="114">
                  <c:v>-177.06862400694777</c:v>
                </c:pt>
                <c:pt idx="115">
                  <c:v>-177.39389240909787</c:v>
                </c:pt>
                <c:pt idx="116">
                  <c:v>-177.65422079699567</c:v>
                </c:pt>
                <c:pt idx="117">
                  <c:v>-177.86728433226639</c:v>
                </c:pt>
                <c:pt idx="118">
                  <c:v>-178.04487949154435</c:v>
                </c:pt>
                <c:pt idx="119">
                  <c:v>-178.19517978218192</c:v>
                </c:pt>
                <c:pt idx="120">
                  <c:v>-178.32402709203649</c:v>
                </c:pt>
                <c:pt idx="121">
                  <c:v>-178.4357075762226</c:v>
                </c:pt>
                <c:pt idx="122">
                  <c:v>-178.53343710893833</c:v>
                </c:pt>
                <c:pt idx="123">
                  <c:v>-178.61967566737354</c:v>
                </c:pt>
                <c:pt idx="124">
                  <c:v>-178.69633706508111</c:v>
                </c:pt>
                <c:pt idx="125">
                  <c:v>-178.76493253446179</c:v>
                </c:pt>
                <c:pt idx="126">
                  <c:v>-178.82667128134582</c:v>
                </c:pt>
              </c:numCache>
            </c:numRef>
          </c:yVal>
          <c:smooth val="0"/>
          <c:extLst>
            <c:ext xmlns:c16="http://schemas.microsoft.com/office/drawing/2014/chart" uri="{C3380CC4-5D6E-409C-BE32-E72D297353CC}">
              <c16:uniqueId val="{00000001-3335-4498-BFBC-B05620B268D3}"/>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100"/>
          <c:min val="-4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0"/>
          <c:min val="-18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POWER STAGE</a:t>
            </a:r>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Bode!$AA$11</c:f>
              <c:strCache>
                <c:ptCount val="1"/>
                <c:pt idx="0">
                  <c:v>POWERSTAGE_GAIN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Bode!$AA$12:$AA$138</c:f>
              <c:numCache>
                <c:formatCode>_(* #,##0.00_);_(* \(#,##0.00\);_(* "-"??_);_(@_)</c:formatCode>
                <c:ptCount val="127"/>
                <c:pt idx="0">
                  <c:v>16.221668640616809</c:v>
                </c:pt>
                <c:pt idx="1">
                  <c:v>16.221668247363095</c:v>
                </c:pt>
                <c:pt idx="2">
                  <c:v>16.221667696808041</c:v>
                </c:pt>
                <c:pt idx="3">
                  <c:v>16.221666988951746</c:v>
                </c:pt>
                <c:pt idx="4">
                  <c:v>16.221666123794424</c:v>
                </c:pt>
                <c:pt idx="5">
                  <c:v>16.221665101336235</c:v>
                </c:pt>
                <c:pt idx="6">
                  <c:v>16.221663921577445</c:v>
                </c:pt>
                <c:pt idx="7">
                  <c:v>16.221662584518331</c:v>
                </c:pt>
                <c:pt idx="8">
                  <c:v>16.221661090159213</c:v>
                </c:pt>
                <c:pt idx="9">
                  <c:v>16.22165943850041</c:v>
                </c:pt>
                <c:pt idx="10">
                  <c:v>16.22165762954236</c:v>
                </c:pt>
                <c:pt idx="11">
                  <c:v>16.221655663285485</c:v>
                </c:pt>
                <c:pt idx="12">
                  <c:v>16.221653539730234</c:v>
                </c:pt>
                <c:pt idx="13">
                  <c:v>16.221651258877113</c:v>
                </c:pt>
                <c:pt idx="14">
                  <c:v>16.221648820726674</c:v>
                </c:pt>
                <c:pt idx="15">
                  <c:v>16.221646225279478</c:v>
                </c:pt>
                <c:pt idx="16">
                  <c:v>16.221643472536154</c:v>
                </c:pt>
                <c:pt idx="17">
                  <c:v>16.221640562497374</c:v>
                </c:pt>
                <c:pt idx="18">
                  <c:v>16.221637495163769</c:v>
                </c:pt>
                <c:pt idx="19">
                  <c:v>16.221598170792976</c:v>
                </c:pt>
                <c:pt idx="20">
                  <c:v>16.22154311797912</c:v>
                </c:pt>
                <c:pt idx="21">
                  <c:v>16.22147233802734</c:v>
                </c:pt>
                <c:pt idx="22">
                  <c:v>16.221385832615582</c:v>
                </c:pt>
                <c:pt idx="23">
                  <c:v>16.221283603794404</c:v>
                </c:pt>
                <c:pt idx="24">
                  <c:v>16.221165653986883</c:v>
                </c:pt>
                <c:pt idx="25">
                  <c:v>16.221031985988514</c:v>
                </c:pt>
                <c:pt idx="26">
                  <c:v>16.220882602966917</c:v>
                </c:pt>
                <c:pt idx="27">
                  <c:v>16.220717508461746</c:v>
                </c:pt>
                <c:pt idx="28">
                  <c:v>16.220536706384436</c:v>
                </c:pt>
                <c:pt idx="29">
                  <c:v>16.220340201017862</c:v>
                </c:pt>
                <c:pt idx="30">
                  <c:v>16.220127997016256</c:v>
                </c:pt>
                <c:pt idx="31">
                  <c:v>16.219900099404718</c:v>
                </c:pt>
                <c:pt idx="32">
                  <c:v>16.219656513579032</c:v>
                </c:pt>
                <c:pt idx="33">
                  <c:v>16.219397245305217</c:v>
                </c:pt>
                <c:pt idx="34">
                  <c:v>16.219122300719281</c:v>
                </c:pt>
                <c:pt idx="35">
                  <c:v>16.218831686326695</c:v>
                </c:pt>
                <c:pt idx="36">
                  <c:v>16.218525409002158</c:v>
                </c:pt>
                <c:pt idx="37">
                  <c:v>16.214602949903938</c:v>
                </c:pt>
                <c:pt idx="38">
                  <c:v>16.209124480771109</c:v>
                </c:pt>
                <c:pt idx="39">
                  <c:v>16.202102876937801</c:v>
                </c:pt>
                <c:pt idx="40">
                  <c:v>16.193554553387592</c:v>
                </c:pt>
                <c:pt idx="41">
                  <c:v>16.183499362855819</c:v>
                </c:pt>
                <c:pt idx="42">
                  <c:v>16.171960473855201</c:v>
                </c:pt>
                <c:pt idx="43">
                  <c:v>16.158964230083111</c:v>
                </c:pt>
                <c:pt idx="44">
                  <c:v>16.144539992861684</c:v>
                </c:pt>
                <c:pt idx="45">
                  <c:v>16.128719968423997</c:v>
                </c:pt>
                <c:pt idx="46">
                  <c:v>16.111539021987006</c:v>
                </c:pt>
                <c:pt idx="47">
                  <c:v>16.093034480644047</c:v>
                </c:pt>
                <c:pt idx="48">
                  <c:v>16.073245927166788</c:v>
                </c:pt>
                <c:pt idx="49">
                  <c:v>16.052214986827902</c:v>
                </c:pt>
                <c:pt idx="50">
                  <c:v>16.029985109344075</c:v>
                </c:pt>
                <c:pt idx="51">
                  <c:v>16.006601347995431</c:v>
                </c:pt>
                <c:pt idx="52">
                  <c:v>15.982110137905991</c:v>
                </c:pt>
                <c:pt idx="53">
                  <c:v>15.956559075371935</c:v>
                </c:pt>
                <c:pt idx="54">
                  <c:v>15.929996700005407</c:v>
                </c:pt>
                <c:pt idx="55">
                  <c:v>15.619698490359264</c:v>
                </c:pt>
                <c:pt idx="56">
                  <c:v>15.261538813196797</c:v>
                </c:pt>
                <c:pt idx="57">
                  <c:v>14.895025097691764</c:v>
                </c:pt>
                <c:pt idx="58">
                  <c:v>14.546017962128309</c:v>
                </c:pt>
                <c:pt idx="59">
                  <c:v>14.228091273905878</c:v>
                </c:pt>
                <c:pt idx="60">
                  <c:v>13.946218390660396</c:v>
                </c:pt>
                <c:pt idx="61">
                  <c:v>13.700266377298092</c:v>
                </c:pt>
                <c:pt idx="62">
                  <c:v>13.487499836853562</c:v>
                </c:pt>
                <c:pt idx="63">
                  <c:v>13.304128148991467</c:v>
                </c:pt>
                <c:pt idx="64">
                  <c:v>13.146164396178735</c:v>
                </c:pt>
                <c:pt idx="65">
                  <c:v>13.009852777632984</c:v>
                </c:pt>
                <c:pt idx="66">
                  <c:v>12.891848121935253</c:v>
                </c:pt>
                <c:pt idx="67">
                  <c:v>12.78926299331761</c:v>
                </c:pt>
                <c:pt idx="68">
                  <c:v>12.699649773389988</c:v>
                </c:pt>
                <c:pt idx="69">
                  <c:v>12.620954901021886</c:v>
                </c:pt>
                <c:pt idx="70">
                  <c:v>12.55146471712662</c:v>
                </c:pt>
                <c:pt idx="71">
                  <c:v>12.48975240826389</c:v>
                </c:pt>
                <c:pt idx="72">
                  <c:v>12.434630170433095</c:v>
                </c:pt>
                <c:pt idx="73">
                  <c:v>12.09007248025183</c:v>
                </c:pt>
                <c:pt idx="74">
                  <c:v>11.896007291816721</c:v>
                </c:pt>
                <c:pt idx="75">
                  <c:v>11.737501520444159</c:v>
                </c:pt>
                <c:pt idx="76">
                  <c:v>11.582633925323854</c:v>
                </c:pt>
                <c:pt idx="77">
                  <c:v>11.42083179182992</c:v>
                </c:pt>
                <c:pt idx="78">
                  <c:v>11.248575697920417</c:v>
                </c:pt>
                <c:pt idx="79">
                  <c:v>11.065108520112398</c:v>
                </c:pt>
                <c:pt idx="80">
                  <c:v>10.870873267798006</c:v>
                </c:pt>
                <c:pt idx="81">
                  <c:v>10.666852891703003</c:v>
                </c:pt>
                <c:pt idx="82">
                  <c:v>10.454257033258029</c:v>
                </c:pt>
                <c:pt idx="83">
                  <c:v>10.234360372912199</c:v>
                </c:pt>
                <c:pt idx="84">
                  <c:v>10.008414981465849</c:v>
                </c:pt>
                <c:pt idx="85">
                  <c:v>9.7776023555561853</c:v>
                </c:pt>
                <c:pt idx="86">
                  <c:v>9.5430083524004718</c:v>
                </c:pt>
                <c:pt idx="87">
                  <c:v>9.3056120043777923</c:v>
                </c:pt>
                <c:pt idx="88">
                  <c:v>9.0662829493556636</c:v>
                </c:pt>
                <c:pt idx="89">
                  <c:v>8.8257841982136434</c:v>
                </c:pt>
                <c:pt idx="90">
                  <c:v>8.5847781056778025</c:v>
                </c:pt>
                <c:pt idx="91">
                  <c:v>6.236950986019961</c:v>
                </c:pt>
                <c:pt idx="92">
                  <c:v>4.1130582043101667</c:v>
                </c:pt>
                <c:pt idx="93">
                  <c:v>2.2210453482792119</c:v>
                </c:pt>
                <c:pt idx="94">
                  <c:v>0.51911971424997461</c:v>
                </c:pt>
                <c:pt idx="95">
                  <c:v>-1.0321025562221866</c:v>
                </c:pt>
                <c:pt idx="96">
                  <c:v>-2.4622898879501474</c:v>
                </c:pt>
                <c:pt idx="97">
                  <c:v>-3.7928232859111315</c:v>
                </c:pt>
                <c:pt idx="98">
                  <c:v>-5.0391759820008062</c:v>
                </c:pt>
                <c:pt idx="99">
                  <c:v>-6.2128028357601348</c:v>
                </c:pt>
                <c:pt idx="100">
                  <c:v>-7.3224433487685623</c:v>
                </c:pt>
                <c:pt idx="101">
                  <c:v>-8.374981001894259</c:v>
                </c:pt>
                <c:pt idx="102">
                  <c:v>-9.3760027543309192</c:v>
                </c:pt>
                <c:pt idx="103">
                  <c:v>-10.330164043850912</c:v>
                </c:pt>
                <c:pt idx="104">
                  <c:v>-11.241429553411145</c:v>
                </c:pt>
                <c:pt idx="105">
                  <c:v>-12.113234896361082</c:v>
                </c:pt>
                <c:pt idx="106">
                  <c:v>-12.948597768540703</c:v>
                </c:pt>
                <c:pt idx="107">
                  <c:v>-13.750196507590957</c:v>
                </c:pt>
                <c:pt idx="108">
                  <c:v>-14.520427331757611</c:v>
                </c:pt>
                <c:pt idx="109">
                  <c:v>-20.887574286586648</c:v>
                </c:pt>
                <c:pt idx="110">
                  <c:v>-25.622816321704398</c:v>
                </c:pt>
                <c:pt idx="111">
                  <c:v>-29.372546568646982</c:v>
                </c:pt>
                <c:pt idx="112">
                  <c:v>-32.469493680570579</c:v>
                </c:pt>
                <c:pt idx="113">
                  <c:v>-35.104448032457576</c:v>
                </c:pt>
                <c:pt idx="114">
                  <c:v>-37.396054322044115</c:v>
                </c:pt>
                <c:pt idx="115">
                  <c:v>-39.422809548244501</c:v>
                </c:pt>
                <c:pt idx="116">
                  <c:v>-41.239221021421827</c:v>
                </c:pt>
                <c:pt idx="117">
                  <c:v>-42.884625587324479</c:v>
                </c:pt>
                <c:pt idx="118">
                  <c:v>-44.388316315876189</c:v>
                </c:pt>
                <c:pt idx="119">
                  <c:v>-45.772680760462954</c:v>
                </c:pt>
                <c:pt idx="120">
                  <c:v>-47.055206388815577</c:v>
                </c:pt>
                <c:pt idx="121">
                  <c:v>-48.249809380539162</c:v>
                </c:pt>
                <c:pt idx="122">
                  <c:v>-49.367742720018178</c:v>
                </c:pt>
                <c:pt idx="123">
                  <c:v>-50.418233541510652</c:v>
                </c:pt>
                <c:pt idx="124">
                  <c:v>-51.408940949806336</c:v>
                </c:pt>
                <c:pt idx="125">
                  <c:v>-52.346291653494433</c:v>
                </c:pt>
                <c:pt idx="126">
                  <c:v>-53.235730498071653</c:v>
                </c:pt>
              </c:numCache>
            </c:numRef>
          </c:yVal>
          <c:smooth val="0"/>
          <c:extLst>
            <c:ext xmlns:c16="http://schemas.microsoft.com/office/drawing/2014/chart" uri="{C3380CC4-5D6E-409C-BE32-E72D297353CC}">
              <c16:uniqueId val="{00000000-55D2-4FEE-BB76-5018E39DA72B}"/>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Bode!$AB$11</c:f>
              <c:strCache>
                <c:ptCount val="1"/>
                <c:pt idx="0">
                  <c:v>POWERSTAGE_PHASE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Bode!$AB$12:$AB$138</c:f>
              <c:numCache>
                <c:formatCode>_(* #,##0.00_);_(* \(#,##0.00\);_(* "-"??_);_(@_)</c:formatCode>
                <c:ptCount val="127"/>
                <c:pt idx="0">
                  <c:v>-8.2776637881272538E-3</c:v>
                </c:pt>
                <c:pt idx="1">
                  <c:v>-1.2416494599029698E-2</c:v>
                </c:pt>
                <c:pt idx="2">
                  <c:v>-1.6555324110139075E-2</c:v>
                </c:pt>
                <c:pt idx="3">
                  <c:v>-2.0694151888192097E-2</c:v>
                </c:pt>
                <c:pt idx="4">
                  <c:v>-2.4832977499925614E-2</c:v>
                </c:pt>
                <c:pt idx="5">
                  <c:v>-2.8971800512078382E-2</c:v>
                </c:pt>
                <c:pt idx="6">
                  <c:v>-3.3110620491388944E-2</c:v>
                </c:pt>
                <c:pt idx="7">
                  <c:v>-3.7249437004597402E-2</c:v>
                </c:pt>
                <c:pt idx="8">
                  <c:v>-4.1388249618446782E-2</c:v>
                </c:pt>
                <c:pt idx="9">
                  <c:v>-4.5527057899679826E-2</c:v>
                </c:pt>
                <c:pt idx="10">
                  <c:v>-4.9665861415041042E-2</c:v>
                </c:pt>
                <c:pt idx="11">
                  <c:v>-5.3804659731278792E-2</c:v>
                </c:pt>
                <c:pt idx="12">
                  <c:v>-5.7943452415142017E-2</c:v>
                </c:pt>
                <c:pt idx="13">
                  <c:v>-6.2082239033381413E-2</c:v>
                </c:pt>
                <c:pt idx="14">
                  <c:v>-6.6221019152752622E-2</c:v>
                </c:pt>
                <c:pt idx="15">
                  <c:v>-7.0359792340011357E-2</c:v>
                </c:pt>
                <c:pt idx="16">
                  <c:v>-7.4498558161917625E-2</c:v>
                </c:pt>
                <c:pt idx="17">
                  <c:v>-7.8637316185233092E-2</c:v>
                </c:pt>
                <c:pt idx="18">
                  <c:v>-8.2776065976724655E-2</c:v>
                </c:pt>
                <c:pt idx="19">
                  <c:v>-0.12416301583242297</c:v>
                </c:pt>
                <c:pt idx="20">
                  <c:v>-0.1655486659786457</c:v>
                </c:pt>
                <c:pt idx="21">
                  <c:v>-0.20693258326176875</c:v>
                </c:pt>
                <c:pt idx="22">
                  <c:v>-0.24831433459917995</c:v>
                </c:pt>
                <c:pt idx="23">
                  <c:v>-0.28969348699703495</c:v>
                </c:pt>
                <c:pt idx="24">
                  <c:v>-0.33106960756797627</c:v>
                </c:pt>
                <c:pt idx="25">
                  <c:v>-0.37244226354885929</c:v>
                </c:pt>
                <c:pt idx="26">
                  <c:v>-0.4138110223184932</c:v>
                </c:pt>
                <c:pt idx="27">
                  <c:v>-0.45517545141529459</c:v>
                </c:pt>
                <c:pt idx="28">
                  <c:v>-0.49653511855500099</c:v>
                </c:pt>
                <c:pt idx="29">
                  <c:v>-0.53788959164835337</c:v>
                </c:pt>
                <c:pt idx="30">
                  <c:v>-0.57923843881870873</c:v>
                </c:pt>
                <c:pt idx="31">
                  <c:v>-0.6205812284196961</c:v>
                </c:pt>
                <c:pt idx="32">
                  <c:v>-0.66191752905284329</c:v>
                </c:pt>
                <c:pt idx="33">
                  <c:v>-0.70324690958512359</c:v>
                </c:pt>
                <c:pt idx="34">
                  <c:v>-0.74456893916655176</c:v>
                </c:pt>
                <c:pt idx="35">
                  <c:v>-0.78588318724771877</c:v>
                </c:pt>
                <c:pt idx="36">
                  <c:v>-0.82718922359728864</c:v>
                </c:pt>
                <c:pt idx="37">
                  <c:v>-1.2397035532918714</c:v>
                </c:pt>
                <c:pt idx="38">
                  <c:v>-1.6509264857061641</c:v>
                </c:pt>
                <c:pt idx="39">
                  <c:v>-2.0604357423264106</c:v>
                </c:pt>
                <c:pt idx="40">
                  <c:v>-2.4678159667796562</c:v>
                </c:pt>
                <c:pt idx="41">
                  <c:v>-2.8726603378271145</c:v>
                </c:pt>
                <c:pt idx="42">
                  <c:v>-3.2745721067922662</c:v>
                </c:pt>
                <c:pt idx="43">
                  <c:v>-3.673166047014234</c:v>
                </c:pt>
                <c:pt idx="44">
                  <c:v>-4.0680698042767656</c:v>
                </c:pt>
                <c:pt idx="45">
                  <c:v>-4.4589251386603799</c:v>
                </c:pt>
                <c:pt idx="46">
                  <c:v>-4.8453890498665428</c:v>
                </c:pt>
                <c:pt idx="47">
                  <c:v>-5.2271347797283942</c:v>
                </c:pt>
                <c:pt idx="48">
                  <c:v>-5.6038526873184775</c:v>
                </c:pt>
                <c:pt idx="49">
                  <c:v>-5.9752509937573839</c:v>
                </c:pt>
                <c:pt idx="50">
                  <c:v>-6.3410563954794918</c:v>
                </c:pt>
                <c:pt idx="51">
                  <c:v>-6.7010145462977064</c:v>
                </c:pt>
                <c:pt idx="52">
                  <c:v>-7.054890410102133</c:v>
                </c:pt>
                <c:pt idx="53">
                  <c:v>-7.4024684874008893</c:v>
                </c:pt>
                <c:pt idx="54">
                  <c:v>-7.7435529201521156</c:v>
                </c:pt>
                <c:pt idx="55">
                  <c:v>-10.767875979956074</c:v>
                </c:pt>
                <c:pt idx="56">
                  <c:v>-13.061403916338467</c:v>
                </c:pt>
                <c:pt idx="57">
                  <c:v>-14.681251496600101</c:v>
                </c:pt>
                <c:pt idx="58">
                  <c:v>-15.751156182656214</c:v>
                </c:pt>
                <c:pt idx="59">
                  <c:v>-16.407292918732686</c:v>
                </c:pt>
                <c:pt idx="60">
                  <c:v>-16.770059666256987</c:v>
                </c:pt>
                <c:pt idx="61">
                  <c:v>-16.934785266967538</c:v>
                </c:pt>
                <c:pt idx="62">
                  <c:v>-16.972233661637187</c:v>
                </c:pt>
                <c:pt idx="63">
                  <c:v>-16.932807844057574</c:v>
                </c:pt>
                <c:pt idx="64">
                  <c:v>-16.85137744078115</c:v>
                </c:pt>
                <c:pt idx="65">
                  <c:v>-16.751505192848597</c:v>
                </c:pt>
                <c:pt idx="66">
                  <c:v>-16.648755666539348</c:v>
                </c:pt>
                <c:pt idx="67">
                  <c:v>-16.553140068656731</c:v>
                </c:pt>
                <c:pt idx="68">
                  <c:v>-16.470864454427208</c:v>
                </c:pt>
                <c:pt idx="69">
                  <c:v>-16.405555695801446</c:v>
                </c:pt>
                <c:pt idx="70">
                  <c:v>-16.359111028576493</c:v>
                </c:pt>
                <c:pt idx="71">
                  <c:v>-16.332282298486621</c:v>
                </c:pt>
                <c:pt idx="72">
                  <c:v>-16.325075631685195</c:v>
                </c:pt>
                <c:pt idx="73">
                  <c:v>-17.155250125345553</c:v>
                </c:pt>
                <c:pt idx="74">
                  <c:v>-19.024605960882216</c:v>
                </c:pt>
                <c:pt idx="75">
                  <c:v>-21.387478349344626</c:v>
                </c:pt>
                <c:pt idx="76">
                  <c:v>-23.983639550964003</c:v>
                </c:pt>
                <c:pt idx="77">
                  <c:v>-26.68109112764737</c:v>
                </c:pt>
                <c:pt idx="78">
                  <c:v>-29.406417187997988</c:v>
                </c:pt>
                <c:pt idx="79">
                  <c:v>-32.115773161802387</c:v>
                </c:pt>
                <c:pt idx="80">
                  <c:v>-34.78176977351869</c:v>
                </c:pt>
                <c:pt idx="81">
                  <c:v>-37.386968308725208</c:v>
                </c:pt>
                <c:pt idx="82">
                  <c:v>-39.92035856393445</c:v>
                </c:pt>
                <c:pt idx="83">
                  <c:v>-42.375291481367441</c:v>
                </c:pt>
                <c:pt idx="84">
                  <c:v>-44.748175416227284</c:v>
                </c:pt>
                <c:pt idx="85">
                  <c:v>-47.037602842193145</c:v>
                </c:pt>
                <c:pt idx="86">
                  <c:v>-49.243737056063111</c:v>
                </c:pt>
                <c:pt idx="87">
                  <c:v>-51.367866479197723</c:v>
                </c:pt>
                <c:pt idx="88">
                  <c:v>-53.412073362224298</c:v>
                </c:pt>
                <c:pt idx="89">
                  <c:v>-55.378984302943707</c:v>
                </c:pt>
                <c:pt idx="90">
                  <c:v>-57.271581336750664</c:v>
                </c:pt>
                <c:pt idx="91">
                  <c:v>-72.817732555597075</c:v>
                </c:pt>
                <c:pt idx="92">
                  <c:v>-84.107977367738087</c:v>
                </c:pt>
                <c:pt idx="93">
                  <c:v>-92.897113249250779</c:v>
                </c:pt>
                <c:pt idx="94">
                  <c:v>-100.09598514161243</c:v>
                </c:pt>
                <c:pt idx="95">
                  <c:v>-106.19141975208993</c:v>
                </c:pt>
                <c:pt idx="96">
                  <c:v>-111.46401661289879</c:v>
                </c:pt>
                <c:pt idx="97">
                  <c:v>-116.0895187035577</c:v>
                </c:pt>
                <c:pt idx="98">
                  <c:v>-120.18695112486539</c:v>
                </c:pt>
                <c:pt idx="99">
                  <c:v>-123.84250504533713</c:v>
                </c:pt>
                <c:pt idx="100">
                  <c:v>-127.12197931975642</c:v>
                </c:pt>
                <c:pt idx="101">
                  <c:v>-130.07760602000221</c:v>
                </c:pt>
                <c:pt idx="102">
                  <c:v>-132.75201099679052</c:v>
                </c:pt>
                <c:pt idx="103">
                  <c:v>-135.18065495605939</c:v>
                </c:pt>
                <c:pt idx="104">
                  <c:v>-137.3934340211477</c:v>
                </c:pt>
                <c:pt idx="105">
                  <c:v>-139.41579272287831</c:v>
                </c:pt>
                <c:pt idx="106">
                  <c:v>-141.26953866092268</c:v>
                </c:pt>
                <c:pt idx="107">
                  <c:v>-142.97346394886654</c:v>
                </c:pt>
                <c:pt idx="108">
                  <c:v>-144.54383430563075</c:v>
                </c:pt>
                <c:pt idx="109">
                  <c:v>-155.29099145788402</c:v>
                </c:pt>
                <c:pt idx="110">
                  <c:v>-161.14887446002351</c:v>
                </c:pt>
                <c:pt idx="111">
                  <c:v>-164.79449246570886</c:v>
                </c:pt>
                <c:pt idx="112">
                  <c:v>-167.27082824378834</c:v>
                </c:pt>
                <c:pt idx="113">
                  <c:v>-169.05889284417833</c:v>
                </c:pt>
                <c:pt idx="114">
                  <c:v>-170.40910988779109</c:v>
                </c:pt>
                <c:pt idx="115">
                  <c:v>-171.46408102263305</c:v>
                </c:pt>
                <c:pt idx="116">
                  <c:v>-172.31076572364384</c:v>
                </c:pt>
                <c:pt idx="117">
                  <c:v>-173.00512686194423</c:v>
                </c:pt>
                <c:pt idx="118">
                  <c:v>-173.58477671964437</c:v>
                </c:pt>
                <c:pt idx="119">
                  <c:v>-174.07591249846178</c:v>
                </c:pt>
                <c:pt idx="120">
                  <c:v>-174.49733335478177</c:v>
                </c:pt>
                <c:pt idx="121">
                  <c:v>-174.86287543099448</c:v>
                </c:pt>
                <c:pt idx="122">
                  <c:v>-175.18294590946837</c:v>
                </c:pt>
                <c:pt idx="123">
                  <c:v>-175.46552191971111</c:v>
                </c:pt>
                <c:pt idx="124">
                  <c:v>-175.71681987571733</c:v>
                </c:pt>
                <c:pt idx="125">
                  <c:v>-175.94175535683343</c:v>
                </c:pt>
                <c:pt idx="126">
                  <c:v>-176.14426613934248</c:v>
                </c:pt>
              </c:numCache>
            </c:numRef>
          </c:yVal>
          <c:smooth val="0"/>
          <c:extLst>
            <c:ext xmlns:c16="http://schemas.microsoft.com/office/drawing/2014/chart" uri="{C3380CC4-5D6E-409C-BE32-E72D297353CC}">
              <c16:uniqueId val="{00000001-55D2-4FEE-BB76-5018E39DA72B}"/>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60"/>
          <c:min val="-4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0"/>
          <c:min val="-18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VOUT2COMP</a:t>
            </a:r>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Bode!$AC$11</c:f>
              <c:strCache>
                <c:ptCount val="1"/>
                <c:pt idx="0">
                  <c:v>VOUT2COMP_GAIN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Bode!$AC$12:$AC$138</c:f>
              <c:numCache>
                <c:formatCode>General</c:formatCode>
                <c:ptCount val="127"/>
                <c:pt idx="0">
                  <c:v>68.259770430223369</c:v>
                </c:pt>
                <c:pt idx="1">
                  <c:v>64.778539385357874</c:v>
                </c:pt>
                <c:pt idx="2">
                  <c:v>62.294063346104473</c:v>
                </c:pt>
                <c:pt idx="3">
                  <c:v>60.362497996770557</c:v>
                </c:pt>
                <c:pt idx="4">
                  <c:v>58.782482207711581</c:v>
                </c:pt>
                <c:pt idx="5">
                  <c:v>57.445724818792428</c:v>
                </c:pt>
                <c:pt idx="6">
                  <c:v>56.287301116184842</c:v>
                </c:pt>
                <c:pt idx="7">
                  <c:v>55.265222018303739</c:v>
                </c:pt>
                <c:pt idx="8">
                  <c:v>54.350767959767701</c:v>
                </c:pt>
                <c:pt idx="9">
                  <c:v>53.523429936631437</c:v>
                </c:pt>
                <c:pt idx="10">
                  <c:v>52.768051817086992</c:v>
                </c:pt>
                <c:pt idx="11">
                  <c:v>52.07311648844707</c:v>
                </c:pt>
                <c:pt idx="12">
                  <c:v>51.429667126701816</c:v>
                </c:pt>
                <c:pt idx="13">
                  <c:v>50.830600625678116</c:v>
                </c:pt>
                <c:pt idx="14">
                  <c:v>50.270189050385852</c:v>
                </c:pt>
                <c:pt idx="15">
                  <c:v>49.743746159369103</c:v>
                </c:pt>
                <c:pt idx="16">
                  <c:v>49.247389238300705</c:v>
                </c:pt>
                <c:pt idx="17">
                  <c:v>48.777865322087941</c:v>
                </c:pt>
                <c:pt idx="18">
                  <c:v>48.332421987334961</c:v>
                </c:pt>
                <c:pt idx="19">
                  <c:v>44.811067492082302</c:v>
                </c:pt>
                <c:pt idx="20">
                  <c:v>42.312520308626354</c:v>
                </c:pt>
                <c:pt idx="21">
                  <c:v>40.374494269919524</c:v>
                </c:pt>
                <c:pt idx="22">
                  <c:v>38.791037081582203</c:v>
                </c:pt>
                <c:pt idx="23">
                  <c:v>37.452278580045672</c:v>
                </c:pt>
                <c:pt idx="24">
                  <c:v>36.292633191052296</c:v>
                </c:pt>
                <c:pt idx="25">
                  <c:v>35.269795751108923</c:v>
                </c:pt>
                <c:pt idx="26">
                  <c:v>34.3548800897848</c:v>
                </c:pt>
                <c:pt idx="27">
                  <c:v>33.52728262942226</c:v>
                </c:pt>
                <c:pt idx="28">
                  <c:v>32.77179031754757</c:v>
                </c:pt>
                <c:pt idx="29">
                  <c:v>32.076850118514173</c:v>
                </c:pt>
                <c:pt idx="30">
                  <c:v>31.433481629163786</c:v>
                </c:pt>
                <c:pt idx="31">
                  <c:v>30.834565746074279</c:v>
                </c:pt>
                <c:pt idx="32">
                  <c:v>30.274363369950279</c:v>
                </c:pt>
                <c:pt idx="33">
                  <c:v>29.748180275151427</c:v>
                </c:pt>
                <c:pt idx="34">
                  <c:v>29.2521279141287</c:v>
                </c:pt>
                <c:pt idx="35">
                  <c:v>28.782948978906667</c:v>
                </c:pt>
                <c:pt idx="36">
                  <c:v>28.337887758006303</c:v>
                </c:pt>
                <c:pt idx="37">
                  <c:v>24.822033443363978</c:v>
                </c:pt>
                <c:pt idx="38">
                  <c:v>22.331594998428059</c:v>
                </c:pt>
                <c:pt idx="39">
                  <c:v>20.404079898633505</c:v>
                </c:pt>
                <c:pt idx="40">
                  <c:v>18.833465995233773</c:v>
                </c:pt>
                <c:pt idx="41">
                  <c:v>17.50983888281521</c:v>
                </c:pt>
                <c:pt idx="42">
                  <c:v>16.367573325693193</c:v>
                </c:pt>
                <c:pt idx="43">
                  <c:v>15.364323518976127</c:v>
                </c:pt>
                <c:pt idx="44">
                  <c:v>14.471159953931396</c:v>
                </c:pt>
                <c:pt idx="45">
                  <c:v>13.667432507755205</c:v>
                </c:pt>
                <c:pt idx="46">
                  <c:v>12.937878314894689</c:v>
                </c:pt>
                <c:pt idx="47">
                  <c:v>12.270891387603822</c:v>
                </c:pt>
                <c:pt idx="48">
                  <c:v>11.657435449230892</c:v>
                </c:pt>
                <c:pt idx="49">
                  <c:v>11.090332863195517</c:v>
                </c:pt>
                <c:pt idx="50">
                  <c:v>10.563783621258992</c:v>
                </c:pt>
                <c:pt idx="51">
                  <c:v>10.073030507077585</c:v>
                </c:pt>
                <c:pt idx="52">
                  <c:v>9.6141201975208919</c:v>
                </c:pt>
                <c:pt idx="53">
                  <c:v>9.1837291190718542</c:v>
                </c:pt>
                <c:pt idx="54">
                  <c:v>8.7790340942543672</c:v>
                </c:pt>
                <c:pt idx="55">
                  <c:v>5.7384784969990257</c:v>
                </c:pt>
                <c:pt idx="56">
                  <c:v>3.8072505125348766</c:v>
                </c:pt>
                <c:pt idx="57">
                  <c:v>2.4670159466426522</c:v>
                </c:pt>
                <c:pt idx="58">
                  <c:v>1.4730946890810142</c:v>
                </c:pt>
                <c:pt idx="59">
                  <c:v>0.69256501639701007</c:v>
                </c:pt>
                <c:pt idx="60">
                  <c:v>4.8203963663885574E-2</c:v>
                </c:pt>
                <c:pt idx="61">
                  <c:v>-0.50658006217410545</c:v>
                </c:pt>
                <c:pt idx="62">
                  <c:v>-1.0006146216226774</c:v>
                </c:pt>
                <c:pt idx="63">
                  <c:v>-1.4520807131583364</c:v>
                </c:pt>
                <c:pt idx="64">
                  <c:v>-1.8726289149690754</c:v>
                </c:pt>
                <c:pt idx="65">
                  <c:v>-2.2698328476237339</c:v>
                </c:pt>
                <c:pt idx="66">
                  <c:v>-2.648685176921223</c:v>
                </c:pt>
                <c:pt idx="67">
                  <c:v>-3.0125263718364526</c:v>
                </c:pt>
                <c:pt idx="68">
                  <c:v>-3.3636297377156517</c:v>
                </c:pt>
                <c:pt idx="69">
                  <c:v>-3.7035742715294795</c:v>
                </c:pt>
                <c:pt idx="70">
                  <c:v>-4.0334845116711939</c:v>
                </c:pt>
                <c:pt idx="71">
                  <c:v>-4.3541859450608396</c:v>
                </c:pt>
                <c:pt idx="72">
                  <c:v>-4.6663062423235697</c:v>
                </c:pt>
                <c:pt idx="73">
                  <c:v>-7.3966195446376952</c:v>
                </c:pt>
                <c:pt idx="74">
                  <c:v>-9.5807157893447439</c:v>
                </c:pt>
                <c:pt idx="75">
                  <c:v>-11.383898956005854</c:v>
                </c:pt>
                <c:pt idx="76">
                  <c:v>-12.915641208595778</c:v>
                </c:pt>
                <c:pt idx="77">
                  <c:v>-14.248172647720683</c:v>
                </c:pt>
                <c:pt idx="78">
                  <c:v>-15.43012172470875</c:v>
                </c:pt>
                <c:pt idx="79">
                  <c:v>-16.495240088715956</c:v>
                </c:pt>
                <c:pt idx="80">
                  <c:v>-17.467679954886641</c:v>
                </c:pt>
                <c:pt idx="81">
                  <c:v>-18.365205942496601</c:v>
                </c:pt>
                <c:pt idx="82">
                  <c:v>-19.201200155052277</c:v>
                </c:pt>
                <c:pt idx="83">
                  <c:v>-19.985952067475097</c:v>
                </c:pt>
                <c:pt idx="84">
                  <c:v>-20.7275132730373</c:v>
                </c:pt>
                <c:pt idx="85">
                  <c:v>-21.432279709767833</c:v>
                </c:pt>
                <c:pt idx="86">
                  <c:v>-22.105398319335052</c:v>
                </c:pt>
                <c:pt idx="87">
                  <c:v>-22.751057569451138</c:v>
                </c:pt>
                <c:pt idx="88">
                  <c:v>-23.372699264378785</c:v>
                </c:pt>
                <c:pt idx="89">
                  <c:v>-23.973175812567078</c:v>
                </c:pt>
                <c:pt idx="90">
                  <c:v>-24.55486892812943</c:v>
                </c:pt>
                <c:pt idx="91">
                  <c:v>-29.661277805136791</c:v>
                </c:pt>
                <c:pt idx="92">
                  <c:v>-33.977414174698943</c:v>
                </c:pt>
                <c:pt idx="93">
                  <c:v>-37.795518943144288</c:v>
                </c:pt>
                <c:pt idx="94">
                  <c:v>-41.227040452037912</c:v>
                </c:pt>
                <c:pt idx="95">
                  <c:v>-44.335691080591943</c:v>
                </c:pt>
                <c:pt idx="96">
                  <c:v>-47.168364686163208</c:v>
                </c:pt>
                <c:pt idx="97">
                  <c:v>-49.763143683607112</c:v>
                </c:pt>
                <c:pt idx="98">
                  <c:v>-52.151830339639233</c:v>
                </c:pt>
                <c:pt idx="99">
                  <c:v>-54.361148462633579</c:v>
                </c:pt>
                <c:pt idx="100">
                  <c:v>-56.413590376239789</c:v>
                </c:pt>
                <c:pt idx="101">
                  <c:v>-58.328120065487987</c:v>
                </c:pt>
                <c:pt idx="102">
                  <c:v>-60.120772201146892</c:v>
                </c:pt>
                <c:pt idx="103">
                  <c:v>-61.805156768682963</c:v>
                </c:pt>
                <c:pt idx="104">
                  <c:v>-63.392878070420366</c:v>
                </c:pt>
                <c:pt idx="105">
                  <c:v>-64.893879045039853</c:v>
                </c:pt>
                <c:pt idx="106">
                  <c:v>-66.31672257420243</c:v>
                </c:pt>
                <c:pt idx="107">
                  <c:v>-67.668820790410422</c:v>
                </c:pt>
                <c:pt idx="108">
                  <c:v>-68.956622050653593</c:v>
                </c:pt>
                <c:pt idx="109">
                  <c:v>-79.266505140657486</c:v>
                </c:pt>
                <c:pt idx="110">
                  <c:v>-86.67143497174294</c:v>
                </c:pt>
                <c:pt idx="111">
                  <c:v>-92.443381432158489</c:v>
                </c:pt>
                <c:pt idx="112">
                  <c:v>-97.17099134891491</c:v>
                </c:pt>
                <c:pt idx="113">
                  <c:v>-101.17373834818588</c:v>
                </c:pt>
                <c:pt idx="114">
                  <c:v>-104.64411633902063</c:v>
                </c:pt>
                <c:pt idx="115">
                  <c:v>-107.70699616114652</c:v>
                </c:pt>
                <c:pt idx="116">
                  <c:v>-110.44795662334599</c:v>
                </c:pt>
                <c:pt idx="117">
                  <c:v>-112.92819479633067</c:v>
                </c:pt>
                <c:pt idx="118">
                  <c:v>-115.19298016901027</c:v>
                </c:pt>
                <c:pt idx="119">
                  <c:v>-117.27673840030729</c:v>
                </c:pt>
                <c:pt idx="120">
                  <c:v>-119.20625739928931</c:v>
                </c:pt>
                <c:pt idx="121">
                  <c:v>-121.00279043733136</c:v>
                </c:pt>
                <c:pt idx="122">
                  <c:v>-122.68348219099332</c:v>
                </c:pt>
                <c:pt idx="123">
                  <c:v>-124.26236339800671</c:v>
                </c:pt>
                <c:pt idx="124">
                  <c:v>-125.75106175602141</c:v>
                </c:pt>
                <c:pt idx="125">
                  <c:v>-127.15932094336425</c:v>
                </c:pt>
                <c:pt idx="126">
                  <c:v>-128.49538671581377</c:v>
                </c:pt>
              </c:numCache>
            </c:numRef>
          </c:yVal>
          <c:smooth val="0"/>
          <c:extLst>
            <c:ext xmlns:c16="http://schemas.microsoft.com/office/drawing/2014/chart" uri="{C3380CC4-5D6E-409C-BE32-E72D297353CC}">
              <c16:uniqueId val="{00000000-9FD4-4197-B07B-C471AA1A7BD7}"/>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Bode!$AD$11</c:f>
              <c:strCache>
                <c:ptCount val="1"/>
                <c:pt idx="0">
                  <c:v>VOUT2COMP_PHASE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Bode!$AD$12:$AD$138</c:f>
              <c:numCache>
                <c:formatCode>General</c:formatCode>
                <c:ptCount val="127"/>
                <c:pt idx="0">
                  <c:v>-82.552272754152028</c:v>
                </c:pt>
                <c:pt idx="1">
                  <c:v>-85.00902361490148</c:v>
                </c:pt>
                <c:pt idx="2">
                  <c:v>-86.2418197315979</c:v>
                </c:pt>
                <c:pt idx="3">
                  <c:v>-86.980772907633366</c:v>
                </c:pt>
                <c:pt idx="4">
                  <c:v>-87.471919126642788</c:v>
                </c:pt>
                <c:pt idx="5">
                  <c:v>-87.82120015515153</c:v>
                </c:pt>
                <c:pt idx="6">
                  <c:v>-88.081719745405081</c:v>
                </c:pt>
                <c:pt idx="7">
                  <c:v>-88.28302435215889</c:v>
                </c:pt>
                <c:pt idx="8">
                  <c:v>-88.442859165787524</c:v>
                </c:pt>
                <c:pt idx="9">
                  <c:v>-88.572524168101666</c:v>
                </c:pt>
                <c:pt idx="10">
                  <c:v>-88.67955631678123</c:v>
                </c:pt>
                <c:pt idx="11">
                  <c:v>-88.769175377804203</c:v>
                </c:pt>
                <c:pt idx="12">
                  <c:v>-88.845110777583898</c:v>
                </c:pt>
                <c:pt idx="13">
                  <c:v>-88.910098014905444</c:v>
                </c:pt>
                <c:pt idx="14">
                  <c:v>-88.966189064179943</c:v>
                </c:pt>
                <c:pt idx="15">
                  <c:v>-89.01495329933492</c:v>
                </c:pt>
                <c:pt idx="16">
                  <c:v>-89.057611483231426</c:v>
                </c:pt>
                <c:pt idx="17">
                  <c:v>-89.095127467115248</c:v>
                </c:pt>
                <c:pt idx="18">
                  <c:v>-89.1282723932772</c:v>
                </c:pt>
                <c:pt idx="19">
                  <c:v>-89.315463208915077</c:v>
                </c:pt>
                <c:pt idx="20">
                  <c:v>-89.378055793506533</c:v>
                </c:pt>
                <c:pt idx="21">
                  <c:v>-89.390806477139577</c:v>
                </c:pt>
                <c:pt idx="22">
                  <c:v>-89.37863718765874</c:v>
                </c:pt>
                <c:pt idx="23">
                  <c:v>-89.352229612788946</c:v>
                </c:pt>
                <c:pt idx="24">
                  <c:v>-89.316925042423705</c:v>
                </c:pt>
                <c:pt idx="25">
                  <c:v>-89.275691181660321</c:v>
                </c:pt>
                <c:pt idx="26">
                  <c:v>-89.230308920287499</c:v>
                </c:pt>
                <c:pt idx="27">
                  <c:v>-89.181911785962527</c:v>
                </c:pt>
                <c:pt idx="28">
                  <c:v>-89.131255674971555</c:v>
                </c:pt>
                <c:pt idx="29">
                  <c:v>-89.078864093445119</c:v>
                </c:pt>
                <c:pt idx="30">
                  <c:v>-89.025111152992324</c:v>
                </c:pt>
                <c:pt idx="31">
                  <c:v>-88.970271368372295</c:v>
                </c:pt>
                <c:pt idx="32">
                  <c:v>-88.914550781175379</c:v>
                </c:pt>
                <c:pt idx="33">
                  <c:v>-88.858107098741016</c:v>
                </c:pt>
                <c:pt idx="34">
                  <c:v>-88.801063120135069</c:v>
                </c:pt>
                <c:pt idx="35">
                  <c:v>-88.743515922357972</c:v>
                </c:pt>
                <c:pt idx="36">
                  <c:v>-88.685543290697098</c:v>
                </c:pt>
                <c:pt idx="37">
                  <c:v>-88.09217407285945</c:v>
                </c:pt>
                <c:pt idx="38">
                  <c:v>-87.488203807332084</c:v>
                </c:pt>
                <c:pt idx="39">
                  <c:v>-86.881717938993475</c:v>
                </c:pt>
                <c:pt idx="40">
                  <c:v>-86.275806670501524</c:v>
                </c:pt>
                <c:pt idx="41">
                  <c:v>-85.672123245798929</c:v>
                </c:pt>
                <c:pt idx="42">
                  <c:v>-85.071771903049395</c:v>
                </c:pt>
                <c:pt idx="43">
                  <c:v>-84.475602552065936</c:v>
                </c:pt>
                <c:pt idx="44">
                  <c:v>-83.884327599083477</c:v>
                </c:pt>
                <c:pt idx="45">
                  <c:v>-83.29857422278539</c:v>
                </c:pt>
                <c:pt idx="46">
                  <c:v>-82.718909872783414</c:v>
                </c:pt>
                <c:pt idx="47">
                  <c:v>-82.145855518503865</c:v>
                </c:pt>
                <c:pt idx="48">
                  <c:v>-81.579892873395167</c:v>
                </c:pt>
                <c:pt idx="49">
                  <c:v>-81.021468496703349</c:v>
                </c:pt>
                <c:pt idx="50">
                  <c:v>-80.470996220330861</c:v>
                </c:pt>
                <c:pt idx="51">
                  <c:v>-79.928858662942034</c:v>
                </c:pt>
                <c:pt idx="52">
                  <c:v>-79.395408250253666</c:v>
                </c:pt>
                <c:pt idx="53">
                  <c:v>-78.870967979445112</c:v>
                </c:pt>
                <c:pt idx="54">
                  <c:v>-78.355832065817154</c:v>
                </c:pt>
                <c:pt idx="55">
                  <c:v>-73.761672823588739</c:v>
                </c:pt>
                <c:pt idx="56">
                  <c:v>-70.236142196444746</c:v>
                </c:pt>
                <c:pt idx="57">
                  <c:v>-67.727379070192683</c:v>
                </c:pt>
                <c:pt idx="58">
                  <c:v>-66.090148553185003</c:v>
                </c:pt>
                <c:pt idx="59">
                  <c:v>-65.154007308323642</c:v>
                </c:pt>
                <c:pt idx="60">
                  <c:v>-64.759485072212428</c:v>
                </c:pt>
                <c:pt idx="61">
                  <c:v>-64.771900228378925</c:v>
                </c:pt>
                <c:pt idx="62">
                  <c:v>-65.083471891660139</c:v>
                </c:pt>
                <c:pt idx="63">
                  <c:v>-65.610542990767996</c:v>
                </c:pt>
                <c:pt idx="64">
                  <c:v>-66.289368633105966</c:v>
                </c:pt>
                <c:pt idx="65">
                  <c:v>-67.071959859826308</c:v>
                </c:pt>
                <c:pt idx="66">
                  <c:v>-67.922508690576109</c:v>
                </c:pt>
                <c:pt idx="67">
                  <c:v>-68.814498977650985</c:v>
                </c:pt>
                <c:pt idx="68">
                  <c:v>-69.728445584072034</c:v>
                </c:pt>
                <c:pt idx="69">
                  <c:v>-70.650156408025808</c:v>
                </c:pt>
                <c:pt idx="70">
                  <c:v>-71.569409790350974</c:v>
                </c:pt>
                <c:pt idx="71">
                  <c:v>-72.478953878349586</c:v>
                </c:pt>
                <c:pt idx="72">
                  <c:v>-73.37375210222396</c:v>
                </c:pt>
                <c:pt idx="73">
                  <c:v>-81.175523186214079</c:v>
                </c:pt>
                <c:pt idx="74">
                  <c:v>-87.138093450284956</c:v>
                </c:pt>
                <c:pt idx="75">
                  <c:v>-91.949376756261501</c:v>
                </c:pt>
                <c:pt idx="76">
                  <c:v>-96.063640139407639</c:v>
                </c:pt>
                <c:pt idx="77">
                  <c:v>-99.733411965718801</c:v>
                </c:pt>
                <c:pt idx="78">
                  <c:v>-103.10239858436246</c:v>
                </c:pt>
                <c:pt idx="79">
                  <c:v>-106.25630566932109</c:v>
                </c:pt>
                <c:pt idx="80">
                  <c:v>-109.24860473609576</c:v>
                </c:pt>
                <c:pt idx="81">
                  <c:v>-112.11397725533429</c:v>
                </c:pt>
                <c:pt idx="82">
                  <c:v>-114.87566202467393</c:v>
                </c:pt>
                <c:pt idx="83">
                  <c:v>-117.54966143890719</c:v>
                </c:pt>
                <c:pt idx="84">
                  <c:v>-120.14725353520457</c:v>
                </c:pt>
                <c:pt idx="85">
                  <c:v>-122.67654931609432</c:v>
                </c:pt>
                <c:pt idx="86">
                  <c:v>-125.14349018669731</c:v>
                </c:pt>
                <c:pt idx="87">
                  <c:v>-127.55250510647622</c:v>
                </c:pt>
                <c:pt idx="88">
                  <c:v>-129.90695422172357</c:v>
                </c:pt>
                <c:pt idx="89">
                  <c:v>-132.2094346564848</c:v>
                </c:pt>
                <c:pt idx="90">
                  <c:v>-134.46199503179838</c:v>
                </c:pt>
                <c:pt idx="91">
                  <c:v>-154.51154843128791</c:v>
                </c:pt>
                <c:pt idx="92">
                  <c:v>-170.62766973918539</c:v>
                </c:pt>
                <c:pt idx="93">
                  <c:v>-183.53135704293433</c:v>
                </c:pt>
                <c:pt idx="94">
                  <c:v>-193.89829336578117</c:v>
                </c:pt>
                <c:pt idx="95">
                  <c:v>-202.30026289370923</c:v>
                </c:pt>
                <c:pt idx="96">
                  <c:v>-209.18662610067722</c:v>
                </c:pt>
                <c:pt idx="97">
                  <c:v>-214.89866449998013</c:v>
                </c:pt>
                <c:pt idx="98">
                  <c:v>-219.69256995106304</c:v>
                </c:pt>
                <c:pt idx="99">
                  <c:v>-223.76070348881052</c:v>
                </c:pt>
                <c:pt idx="100">
                  <c:v>-227.24842236692541</c:v>
                </c:pt>
                <c:pt idx="101">
                  <c:v>-230.26660383751519</c:v>
                </c:pt>
                <c:pt idx="102">
                  <c:v>-232.9007373860041</c:v>
                </c:pt>
                <c:pt idx="103">
                  <c:v>-235.21747572479501</c:v>
                </c:pt>
                <c:pt idx="104">
                  <c:v>-237.2693606477323</c:v>
                </c:pt>
                <c:pt idx="105">
                  <c:v>-239.09825244857677</c:v>
                </c:pt>
                <c:pt idx="106">
                  <c:v>-240.73783946052674</c:v>
                </c:pt>
                <c:pt idx="107">
                  <c:v>-242.21549212878909</c:v>
                </c:pt>
                <c:pt idx="108">
                  <c:v>-243.55364667868665</c:v>
                </c:pt>
                <c:pt idx="109">
                  <c:v>-252.18991113364166</c:v>
                </c:pt>
                <c:pt idx="110">
                  <c:v>-256.59413987933897</c:v>
                </c:pt>
                <c:pt idx="111">
                  <c:v>-259.25725099719381</c:v>
                </c:pt>
                <c:pt idx="112">
                  <c:v>-261.03949630908863</c:v>
                </c:pt>
                <c:pt idx="113">
                  <c:v>-262.31531463038169</c:v>
                </c:pt>
                <c:pt idx="114">
                  <c:v>-263.27348278379441</c:v>
                </c:pt>
                <c:pt idx="115">
                  <c:v>-264.01940051995507</c:v>
                </c:pt>
                <c:pt idx="116">
                  <c:v>-264.61651297386891</c:v>
                </c:pt>
                <c:pt idx="117">
                  <c:v>-265.10528452196763</c:v>
                </c:pt>
                <c:pt idx="118">
                  <c:v>-265.51273472592078</c:v>
                </c:pt>
                <c:pt idx="119">
                  <c:v>-265.85759176466036</c:v>
                </c:pt>
                <c:pt idx="120">
                  <c:v>-266.1532451113319</c:v>
                </c:pt>
                <c:pt idx="121">
                  <c:v>-266.40952071455632</c:v>
                </c:pt>
                <c:pt idx="122">
                  <c:v>-266.63379222293599</c:v>
                </c:pt>
                <c:pt idx="123">
                  <c:v>-266.83170090359397</c:v>
                </c:pt>
                <c:pt idx="124">
                  <c:v>-267.00763606707534</c:v>
                </c:pt>
                <c:pt idx="125">
                  <c:v>-267.16506404760253</c:v>
                </c:pt>
                <c:pt idx="126">
                  <c:v>-267.30675864513148</c:v>
                </c:pt>
              </c:numCache>
            </c:numRef>
          </c:yVal>
          <c:smooth val="0"/>
          <c:extLst>
            <c:ext xmlns:c16="http://schemas.microsoft.com/office/drawing/2014/chart" uri="{C3380CC4-5D6E-409C-BE32-E72D297353CC}">
              <c16:uniqueId val="{00000001-9FD4-4197-B07B-C471AA1A7BD7}"/>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60"/>
          <c:min val="-4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0"/>
          <c:min val="-18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OPENLOOP</a:t>
            </a:r>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Bode!$AE$11</c:f>
              <c:strCache>
                <c:ptCount val="1"/>
                <c:pt idx="0">
                  <c:v>OPENLOOP_GAIN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Bode!$AE$12:$AE$138</c:f>
              <c:numCache>
                <c:formatCode>_(* #,##0.00_);_(* \(#,##0.00\);_(* "-"??_);_(@_)</c:formatCode>
                <c:ptCount val="127"/>
                <c:pt idx="0">
                  <c:v>84.481439070840182</c:v>
                </c:pt>
                <c:pt idx="1">
                  <c:v>81.000207632720972</c:v>
                </c:pt>
                <c:pt idx="2">
                  <c:v>78.515731042912506</c:v>
                </c:pt>
                <c:pt idx="3">
                  <c:v>76.58416498572231</c:v>
                </c:pt>
                <c:pt idx="4">
                  <c:v>75.004148331506002</c:v>
                </c:pt>
                <c:pt idx="5">
                  <c:v>73.66738992012867</c:v>
                </c:pt>
                <c:pt idx="6">
                  <c:v>72.508965037762295</c:v>
                </c:pt>
                <c:pt idx="7">
                  <c:v>71.486884602822073</c:v>
                </c:pt>
                <c:pt idx="8">
                  <c:v>70.57242904992691</c:v>
                </c:pt>
                <c:pt idx="9">
                  <c:v>69.74508937513184</c:v>
                </c:pt>
                <c:pt idx="10">
                  <c:v>68.989709446629348</c:v>
                </c:pt>
                <c:pt idx="11">
                  <c:v>68.294772151732559</c:v>
                </c:pt>
                <c:pt idx="12">
                  <c:v>67.651320666432042</c:v>
                </c:pt>
                <c:pt idx="13">
                  <c:v>67.052251884555233</c:v>
                </c:pt>
                <c:pt idx="14">
                  <c:v>66.491837871112523</c:v>
                </c:pt>
                <c:pt idx="15">
                  <c:v>65.965392384648581</c:v>
                </c:pt>
                <c:pt idx="16">
                  <c:v>65.469032710836856</c:v>
                </c:pt>
                <c:pt idx="17">
                  <c:v>64.999505884585318</c:v>
                </c:pt>
                <c:pt idx="18">
                  <c:v>64.554059482498729</c:v>
                </c:pt>
                <c:pt idx="19">
                  <c:v>61.032665662875274</c:v>
                </c:pt>
                <c:pt idx="20">
                  <c:v>58.534063426605471</c:v>
                </c:pt>
                <c:pt idx="21">
                  <c:v>56.595966607946863</c:v>
                </c:pt>
                <c:pt idx="22">
                  <c:v>55.012422914197785</c:v>
                </c:pt>
                <c:pt idx="23">
                  <c:v>53.673562183840076</c:v>
                </c:pt>
                <c:pt idx="24">
                  <c:v>52.513798845039176</c:v>
                </c:pt>
                <c:pt idx="25">
                  <c:v>51.490827737097433</c:v>
                </c:pt>
                <c:pt idx="26">
                  <c:v>50.575762692751717</c:v>
                </c:pt>
                <c:pt idx="27">
                  <c:v>49.748000137884006</c:v>
                </c:pt>
                <c:pt idx="28">
                  <c:v>48.992327023932006</c:v>
                </c:pt>
                <c:pt idx="29">
                  <c:v>48.297190319532035</c:v>
                </c:pt>
                <c:pt idx="30">
                  <c:v>47.653609626180042</c:v>
                </c:pt>
                <c:pt idx="31">
                  <c:v>47.054465845479001</c:v>
                </c:pt>
                <c:pt idx="32">
                  <c:v>46.494019883529312</c:v>
                </c:pt>
                <c:pt idx="33">
                  <c:v>45.967577520456643</c:v>
                </c:pt>
                <c:pt idx="34">
                  <c:v>45.471250214847984</c:v>
                </c:pt>
                <c:pt idx="35">
                  <c:v>45.001780665233362</c:v>
                </c:pt>
                <c:pt idx="36">
                  <c:v>44.556413167008458</c:v>
                </c:pt>
                <c:pt idx="37">
                  <c:v>41.036636393267912</c:v>
                </c:pt>
                <c:pt idx="38">
                  <c:v>38.540719479199169</c:v>
                </c:pt>
                <c:pt idx="39">
                  <c:v>36.606182775571305</c:v>
                </c:pt>
                <c:pt idx="40">
                  <c:v>35.027020548621365</c:v>
                </c:pt>
                <c:pt idx="41">
                  <c:v>33.693338245671029</c:v>
                </c:pt>
                <c:pt idx="42">
                  <c:v>32.539533799548394</c:v>
                </c:pt>
                <c:pt idx="43">
                  <c:v>31.523287749059236</c:v>
                </c:pt>
                <c:pt idx="44">
                  <c:v>30.615699946793079</c:v>
                </c:pt>
                <c:pt idx="45">
                  <c:v>29.796152476179202</c:v>
                </c:pt>
                <c:pt idx="46">
                  <c:v>29.049417336881696</c:v>
                </c:pt>
                <c:pt idx="47">
                  <c:v>28.363925868247868</c:v>
                </c:pt>
                <c:pt idx="48">
                  <c:v>27.73068137639768</c:v>
                </c:pt>
                <c:pt idx="49">
                  <c:v>27.142547850023419</c:v>
                </c:pt>
                <c:pt idx="50">
                  <c:v>26.593768730603067</c:v>
                </c:pt>
                <c:pt idx="51">
                  <c:v>26.079631855073018</c:v>
                </c:pt>
                <c:pt idx="52">
                  <c:v>25.596230335426881</c:v>
                </c:pt>
                <c:pt idx="53">
                  <c:v>25.140288194443791</c:v>
                </c:pt>
                <c:pt idx="54">
                  <c:v>24.709030794259775</c:v>
                </c:pt>
                <c:pt idx="55">
                  <c:v>21.358176987358291</c:v>
                </c:pt>
                <c:pt idx="56">
                  <c:v>19.068789325731672</c:v>
                </c:pt>
                <c:pt idx="57">
                  <c:v>17.362041044334418</c:v>
                </c:pt>
                <c:pt idx="58">
                  <c:v>16.019112651209323</c:v>
                </c:pt>
                <c:pt idx="59">
                  <c:v>14.920656290302889</c:v>
                </c:pt>
                <c:pt idx="60">
                  <c:v>13.994422354324282</c:v>
                </c:pt>
                <c:pt idx="61">
                  <c:v>13.193686315123987</c:v>
                </c:pt>
                <c:pt idx="62">
                  <c:v>12.486885215230885</c:v>
                </c:pt>
                <c:pt idx="63">
                  <c:v>11.85204743583313</c:v>
                </c:pt>
                <c:pt idx="64">
                  <c:v>11.27353548120966</c:v>
                </c:pt>
                <c:pt idx="65">
                  <c:v>10.74001993000925</c:v>
                </c:pt>
                <c:pt idx="66">
                  <c:v>10.24316294501403</c:v>
                </c:pt>
                <c:pt idx="67">
                  <c:v>9.7767366214811577</c:v>
                </c:pt>
                <c:pt idx="68">
                  <c:v>9.3360200356743359</c:v>
                </c:pt>
                <c:pt idx="69">
                  <c:v>8.9173806294924063</c:v>
                </c:pt>
                <c:pt idx="70">
                  <c:v>8.5179802054554266</c:v>
                </c:pt>
                <c:pt idx="71">
                  <c:v>8.13556646320305</c:v>
                </c:pt>
                <c:pt idx="72">
                  <c:v>7.7683239281095258</c:v>
                </c:pt>
                <c:pt idx="73">
                  <c:v>4.6934529356141352</c:v>
                </c:pt>
                <c:pt idx="74">
                  <c:v>2.3152915024719771</c:v>
                </c:pt>
                <c:pt idx="75">
                  <c:v>0.35360256443830451</c:v>
                </c:pt>
                <c:pt idx="76">
                  <c:v>-1.3330072832719235</c:v>
                </c:pt>
                <c:pt idx="77">
                  <c:v>-2.8273408558907622</c:v>
                </c:pt>
                <c:pt idx="78">
                  <c:v>-4.1815460267883324</c:v>
                </c:pt>
                <c:pt idx="79">
                  <c:v>-5.4301315686035583</c:v>
                </c:pt>
                <c:pt idx="80">
                  <c:v>-6.5968066870886357</c:v>
                </c:pt>
                <c:pt idx="81">
                  <c:v>-7.6983530507935978</c:v>
                </c:pt>
                <c:pt idx="82">
                  <c:v>-8.7469431217942475</c:v>
                </c:pt>
                <c:pt idx="83">
                  <c:v>-9.7515916945628973</c:v>
                </c:pt>
                <c:pt idx="84">
                  <c:v>-10.71909829157145</c:v>
                </c:pt>
                <c:pt idx="85">
                  <c:v>-11.654677354211648</c:v>
                </c:pt>
                <c:pt idx="86">
                  <c:v>-12.56238996693458</c:v>
                </c:pt>
                <c:pt idx="87">
                  <c:v>-13.445445565073346</c:v>
                </c:pt>
                <c:pt idx="88">
                  <c:v>-14.306416315023121</c:v>
                </c:pt>
                <c:pt idx="89">
                  <c:v>-15.147391614353435</c:v>
                </c:pt>
                <c:pt idx="90">
                  <c:v>-15.970090822451628</c:v>
                </c:pt>
                <c:pt idx="91">
                  <c:v>-23.424326819116828</c:v>
                </c:pt>
                <c:pt idx="92">
                  <c:v>-29.864355970388775</c:v>
                </c:pt>
                <c:pt idx="93">
                  <c:v>-35.574473594865076</c:v>
                </c:pt>
                <c:pt idx="94">
                  <c:v>-40.707920737787937</c:v>
                </c:pt>
                <c:pt idx="95">
                  <c:v>-45.367793636814127</c:v>
                </c:pt>
                <c:pt idx="96">
                  <c:v>-49.630654574113358</c:v>
                </c:pt>
                <c:pt idx="97">
                  <c:v>-53.555966969518245</c:v>
                </c:pt>
                <c:pt idx="98">
                  <c:v>-57.191006321640039</c:v>
                </c:pt>
                <c:pt idx="99">
                  <c:v>-60.573951298393716</c:v>
                </c:pt>
                <c:pt idx="100">
                  <c:v>-63.736033725008355</c:v>
                </c:pt>
                <c:pt idx="101">
                  <c:v>-66.703101067382249</c:v>
                </c:pt>
                <c:pt idx="102">
                  <c:v>-69.496774955477804</c:v>
                </c:pt>
                <c:pt idx="103">
                  <c:v>-72.135320812533877</c:v>
                </c:pt>
                <c:pt idx="104">
                  <c:v>-74.634307623831518</c:v>
                </c:pt>
                <c:pt idx="105">
                  <c:v>-77.007113941400931</c:v>
                </c:pt>
                <c:pt idx="106">
                  <c:v>-79.265320342743138</c:v>
                </c:pt>
                <c:pt idx="107">
                  <c:v>-81.419017298001378</c:v>
                </c:pt>
                <c:pt idx="108">
                  <c:v>-83.477049382411209</c:v>
                </c:pt>
                <c:pt idx="109">
                  <c:v>-100.15407942724414</c:v>
                </c:pt>
                <c:pt idx="110">
                  <c:v>-112.29425129344733</c:v>
                </c:pt>
                <c:pt idx="111">
                  <c:v>-121.81592800080547</c:v>
                </c:pt>
                <c:pt idx="112">
                  <c:v>-129.64048502948549</c:v>
                </c:pt>
                <c:pt idx="113">
                  <c:v>-136.27818638064346</c:v>
                </c:pt>
                <c:pt idx="114">
                  <c:v>-142.04017066106474</c:v>
                </c:pt>
                <c:pt idx="115">
                  <c:v>-147.12980570939101</c:v>
                </c:pt>
                <c:pt idx="116">
                  <c:v>-151.68717764476781</c:v>
                </c:pt>
                <c:pt idx="117">
                  <c:v>-155.81282038365515</c:v>
                </c:pt>
                <c:pt idx="118">
                  <c:v>-159.58129648488645</c:v>
                </c:pt>
                <c:pt idx="119">
                  <c:v>-163.04941916077024</c:v>
                </c:pt>
                <c:pt idx="120">
                  <c:v>-166.26146378810489</c:v>
                </c:pt>
                <c:pt idx="121">
                  <c:v>-169.25259981787053</c:v>
                </c:pt>
                <c:pt idx="122">
                  <c:v>-172.0512249110115</c:v>
                </c:pt>
                <c:pt idx="123">
                  <c:v>-174.68059693951736</c:v>
                </c:pt>
                <c:pt idx="124">
                  <c:v>-177.16000270582776</c:v>
                </c:pt>
                <c:pt idx="125">
                  <c:v>-179.50561259685867</c:v>
                </c:pt>
                <c:pt idx="126">
                  <c:v>-181.73111721388543</c:v>
                </c:pt>
              </c:numCache>
            </c:numRef>
          </c:yVal>
          <c:smooth val="0"/>
          <c:extLst>
            <c:ext xmlns:c16="http://schemas.microsoft.com/office/drawing/2014/chart" uri="{C3380CC4-5D6E-409C-BE32-E72D297353CC}">
              <c16:uniqueId val="{00000000-A218-4A08-82CA-AD8A269DABD4}"/>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Bode!$AF$11</c:f>
              <c:strCache>
                <c:ptCount val="1"/>
                <c:pt idx="0">
                  <c:v>OPENLOOP_PHASE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Bode!$AF$12:$AF$138</c:f>
              <c:numCache>
                <c:formatCode>_(* #,##0.00_);_(* \(#,##0.00\);_(* "-"??_);_(@_)</c:formatCode>
                <c:ptCount val="127"/>
                <c:pt idx="0">
                  <c:v>-82.560550417940149</c:v>
                </c:pt>
                <c:pt idx="1">
                  <c:v>-85.021440109500503</c:v>
                </c:pt>
                <c:pt idx="2">
                  <c:v>-86.258375055708044</c:v>
                </c:pt>
                <c:pt idx="3">
                  <c:v>-87.001467059521559</c:v>
                </c:pt>
                <c:pt idx="4">
                  <c:v>-87.496752104142715</c:v>
                </c:pt>
                <c:pt idx="5">
                  <c:v>-87.850171955663612</c:v>
                </c:pt>
                <c:pt idx="6">
                  <c:v>-88.114830365896466</c:v>
                </c:pt>
                <c:pt idx="7">
                  <c:v>-88.320273789163494</c:v>
                </c:pt>
                <c:pt idx="8">
                  <c:v>-88.484247415405974</c:v>
                </c:pt>
                <c:pt idx="9">
                  <c:v>-88.618051226001342</c:v>
                </c:pt>
                <c:pt idx="10">
                  <c:v>-88.729222178196267</c:v>
                </c:pt>
                <c:pt idx="11">
                  <c:v>-88.822980037535487</c:v>
                </c:pt>
                <c:pt idx="12">
                  <c:v>-88.903054229999043</c:v>
                </c:pt>
                <c:pt idx="13">
                  <c:v>-88.972180253938831</c:v>
                </c:pt>
                <c:pt idx="14">
                  <c:v>-89.032410083332692</c:v>
                </c:pt>
                <c:pt idx="15">
                  <c:v>-89.085313091674934</c:v>
                </c:pt>
                <c:pt idx="16">
                  <c:v>-89.132110041393346</c:v>
                </c:pt>
                <c:pt idx="17">
                  <c:v>-89.173764783300484</c:v>
                </c:pt>
                <c:pt idx="18">
                  <c:v>-89.211048459253931</c:v>
                </c:pt>
                <c:pt idx="19">
                  <c:v>-89.439626224747499</c:v>
                </c:pt>
                <c:pt idx="20">
                  <c:v>-89.543604459485181</c:v>
                </c:pt>
                <c:pt idx="21">
                  <c:v>-89.597739060401352</c:v>
                </c:pt>
                <c:pt idx="22">
                  <c:v>-89.626951522257926</c:v>
                </c:pt>
                <c:pt idx="23">
                  <c:v>-89.641923099785984</c:v>
                </c:pt>
                <c:pt idx="24">
                  <c:v>-89.647994649991688</c:v>
                </c:pt>
                <c:pt idx="25">
                  <c:v>-89.648133445209183</c:v>
                </c:pt>
                <c:pt idx="26">
                  <c:v>-89.644119942605997</c:v>
                </c:pt>
                <c:pt idx="27">
                  <c:v>-89.637087237377827</c:v>
                </c:pt>
                <c:pt idx="28">
                  <c:v>-89.627790793526557</c:v>
                </c:pt>
                <c:pt idx="29">
                  <c:v>-89.616753685093471</c:v>
                </c:pt>
                <c:pt idx="30">
                  <c:v>-89.60434959181103</c:v>
                </c:pt>
                <c:pt idx="31">
                  <c:v>-89.59085259679199</c:v>
                </c:pt>
                <c:pt idx="32">
                  <c:v>-89.576468310228222</c:v>
                </c:pt>
                <c:pt idx="33">
                  <c:v>-89.561354008326134</c:v>
                </c:pt>
                <c:pt idx="34">
                  <c:v>-89.545632059301624</c:v>
                </c:pt>
                <c:pt idx="35">
                  <c:v>-89.529399109605691</c:v>
                </c:pt>
                <c:pt idx="36">
                  <c:v>-89.512732514294385</c:v>
                </c:pt>
                <c:pt idx="37">
                  <c:v>-89.331877626151325</c:v>
                </c:pt>
                <c:pt idx="38">
                  <c:v>-89.139130293038249</c:v>
                </c:pt>
                <c:pt idx="39">
                  <c:v>-88.94215368131988</c:v>
                </c:pt>
                <c:pt idx="40">
                  <c:v>-88.743622637281177</c:v>
                </c:pt>
                <c:pt idx="41">
                  <c:v>-88.544783583626042</c:v>
                </c:pt>
                <c:pt idx="42">
                  <c:v>-88.346344009841658</c:v>
                </c:pt>
                <c:pt idx="43">
                  <c:v>-88.148768599080171</c:v>
                </c:pt>
                <c:pt idx="44">
                  <c:v>-87.952397403360237</c:v>
                </c:pt>
                <c:pt idx="45">
                  <c:v>-87.757499361445767</c:v>
                </c:pt>
                <c:pt idx="46">
                  <c:v>-87.564298922649954</c:v>
                </c:pt>
                <c:pt idx="47">
                  <c:v>-87.372990298232253</c:v>
                </c:pt>
                <c:pt idx="48">
                  <c:v>-87.183745560713646</c:v>
                </c:pt>
                <c:pt idx="49">
                  <c:v>-86.996719490460734</c:v>
                </c:pt>
                <c:pt idx="50">
                  <c:v>-86.812052615810359</c:v>
                </c:pt>
                <c:pt idx="51">
                  <c:v>-86.629873209239747</c:v>
                </c:pt>
                <c:pt idx="52">
                  <c:v>-86.450298660355799</c:v>
                </c:pt>
                <c:pt idx="53">
                  <c:v>-86.273436466846007</c:v>
                </c:pt>
                <c:pt idx="54">
                  <c:v>-86.099384985969266</c:v>
                </c:pt>
                <c:pt idx="55">
                  <c:v>-84.529548803544813</c:v>
                </c:pt>
                <c:pt idx="56">
                  <c:v>-83.297546112783209</c:v>
                </c:pt>
                <c:pt idx="57">
                  <c:v>-82.40863056679278</c:v>
                </c:pt>
                <c:pt idx="58">
                  <c:v>-81.84130473584122</c:v>
                </c:pt>
                <c:pt idx="59">
                  <c:v>-81.561300227056336</c:v>
                </c:pt>
                <c:pt idx="60">
                  <c:v>-81.529544738469411</c:v>
                </c:pt>
                <c:pt idx="61">
                  <c:v>-81.706685495346463</c:v>
                </c:pt>
                <c:pt idx="62">
                  <c:v>-82.055705553297329</c:v>
                </c:pt>
                <c:pt idx="63">
                  <c:v>-82.543350834825574</c:v>
                </c:pt>
                <c:pt idx="64">
                  <c:v>-83.140746073887115</c:v>
                </c:pt>
                <c:pt idx="65">
                  <c:v>-83.823465052674905</c:v>
                </c:pt>
                <c:pt idx="66">
                  <c:v>-84.571264357115453</c:v>
                </c:pt>
                <c:pt idx="67">
                  <c:v>-85.367639046307715</c:v>
                </c:pt>
                <c:pt idx="68">
                  <c:v>-86.199310038499249</c:v>
                </c:pt>
                <c:pt idx="69">
                  <c:v>-87.055712103827261</c:v>
                </c:pt>
                <c:pt idx="70">
                  <c:v>-87.928520818927467</c:v>
                </c:pt>
                <c:pt idx="71">
                  <c:v>-88.811236176836204</c:v>
                </c:pt>
                <c:pt idx="72">
                  <c:v>-89.698827733909155</c:v>
                </c:pt>
                <c:pt idx="73">
                  <c:v>-98.330773311559625</c:v>
                </c:pt>
                <c:pt idx="74">
                  <c:v>-106.16269941116717</c:v>
                </c:pt>
                <c:pt idx="75">
                  <c:v>-113.33685510560613</c:v>
                </c:pt>
                <c:pt idx="76">
                  <c:v>-120.04727969037164</c:v>
                </c:pt>
                <c:pt idx="77">
                  <c:v>-126.41450309336616</c:v>
                </c:pt>
                <c:pt idx="78">
                  <c:v>-132.50881577236044</c:v>
                </c:pt>
                <c:pt idx="79">
                  <c:v>-138.37207883112347</c:v>
                </c:pt>
                <c:pt idx="80">
                  <c:v>-144.03037450961443</c:v>
                </c:pt>
                <c:pt idx="81">
                  <c:v>-149.50094556405949</c:v>
                </c:pt>
                <c:pt idx="82">
                  <c:v>-154.79602058860837</c:v>
                </c:pt>
                <c:pt idx="83">
                  <c:v>-159.92495292027462</c:v>
                </c:pt>
                <c:pt idx="84">
                  <c:v>-164.89542895143185</c:v>
                </c:pt>
                <c:pt idx="85">
                  <c:v>-169.71415215828748</c:v>
                </c:pt>
                <c:pt idx="86">
                  <c:v>-174.38722724276042</c:v>
                </c:pt>
                <c:pt idx="87">
                  <c:v>-178.92037158567393</c:v>
                </c:pt>
                <c:pt idx="88">
                  <c:v>-183.31902758394787</c:v>
                </c:pt>
                <c:pt idx="89">
                  <c:v>-187.58841895942851</c:v>
                </c:pt>
                <c:pt idx="90">
                  <c:v>-191.73357636854905</c:v>
                </c:pt>
                <c:pt idx="91">
                  <c:v>-227.32928098688498</c:v>
                </c:pt>
                <c:pt idx="92">
                  <c:v>-254.73564710692347</c:v>
                </c:pt>
                <c:pt idx="93">
                  <c:v>-276.42847029218512</c:v>
                </c:pt>
                <c:pt idx="94">
                  <c:v>-293.99427850739357</c:v>
                </c:pt>
                <c:pt idx="95">
                  <c:v>-308.49168264579919</c:v>
                </c:pt>
                <c:pt idx="96">
                  <c:v>-320.65064271357602</c:v>
                </c:pt>
                <c:pt idx="97">
                  <c:v>-330.9881832035378</c:v>
                </c:pt>
                <c:pt idx="98">
                  <c:v>-339.87952107592844</c:v>
                </c:pt>
                <c:pt idx="99">
                  <c:v>-347.60320853414765</c:v>
                </c:pt>
                <c:pt idx="100">
                  <c:v>-354.37040168668182</c:v>
                </c:pt>
                <c:pt idx="101">
                  <c:v>-360.3442098575174</c:v>
                </c:pt>
                <c:pt idx="102">
                  <c:v>-365.65274838279458</c:v>
                </c:pt>
                <c:pt idx="103">
                  <c:v>-370.39813068085436</c:v>
                </c:pt>
                <c:pt idx="104">
                  <c:v>-374.66279466888</c:v>
                </c:pt>
                <c:pt idx="105">
                  <c:v>-378.51404517145511</c:v>
                </c:pt>
                <c:pt idx="106">
                  <c:v>-382.00737812144939</c:v>
                </c:pt>
                <c:pt idx="107">
                  <c:v>-385.18895607765563</c:v>
                </c:pt>
                <c:pt idx="108">
                  <c:v>-388.09748098431737</c:v>
                </c:pt>
                <c:pt idx="109">
                  <c:v>-407.48090259152571</c:v>
                </c:pt>
                <c:pt idx="110">
                  <c:v>-417.7430143393625</c:v>
                </c:pt>
                <c:pt idx="111">
                  <c:v>-424.05174346290266</c:v>
                </c:pt>
                <c:pt idx="112">
                  <c:v>-428.31032455287698</c:v>
                </c:pt>
                <c:pt idx="113">
                  <c:v>-431.37420747456002</c:v>
                </c:pt>
                <c:pt idx="114">
                  <c:v>-433.6825926715855</c:v>
                </c:pt>
                <c:pt idx="115">
                  <c:v>-435.48348154258815</c:v>
                </c:pt>
                <c:pt idx="116">
                  <c:v>-436.92727869751275</c:v>
                </c:pt>
                <c:pt idx="117">
                  <c:v>-438.11041138391187</c:v>
                </c:pt>
                <c:pt idx="118">
                  <c:v>-439.09751144556515</c:v>
                </c:pt>
                <c:pt idx="119">
                  <c:v>-439.93350426312213</c:v>
                </c:pt>
                <c:pt idx="120">
                  <c:v>-440.65057846611364</c:v>
                </c:pt>
                <c:pt idx="121">
                  <c:v>-441.27239614555083</c:v>
                </c:pt>
                <c:pt idx="122">
                  <c:v>-441.81673813240434</c:v>
                </c:pt>
                <c:pt idx="123">
                  <c:v>-442.29722282330511</c:v>
                </c:pt>
                <c:pt idx="124">
                  <c:v>-442.7244559427927</c:v>
                </c:pt>
                <c:pt idx="125">
                  <c:v>-443.10681940443595</c:v>
                </c:pt>
                <c:pt idx="126">
                  <c:v>-443.45102478447393</c:v>
                </c:pt>
              </c:numCache>
            </c:numRef>
          </c:yVal>
          <c:smooth val="0"/>
          <c:extLst>
            <c:ext xmlns:c16="http://schemas.microsoft.com/office/drawing/2014/chart" uri="{C3380CC4-5D6E-409C-BE32-E72D297353CC}">
              <c16:uniqueId val="{00000001-A218-4A08-82CA-AD8A269DABD4}"/>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80"/>
          <c:min val="-6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90"/>
          <c:min val="-27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22.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CS2IMON</a:t>
            </a:r>
          </a:p>
        </c:rich>
      </c:tx>
      <c:layout>
        <c:manualLayout>
          <c:xMode val="edge"/>
          <c:yMode val="edge"/>
          <c:x val="0.38532555879494657"/>
          <c:y val="2.4449846994932085E-2"/>
        </c:manualLayout>
      </c:layout>
      <c:overlay val="0"/>
      <c:spPr>
        <a:noFill/>
        <a:ln w="25400">
          <a:noFill/>
        </a:ln>
      </c:spPr>
    </c:title>
    <c:autoTitleDeleted val="0"/>
    <c:plotArea>
      <c:layout>
        <c:manualLayout>
          <c:layoutTarget val="inner"/>
          <c:xMode val="edge"/>
          <c:yMode val="edge"/>
          <c:x val="0.10349854227405264"/>
          <c:y val="9.5803642121931945E-2"/>
          <c:w val="0.80272108843537593"/>
          <c:h val="0.71734049943922984"/>
        </c:manualLayout>
      </c:layout>
      <c:scatterChart>
        <c:scatterStyle val="smoothMarker"/>
        <c:varyColors val="0"/>
        <c:ser>
          <c:idx val="0"/>
          <c:order val="0"/>
          <c:tx>
            <c:strRef>
              <c:f>Bode!$AZ$11</c:f>
              <c:strCache>
                <c:ptCount val="1"/>
                <c:pt idx="0">
                  <c:v>CS2IMON_GAIN</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Bode!$AZ$12:$AZ$138</c:f>
              <c:numCache>
                <c:formatCode>General</c:formatCode>
                <c:ptCount val="127"/>
                <c:pt idx="0">
                  <c:v>4.0823981321750127</c:v>
                </c:pt>
                <c:pt idx="1">
                  <c:v>4.0823962309965554</c:v>
                </c:pt>
                <c:pt idx="2">
                  <c:v>4.0823935693485511</c:v>
                </c:pt>
                <c:pt idx="3">
                  <c:v>4.082390147232581</c:v>
                </c:pt>
                <c:pt idx="4">
                  <c:v>4.0823859646510003</c:v>
                </c:pt>
                <c:pt idx="5">
                  <c:v>4.0823810216064658</c:v>
                </c:pt>
                <c:pt idx="6">
                  <c:v>4.0823753181022946</c:v>
                </c:pt>
                <c:pt idx="7">
                  <c:v>4.0823688541422012</c:v>
                </c:pt>
                <c:pt idx="8">
                  <c:v>4.0823616297303564</c:v>
                </c:pt>
                <c:pt idx="9">
                  <c:v>4.0823536448714934</c:v>
                </c:pt>
                <c:pt idx="10">
                  <c:v>4.0823448995708986</c:v>
                </c:pt>
                <c:pt idx="11">
                  <c:v>4.0823353938342635</c:v>
                </c:pt>
                <c:pt idx="12">
                  <c:v>4.0823251276677848</c:v>
                </c:pt>
                <c:pt idx="13">
                  <c:v>4.0823141010782171</c:v>
                </c:pt>
                <c:pt idx="14">
                  <c:v>4.0823023140727717</c:v>
                </c:pt>
                <c:pt idx="15">
                  <c:v>4.0822897666591125</c:v>
                </c:pt>
                <c:pt idx="16">
                  <c:v>4.0822764588454552</c:v>
                </c:pt>
                <c:pt idx="17">
                  <c:v>4.0822623906405369</c:v>
                </c:pt>
                <c:pt idx="18">
                  <c:v>4.0822475620535927</c:v>
                </c:pt>
                <c:pt idx="19">
                  <c:v>4.0820574575509676</c:v>
                </c:pt>
                <c:pt idx="20">
                  <c:v>4.0817913286588166</c:v>
                </c:pt>
                <c:pt idx="21">
                  <c:v>4.0814491927844081</c:v>
                </c:pt>
                <c:pt idx="22">
                  <c:v>4.0810310723024816</c:v>
                </c:pt>
                <c:pt idx="23">
                  <c:v>4.0805369945511991</c:v>
                </c:pt>
                <c:pt idx="24">
                  <c:v>4.0799669918263</c:v>
                </c:pt>
                <c:pt idx="25">
                  <c:v>4.0793211013747195</c:v>
                </c:pt>
                <c:pt idx="26">
                  <c:v>4.0785993653874879</c:v>
                </c:pt>
                <c:pt idx="27">
                  <c:v>4.077801830991171</c:v>
                </c:pt>
                <c:pt idx="28">
                  <c:v>4.0769285502384367</c:v>
                </c:pt>
                <c:pt idx="29">
                  <c:v>4.0759795800979202</c:v>
                </c:pt>
                <c:pt idx="30">
                  <c:v>4.0749549824431144</c:v>
                </c:pt>
                <c:pt idx="31">
                  <c:v>4.0738548240395867</c:v>
                </c:pt>
                <c:pt idx="32">
                  <c:v>4.0726791765324482</c:v>
                </c:pt>
                <c:pt idx="33">
                  <c:v>4.0714281164318251</c:v>
                </c:pt>
                <c:pt idx="34">
                  <c:v>4.0701017250978166</c:v>
                </c:pt>
                <c:pt idx="35">
                  <c:v>4.068700088724662</c:v>
                </c:pt>
                <c:pt idx="36">
                  <c:v>4.0672232983236505</c:v>
                </c:pt>
                <c:pt idx="37">
                  <c:v>4.0483453510038103</c:v>
                </c:pt>
                <c:pt idx="38">
                  <c:v>4.0220870774811806</c:v>
                </c:pt>
                <c:pt idx="39">
                  <c:v>3.988615338652127</c:v>
                </c:pt>
                <c:pt idx="40">
                  <c:v>3.9481391469931264</c:v>
                </c:pt>
                <c:pt idx="41">
                  <c:v>3.9009058255201481</c:v>
                </c:pt>
                <c:pt idx="42">
                  <c:v>3.8471966228464618</c:v>
                </c:pt>
                <c:pt idx="43">
                  <c:v>3.7873219380986418</c:v>
                </c:pt>
                <c:pt idx="44">
                  <c:v>3.7216163126264261</c:v>
                </c:pt>
                <c:pt idx="45">
                  <c:v>3.6504333405362299</c:v>
                </c:pt>
                <c:pt idx="46">
                  <c:v>3.5741406382838505</c:v>
                </c:pt>
                <c:pt idx="47">
                  <c:v>3.4931149964456196</c:v>
                </c:pt>
                <c:pt idx="48">
                  <c:v>3.4077378160898264</c:v>
                </c:pt>
                <c:pt idx="49">
                  <c:v>3.3183909096297777</c:v>
                </c:pt>
                <c:pt idx="50">
                  <c:v>3.2254527232393606</c:v>
                </c:pt>
                <c:pt idx="51">
                  <c:v>3.1292950161588</c:v>
                </c:pt>
                <c:pt idx="52">
                  <c:v>3.0302800125156741</c:v>
                </c:pt>
                <c:pt idx="53">
                  <c:v>2.928758024298669</c:v>
                </c:pt>
                <c:pt idx="54">
                  <c:v>2.8250655301927381</c:v>
                </c:pt>
                <c:pt idx="55">
                  <c:v>1.7309629579737706</c:v>
                </c:pt>
                <c:pt idx="56">
                  <c:v>0.6674646893361984</c:v>
                </c:pt>
                <c:pt idx="57">
                  <c:v>-0.27167906911870598</c:v>
                </c:pt>
                <c:pt idx="58">
                  <c:v>-1.0665322881822936</c:v>
                </c:pt>
                <c:pt idx="59">
                  <c:v>-1.7270412466956366</c:v>
                </c:pt>
                <c:pt idx="60">
                  <c:v>-2.2722834937973948</c:v>
                </c:pt>
                <c:pt idx="61">
                  <c:v>-2.7221141530721433</c:v>
                </c:pt>
                <c:pt idx="62">
                  <c:v>-3.0942342177913233</c:v>
                </c:pt>
                <c:pt idx="63">
                  <c:v>-3.4034623523193837</c:v>
                </c:pt>
                <c:pt idx="64">
                  <c:v>-3.6618445120004779</c:v>
                </c:pt>
                <c:pt idx="65">
                  <c:v>-3.8790366156505489</c:v>
                </c:pt>
                <c:pt idx="66">
                  <c:v>-4.0627334205742116</c:v>
                </c:pt>
                <c:pt idx="67">
                  <c:v>-4.2190593322447469</c:v>
                </c:pt>
                <c:pt idx="68">
                  <c:v>-4.3528965323457953</c:v>
                </c:pt>
                <c:pt idx="69">
                  <c:v>-4.4681497578852367</c:v>
                </c:pt>
                <c:pt idx="70">
                  <c:v>-4.5679555979326727</c:v>
                </c:pt>
                <c:pt idx="71">
                  <c:v>-4.6548461928029026</c:v>
                </c:pt>
                <c:pt idx="72">
                  <c:v>-4.730876663155156</c:v>
                </c:pt>
                <c:pt idx="73">
                  <c:v>-5.1516226675623962</c:v>
                </c:pt>
                <c:pt idx="74">
                  <c:v>-5.3121132153775843</c:v>
                </c:pt>
                <c:pt idx="75">
                  <c:v>-5.3890090046688819</c:v>
                </c:pt>
                <c:pt idx="76">
                  <c:v>-5.4315072395730013</c:v>
                </c:pt>
                <c:pt idx="77">
                  <c:v>-5.4573862919205842</c:v>
                </c:pt>
                <c:pt idx="78">
                  <c:v>-5.4742865707865729</c:v>
                </c:pt>
                <c:pt idx="79">
                  <c:v>-5.4859210001182515</c:v>
                </c:pt>
                <c:pt idx="80">
                  <c:v>-5.49426697387152</c:v>
                </c:pt>
                <c:pt idx="81">
                  <c:v>-5.5004549582161442</c:v>
                </c:pt>
                <c:pt idx="82">
                  <c:v>-5.5051688026087202</c:v>
                </c:pt>
                <c:pt idx="83">
                  <c:v>-5.5088417022030818</c:v>
                </c:pt>
                <c:pt idx="84">
                  <c:v>-5.5117587939281121</c:v>
                </c:pt>
                <c:pt idx="85">
                  <c:v>-5.5141139362191103</c:v>
                </c:pt>
                <c:pt idx="86">
                  <c:v>-5.5160426329893895</c:v>
                </c:pt>
                <c:pt idx="87">
                  <c:v>-5.5176418991224434</c:v>
                </c:pt>
                <c:pt idx="88">
                  <c:v>-5.5189826651894904</c:v>
                </c:pt>
                <c:pt idx="89">
                  <c:v>-5.5201177586051164</c:v>
                </c:pt>
                <c:pt idx="90">
                  <c:v>-5.521087175608967</c:v>
                </c:pt>
                <c:pt idx="91">
                  <c:v>-5.5260766169660869</c:v>
                </c:pt>
                <c:pt idx="92">
                  <c:v>-5.5278246099488797</c:v>
                </c:pt>
                <c:pt idx="93">
                  <c:v>-5.5286339777821265</c:v>
                </c:pt>
                <c:pt idx="94">
                  <c:v>-5.5290737131458325</c:v>
                </c:pt>
                <c:pt idx="95">
                  <c:v>-5.5293388865048732</c:v>
                </c:pt>
                <c:pt idx="96">
                  <c:v>-5.529511005006718</c:v>
                </c:pt>
                <c:pt idx="97">
                  <c:v>-5.5296290137944846</c:v>
                </c:pt>
                <c:pt idx="98">
                  <c:v>-5.5297134272364099</c:v>
                </c:pt>
                <c:pt idx="99">
                  <c:v>-5.5297758849523042</c:v>
                </c:pt>
                <c:pt idx="100">
                  <c:v>-5.529823389916487</c:v>
                </c:pt>
                <c:pt idx="101">
                  <c:v>-5.5298603603969445</c:v>
                </c:pt>
                <c:pt idx="102">
                  <c:v>-5.5298896956203238</c:v>
                </c:pt>
                <c:pt idx="103">
                  <c:v>-5.5299133619614773</c:v>
                </c:pt>
                <c:pt idx="104">
                  <c:v>-5.5299327312470803</c:v>
                </c:pt>
                <c:pt idx="105">
                  <c:v>-5.5299487841186217</c:v>
                </c:pt>
                <c:pt idx="106">
                  <c:v>-5.5299622366380063</c:v>
                </c:pt>
                <c:pt idx="107">
                  <c:v>-5.5299736215452207</c:v>
                </c:pt>
                <c:pt idx="108">
                  <c:v>-5.5299833418237787</c:v>
                </c:pt>
                <c:pt idx="109">
                  <c:v>-5.5300333282995693</c:v>
                </c:pt>
                <c:pt idx="110">
                  <c:v>-5.530050823735416</c:v>
                </c:pt>
                <c:pt idx="111">
                  <c:v>-5.5300589216525697</c:v>
                </c:pt>
                <c:pt idx="112">
                  <c:v>-5.5300633205290195</c:v>
                </c:pt>
                <c:pt idx="113">
                  <c:v>-5.5300659729154642</c:v>
                </c:pt>
                <c:pt idx="114">
                  <c:v>-5.5300676944173848</c:v>
                </c:pt>
                <c:pt idx="115">
                  <c:v>-5.5300688746738933</c:v>
                </c:pt>
                <c:pt idx="116">
                  <c:v>-5.5300697189046826</c:v>
                </c:pt>
                <c:pt idx="117">
                  <c:v>-5.5300703435401282</c:v>
                </c:pt>
                <c:pt idx="118">
                  <c:v>-5.5300708186266867</c:v>
                </c:pt>
                <c:pt idx="119">
                  <c:v>-5.5300711883557856</c:v>
                </c:pt>
                <c:pt idx="120">
                  <c:v>-5.5300714817245353</c:v>
                </c:pt>
                <c:pt idx="121">
                  <c:v>-5.5300717183994959</c:v>
                </c:pt>
                <c:pt idx="122">
                  <c:v>-5.5300719121006114</c:v>
                </c:pt>
                <c:pt idx="123">
                  <c:v>-5.5300720726353658</c:v>
                </c:pt>
                <c:pt idx="124">
                  <c:v>-5.5300722071650519</c:v>
                </c:pt>
                <c:pt idx="125">
                  <c:v>-5.5300723210175295</c:v>
                </c:pt>
                <c:pt idx="126">
                  <c:v>-5.5300724182229475</c:v>
                </c:pt>
              </c:numCache>
            </c:numRef>
          </c:yVal>
          <c:smooth val="0"/>
          <c:extLst>
            <c:ext xmlns:c16="http://schemas.microsoft.com/office/drawing/2014/chart" uri="{C3380CC4-5D6E-409C-BE32-E72D297353CC}">
              <c16:uniqueId val="{00000000-85CD-408B-9CB0-37853C0C575C}"/>
            </c:ext>
          </c:extLst>
        </c:ser>
        <c:dLbls>
          <c:showLegendKey val="0"/>
          <c:showVal val="0"/>
          <c:showCatName val="0"/>
          <c:showSerName val="0"/>
          <c:showPercent val="0"/>
          <c:showBubbleSize val="0"/>
        </c:dLbls>
        <c:axId val="80968320"/>
        <c:axId val="80978688"/>
      </c:scatterChart>
      <c:scatterChart>
        <c:scatterStyle val="lineMarker"/>
        <c:varyColors val="0"/>
        <c:ser>
          <c:idx val="1"/>
          <c:order val="1"/>
          <c:tx>
            <c:strRef>
              <c:f>Bode!$BA$11</c:f>
              <c:strCache>
                <c:ptCount val="1"/>
                <c:pt idx="0">
                  <c:v>CS2IMON_PHASE</c:v>
                </c:pt>
              </c:strCache>
            </c:strRef>
          </c:tx>
          <c:marker>
            <c:symbol val="none"/>
          </c:marker>
          <c:xVal>
            <c:numRef>
              <c:f>Bode!$F$12:$F$138</c:f>
              <c:numCache>
                <c:formatCode>General</c:formatCode>
                <c:ptCount val="127"/>
                <c:pt idx="0">
                  <c:v>1</c:v>
                </c:pt>
                <c:pt idx="1">
                  <c:v>1.5</c:v>
                </c:pt>
                <c:pt idx="2">
                  <c:v>2</c:v>
                </c:pt>
                <c:pt idx="3">
                  <c:v>2.5</c:v>
                </c:pt>
                <c:pt idx="4">
                  <c:v>3</c:v>
                </c:pt>
                <c:pt idx="5">
                  <c:v>3.5</c:v>
                </c:pt>
                <c:pt idx="6">
                  <c:v>4</c:v>
                </c:pt>
                <c:pt idx="7">
                  <c:v>4.5</c:v>
                </c:pt>
                <c:pt idx="8">
                  <c:v>5</c:v>
                </c:pt>
                <c:pt idx="9">
                  <c:v>5.5</c:v>
                </c:pt>
                <c:pt idx="10">
                  <c:v>6</c:v>
                </c:pt>
                <c:pt idx="11">
                  <c:v>6.5</c:v>
                </c:pt>
                <c:pt idx="12">
                  <c:v>7</c:v>
                </c:pt>
                <c:pt idx="13">
                  <c:v>7.5</c:v>
                </c:pt>
                <c:pt idx="14">
                  <c:v>8</c:v>
                </c:pt>
                <c:pt idx="15">
                  <c:v>8.5</c:v>
                </c:pt>
                <c:pt idx="16">
                  <c:v>9</c:v>
                </c:pt>
                <c:pt idx="17">
                  <c:v>9.5</c:v>
                </c:pt>
                <c:pt idx="18">
                  <c:v>10</c:v>
                </c:pt>
                <c:pt idx="19">
                  <c:v>15</c:v>
                </c:pt>
                <c:pt idx="20">
                  <c:v>20</c:v>
                </c:pt>
                <c:pt idx="21">
                  <c:v>25</c:v>
                </c:pt>
                <c:pt idx="22">
                  <c:v>30</c:v>
                </c:pt>
                <c:pt idx="23">
                  <c:v>35</c:v>
                </c:pt>
                <c:pt idx="24">
                  <c:v>40</c:v>
                </c:pt>
                <c:pt idx="25">
                  <c:v>45</c:v>
                </c:pt>
                <c:pt idx="26">
                  <c:v>50</c:v>
                </c:pt>
                <c:pt idx="27">
                  <c:v>55</c:v>
                </c:pt>
                <c:pt idx="28">
                  <c:v>60</c:v>
                </c:pt>
                <c:pt idx="29">
                  <c:v>65</c:v>
                </c:pt>
                <c:pt idx="30">
                  <c:v>70</c:v>
                </c:pt>
                <c:pt idx="31">
                  <c:v>75</c:v>
                </c:pt>
                <c:pt idx="32">
                  <c:v>80</c:v>
                </c:pt>
                <c:pt idx="33">
                  <c:v>85</c:v>
                </c:pt>
                <c:pt idx="34">
                  <c:v>90</c:v>
                </c:pt>
                <c:pt idx="35">
                  <c:v>95</c:v>
                </c:pt>
                <c:pt idx="36">
                  <c:v>100</c:v>
                </c:pt>
                <c:pt idx="37">
                  <c:v>150</c:v>
                </c:pt>
                <c:pt idx="38">
                  <c:v>200</c:v>
                </c:pt>
                <c:pt idx="39">
                  <c:v>250</c:v>
                </c:pt>
                <c:pt idx="40">
                  <c:v>300</c:v>
                </c:pt>
                <c:pt idx="41">
                  <c:v>350</c:v>
                </c:pt>
                <c:pt idx="42">
                  <c:v>400</c:v>
                </c:pt>
                <c:pt idx="43">
                  <c:v>450</c:v>
                </c:pt>
                <c:pt idx="44">
                  <c:v>500</c:v>
                </c:pt>
                <c:pt idx="45">
                  <c:v>550</c:v>
                </c:pt>
                <c:pt idx="46">
                  <c:v>600</c:v>
                </c:pt>
                <c:pt idx="47">
                  <c:v>650</c:v>
                </c:pt>
                <c:pt idx="48">
                  <c:v>700</c:v>
                </c:pt>
                <c:pt idx="49">
                  <c:v>750</c:v>
                </c:pt>
                <c:pt idx="50">
                  <c:v>800</c:v>
                </c:pt>
                <c:pt idx="51">
                  <c:v>850</c:v>
                </c:pt>
                <c:pt idx="52">
                  <c:v>900</c:v>
                </c:pt>
                <c:pt idx="53">
                  <c:v>950</c:v>
                </c:pt>
                <c:pt idx="54">
                  <c:v>1000</c:v>
                </c:pt>
                <c:pt idx="55">
                  <c:v>1500</c:v>
                </c:pt>
                <c:pt idx="56">
                  <c:v>2000</c:v>
                </c:pt>
                <c:pt idx="57">
                  <c:v>2500</c:v>
                </c:pt>
                <c:pt idx="58">
                  <c:v>3000</c:v>
                </c:pt>
                <c:pt idx="59">
                  <c:v>3500</c:v>
                </c:pt>
                <c:pt idx="60">
                  <c:v>4000</c:v>
                </c:pt>
                <c:pt idx="61">
                  <c:v>4500</c:v>
                </c:pt>
                <c:pt idx="62">
                  <c:v>5000</c:v>
                </c:pt>
                <c:pt idx="63">
                  <c:v>5500</c:v>
                </c:pt>
                <c:pt idx="64">
                  <c:v>6000</c:v>
                </c:pt>
                <c:pt idx="65">
                  <c:v>6500</c:v>
                </c:pt>
                <c:pt idx="66">
                  <c:v>7000</c:v>
                </c:pt>
                <c:pt idx="67">
                  <c:v>7500</c:v>
                </c:pt>
                <c:pt idx="68">
                  <c:v>8000</c:v>
                </c:pt>
                <c:pt idx="69">
                  <c:v>8500</c:v>
                </c:pt>
                <c:pt idx="70">
                  <c:v>9000</c:v>
                </c:pt>
                <c:pt idx="71">
                  <c:v>9500</c:v>
                </c:pt>
                <c:pt idx="72">
                  <c:v>10000</c:v>
                </c:pt>
                <c:pt idx="73">
                  <c:v>15000</c:v>
                </c:pt>
                <c:pt idx="74">
                  <c:v>20000</c:v>
                </c:pt>
                <c:pt idx="75">
                  <c:v>25000</c:v>
                </c:pt>
                <c:pt idx="76">
                  <c:v>30000</c:v>
                </c:pt>
                <c:pt idx="77">
                  <c:v>35000</c:v>
                </c:pt>
                <c:pt idx="78">
                  <c:v>40000</c:v>
                </c:pt>
                <c:pt idx="79">
                  <c:v>45000</c:v>
                </c:pt>
                <c:pt idx="80">
                  <c:v>50000</c:v>
                </c:pt>
                <c:pt idx="81">
                  <c:v>55000</c:v>
                </c:pt>
                <c:pt idx="82">
                  <c:v>60000</c:v>
                </c:pt>
                <c:pt idx="83">
                  <c:v>65000</c:v>
                </c:pt>
                <c:pt idx="84">
                  <c:v>70000</c:v>
                </c:pt>
                <c:pt idx="85">
                  <c:v>75000</c:v>
                </c:pt>
                <c:pt idx="86">
                  <c:v>80000</c:v>
                </c:pt>
                <c:pt idx="87">
                  <c:v>85000</c:v>
                </c:pt>
                <c:pt idx="88">
                  <c:v>90000</c:v>
                </c:pt>
                <c:pt idx="89">
                  <c:v>95000</c:v>
                </c:pt>
                <c:pt idx="90">
                  <c:v>100000</c:v>
                </c:pt>
                <c:pt idx="91">
                  <c:v>150000</c:v>
                </c:pt>
                <c:pt idx="92">
                  <c:v>200000</c:v>
                </c:pt>
                <c:pt idx="93">
                  <c:v>250000</c:v>
                </c:pt>
                <c:pt idx="94">
                  <c:v>300000</c:v>
                </c:pt>
                <c:pt idx="95">
                  <c:v>350000</c:v>
                </c:pt>
                <c:pt idx="96">
                  <c:v>400000</c:v>
                </c:pt>
                <c:pt idx="97">
                  <c:v>450000</c:v>
                </c:pt>
                <c:pt idx="98">
                  <c:v>500000</c:v>
                </c:pt>
                <c:pt idx="99">
                  <c:v>550000</c:v>
                </c:pt>
                <c:pt idx="100">
                  <c:v>600000</c:v>
                </c:pt>
                <c:pt idx="101">
                  <c:v>650000</c:v>
                </c:pt>
                <c:pt idx="102">
                  <c:v>700000</c:v>
                </c:pt>
                <c:pt idx="103">
                  <c:v>750000</c:v>
                </c:pt>
                <c:pt idx="104">
                  <c:v>800000</c:v>
                </c:pt>
                <c:pt idx="105">
                  <c:v>850000</c:v>
                </c:pt>
                <c:pt idx="106">
                  <c:v>900000</c:v>
                </c:pt>
                <c:pt idx="107">
                  <c:v>950000</c:v>
                </c:pt>
                <c:pt idx="108">
                  <c:v>1000000</c:v>
                </c:pt>
                <c:pt idx="109">
                  <c:v>1500000</c:v>
                </c:pt>
                <c:pt idx="110">
                  <c:v>2000000</c:v>
                </c:pt>
                <c:pt idx="111">
                  <c:v>2500000</c:v>
                </c:pt>
                <c:pt idx="112">
                  <c:v>3000000</c:v>
                </c:pt>
                <c:pt idx="113">
                  <c:v>3500000</c:v>
                </c:pt>
                <c:pt idx="114">
                  <c:v>4000000</c:v>
                </c:pt>
                <c:pt idx="115">
                  <c:v>4500000</c:v>
                </c:pt>
                <c:pt idx="116">
                  <c:v>5000000</c:v>
                </c:pt>
                <c:pt idx="117">
                  <c:v>5500000</c:v>
                </c:pt>
                <c:pt idx="118">
                  <c:v>6000000</c:v>
                </c:pt>
                <c:pt idx="119">
                  <c:v>6500000</c:v>
                </c:pt>
                <c:pt idx="120">
                  <c:v>7000000</c:v>
                </c:pt>
                <c:pt idx="121">
                  <c:v>7500000</c:v>
                </c:pt>
                <c:pt idx="122">
                  <c:v>8000000</c:v>
                </c:pt>
                <c:pt idx="123">
                  <c:v>8500000</c:v>
                </c:pt>
                <c:pt idx="124">
                  <c:v>9000000</c:v>
                </c:pt>
                <c:pt idx="125">
                  <c:v>9500000</c:v>
                </c:pt>
                <c:pt idx="126">
                  <c:v>10000000</c:v>
                </c:pt>
              </c:numCache>
            </c:numRef>
          </c:xVal>
          <c:yVal>
            <c:numRef>
              <c:f>Bode!$BA$12:$BA$138</c:f>
              <c:numCache>
                <c:formatCode>General</c:formatCode>
                <c:ptCount val="127"/>
                <c:pt idx="0">
                  <c:v>-2.4047995461309559E-2</c:v>
                </c:pt>
                <c:pt idx="1">
                  <c:v>-3.6071984681925011E-2</c:v>
                </c:pt>
                <c:pt idx="2">
                  <c:v>-4.809596369050391E-2</c:v>
                </c:pt>
                <c:pt idx="3">
                  <c:v>-6.011992908305485E-2</c:v>
                </c:pt>
                <c:pt idx="4">
                  <c:v>-7.2143877455600719E-2</c:v>
                </c:pt>
                <c:pt idx="5">
                  <c:v>-8.4167805404187376E-2</c:v>
                </c:pt>
                <c:pt idx="6">
                  <c:v>-9.6191709524883151E-2</c:v>
                </c:pt>
                <c:pt idx="7">
                  <c:v>-0.10821558641378751</c:v>
                </c:pt>
                <c:pt idx="8">
                  <c:v>-0.1202394326670318</c:v>
                </c:pt>
                <c:pt idx="9">
                  <c:v>-0.13226324488078611</c:v>
                </c:pt>
                <c:pt idx="10">
                  <c:v>-0.14428701965126123</c:v>
                </c:pt>
                <c:pt idx="11">
                  <c:v>-0.15631075357471053</c:v>
                </c:pt>
                <c:pt idx="12">
                  <c:v>-0.16833444324744548</c:v>
                </c:pt>
                <c:pt idx="13">
                  <c:v>-0.18035808526582159</c:v>
                </c:pt>
                <c:pt idx="14">
                  <c:v>-0.19238167622625793</c:v>
                </c:pt>
                <c:pt idx="15">
                  <c:v>-0.20440521272523682</c:v>
                </c:pt>
                <c:pt idx="16">
                  <c:v>-0.21642869135930332</c:v>
                </c:pt>
                <c:pt idx="17">
                  <c:v>-0.22845210872507632</c:v>
                </c:pt>
                <c:pt idx="18">
                  <c:v>-0.2404754614192437</c:v>
                </c:pt>
                <c:pt idx="19">
                  <c:v>-0.36070468275673018</c:v>
                </c:pt>
                <c:pt idx="20">
                  <c:v>-0.4809236940092797</c:v>
                </c:pt>
                <c:pt idx="21">
                  <c:v>-0.60112909375092693</c:v>
                </c:pt>
                <c:pt idx="22">
                  <c:v>-0.7213174822141315</c:v>
                </c:pt>
                <c:pt idx="23">
                  <c:v>-0.84148546170343863</c:v>
                </c:pt>
                <c:pt idx="24">
                  <c:v>-0.96162963700858695</c:v>
                </c:pt>
                <c:pt idx="25">
                  <c:v>-1.081746615816825</c:v>
                </c:pt>
                <c:pt idx="26">
                  <c:v>-1.2018330091243803</c:v>
                </c:pt>
                <c:pt idx="27">
                  <c:v>-1.3218854316469912</c:v>
                </c:pt>
                <c:pt idx="28">
                  <c:v>-1.4419005022293254</c:v>
                </c:pt>
                <c:pt idx="29">
                  <c:v>-1.5618748442531136</c:v>
                </c:pt>
                <c:pt idx="30">
                  <c:v>-1.6818050860440794</c:v>
                </c:pt>
                <c:pt idx="31">
                  <c:v>-1.801687861277284</c:v>
                </c:pt>
                <c:pt idx="32">
                  <c:v>-1.9215198093809933</c:v>
                </c:pt>
                <c:pt idx="33">
                  <c:v>-2.0412975759387879</c:v>
                </c:pt>
                <c:pt idx="34">
                  <c:v>-2.1610178130899449</c:v>
                </c:pt>
                <c:pt idx="35">
                  <c:v>-2.2806771799278396</c:v>
                </c:pt>
                <c:pt idx="36">
                  <c:v>-2.4002723428962804</c:v>
                </c:pt>
                <c:pt idx="37">
                  <c:v>-3.5919654151165115</c:v>
                </c:pt>
                <c:pt idx="38">
                  <c:v>-4.7736406175835251</c:v>
                </c:pt>
                <c:pt idx="39">
                  <c:v>-5.9421448730427695</c:v>
                </c:pt>
                <c:pt idx="40">
                  <c:v>-7.0944778405486559</c:v>
                </c:pt>
                <c:pt idx="41">
                  <c:v>-8.227821934198662</c:v>
                </c:pt>
                <c:pt idx="42">
                  <c:v>-9.3395675235976316</c:v>
                </c:pt>
                <c:pt idx="43">
                  <c:v>-10.427332910577363</c:v>
                </c:pt>
                <c:pt idx="44">
                  <c:v>-11.488978905425585</c:v>
                </c:pt>
                <c:pt idx="45">
                  <c:v>-12.522618042335687</c:v>
                </c:pt>
                <c:pt idx="46">
                  <c:v>-13.526618665773297</c:v>
                </c:pt>
                <c:pt idx="47">
                  <c:v>-14.499604278200666</c:v>
                </c:pt>
                <c:pt idx="48">
                  <c:v>-15.440448660061426</c:v>
                </c:pt>
                <c:pt idx="49">
                  <c:v>-16.348267353657583</c:v>
                </c:pt>
                <c:pt idx="50">
                  <c:v>-17.222406145165458</c:v>
                </c:pt>
                <c:pt idx="51">
                  <c:v>-18.062427187537615</c:v>
                </c:pt>
                <c:pt idx="52">
                  <c:v>-18.868093386985485</c:v>
                </c:pt>
                <c:pt idx="53">
                  <c:v>-19.639351633468614</c:v>
                </c:pt>
                <c:pt idx="54">
                  <c:v>-20.376315397597629</c:v>
                </c:pt>
                <c:pt idx="55">
                  <c:v>-25.970108538069407</c:v>
                </c:pt>
                <c:pt idx="56">
                  <c:v>-28.909176181903206</c:v>
                </c:pt>
                <c:pt idx="57">
                  <c:v>-30.066199420372907</c:v>
                </c:pt>
                <c:pt idx="58">
                  <c:v>-30.123164911543697</c:v>
                </c:pt>
                <c:pt idx="59">
                  <c:v>-29.535912749178166</c:v>
                </c:pt>
                <c:pt idx="60">
                  <c:v>-28.592468419864815</c:v>
                </c:pt>
                <c:pt idx="61">
                  <c:v>-27.47043938361826</c:v>
                </c:pt>
                <c:pt idx="62">
                  <c:v>-26.277574795146197</c:v>
                </c:pt>
                <c:pt idx="63">
                  <c:v>-25.078017517068815</c:v>
                </c:pt>
                <c:pt idx="64">
                  <c:v>-23.908837392331904</c:v>
                </c:pt>
                <c:pt idx="65">
                  <c:v>-22.790365173987293</c:v>
                </c:pt>
                <c:pt idx="66">
                  <c:v>-21.732646040834208</c:v>
                </c:pt>
                <c:pt idx="67">
                  <c:v>-20.739473804312581</c:v>
                </c:pt>
                <c:pt idx="68">
                  <c:v>-19.810914634713185</c:v>
                </c:pt>
                <c:pt idx="69">
                  <c:v>-18.944884693260736</c:v>
                </c:pt>
                <c:pt idx="70">
                  <c:v>-18.138133081533752</c:v>
                </c:pt>
                <c:pt idx="71">
                  <c:v>-17.386849845974876</c:v>
                </c:pt>
                <c:pt idx="72">
                  <c:v>-16.687037097617271</c:v>
                </c:pt>
                <c:pt idx="73">
                  <c:v>-11.755607039126739</c:v>
                </c:pt>
                <c:pt idx="74">
                  <c:v>-8.9990246669910707</c:v>
                </c:pt>
                <c:pt idx="75">
                  <c:v>-7.2693881251373984</c:v>
                </c:pt>
                <c:pt idx="76">
                  <c:v>-6.0902060799186648</c:v>
                </c:pt>
                <c:pt idx="77">
                  <c:v>-5.2370984861254328</c:v>
                </c:pt>
                <c:pt idx="78">
                  <c:v>-4.5921376378671859</c:v>
                </c:pt>
                <c:pt idx="79">
                  <c:v>-4.0878242641202238</c:v>
                </c:pt>
                <c:pt idx="80">
                  <c:v>-3.6828678547035025</c:v>
                </c:pt>
                <c:pt idx="81">
                  <c:v>-3.3506411728370273</c:v>
                </c:pt>
                <c:pt idx="82">
                  <c:v>-3.0732226442278359</c:v>
                </c:pt>
                <c:pt idx="83">
                  <c:v>-2.8381168405473312</c:v>
                </c:pt>
                <c:pt idx="84">
                  <c:v>-2.6363500575767147</c:v>
                </c:pt>
                <c:pt idx="85">
                  <c:v>-2.4613137173053952</c:v>
                </c:pt>
                <c:pt idx="86">
                  <c:v>-2.3080346813654407</c:v>
                </c:pt>
                <c:pt idx="87">
                  <c:v>-2.1726995885976499</c:v>
                </c:pt>
                <c:pt idx="88">
                  <c:v>-2.0523358505324745</c:v>
                </c:pt>
                <c:pt idx="89">
                  <c:v>-1.9445923195642942</c:v>
                </c:pt>
                <c:pt idx="90">
                  <c:v>-1.8475851364812765</c:v>
                </c:pt>
                <c:pt idx="91">
                  <c:v>-1.2324867199998208</c:v>
                </c:pt>
                <c:pt idx="92">
                  <c:v>-0.92456562169520518</c:v>
                </c:pt>
                <c:pt idx="93">
                  <c:v>-0.73972680035027261</c:v>
                </c:pt>
                <c:pt idx="94">
                  <c:v>-0.61647264212801189</c:v>
                </c:pt>
                <c:pt idx="95">
                  <c:v>-0.52842251090269354</c:v>
                </c:pt>
                <c:pt idx="96">
                  <c:v>-0.46237957314040479</c:v>
                </c:pt>
                <c:pt idx="97">
                  <c:v>-0.41101008397986</c:v>
                </c:pt>
                <c:pt idx="98">
                  <c:v>-0.36991295050558609</c:v>
                </c:pt>
                <c:pt idx="99">
                  <c:v>-0.33628710688946378</c:v>
                </c:pt>
                <c:pt idx="100">
                  <c:v>-0.30826499855071554</c:v>
                </c:pt>
                <c:pt idx="101">
                  <c:v>-0.28455361182119981</c:v>
                </c:pt>
                <c:pt idx="102">
                  <c:v>-0.26422931570291769</c:v>
                </c:pt>
                <c:pt idx="103">
                  <c:v>-0.24661475224987656</c:v>
                </c:pt>
                <c:pt idx="104">
                  <c:v>-0.23120188594509386</c:v>
                </c:pt>
                <c:pt idx="105">
                  <c:v>-0.21760220847741515</c:v>
                </c:pt>
                <c:pt idx="106">
                  <c:v>-0.20551353996857613</c:v>
                </c:pt>
                <c:pt idx="107">
                  <c:v>-0.19469731292772735</c:v>
                </c:pt>
                <c:pt idx="108">
                  <c:v>-0.1849626703840144</c:v>
                </c:pt>
                <c:pt idx="109">
                  <c:v>-0.12330921179291074</c:v>
                </c:pt>
                <c:pt idx="110">
                  <c:v>-9.2482109625293143E-2</c:v>
                </c:pt>
                <c:pt idx="111">
                  <c:v>-7.3985762046730824E-2</c:v>
                </c:pt>
                <c:pt idx="112">
                  <c:v>-6.1654835360468785E-2</c:v>
                </c:pt>
                <c:pt idx="113">
                  <c:v>-5.2847019131409323E-2</c:v>
                </c:pt>
                <c:pt idx="114">
                  <c:v>-4.6241151618116212E-2</c:v>
                </c:pt>
                <c:pt idx="115">
                  <c:v>-4.1103251902697709E-2</c:v>
                </c:pt>
                <c:pt idx="116">
                  <c:v>-3.6992930587846203E-2</c:v>
                </c:pt>
                <c:pt idx="117">
                  <c:v>-3.3629939504743821E-2</c:v>
                </c:pt>
                <c:pt idx="118">
                  <c:v>-3.0827446363408423E-2</c:v>
                </c:pt>
                <c:pt idx="119">
                  <c:v>-2.8456105641016458E-2</c:v>
                </c:pt>
                <c:pt idx="120">
                  <c:v>-2.6423527628587722E-2</c:v>
                </c:pt>
                <c:pt idx="121">
                  <c:v>-2.4661959844315115E-2</c:v>
                </c:pt>
                <c:pt idx="122">
                  <c:v>-2.3120587909782858E-2</c:v>
                </c:pt>
                <c:pt idx="123">
                  <c:v>-2.1760553760342877E-2</c:v>
                </c:pt>
                <c:pt idx="124">
                  <c:v>-2.0551634450076593E-2</c:v>
                </c:pt>
                <c:pt idx="125">
                  <c:v>-1.9469969754091859E-2</c:v>
                </c:pt>
                <c:pt idx="126">
                  <c:v>-1.8496471489496659E-2</c:v>
                </c:pt>
              </c:numCache>
            </c:numRef>
          </c:yVal>
          <c:smooth val="0"/>
          <c:extLst>
            <c:ext xmlns:c16="http://schemas.microsoft.com/office/drawing/2014/chart" uri="{C3380CC4-5D6E-409C-BE32-E72D297353CC}">
              <c16:uniqueId val="{00000001-85CD-408B-9CB0-37853C0C575C}"/>
            </c:ext>
          </c:extLst>
        </c:ser>
        <c:dLbls>
          <c:showLegendKey val="0"/>
          <c:showVal val="0"/>
          <c:showCatName val="0"/>
          <c:showSerName val="0"/>
          <c:showPercent val="0"/>
          <c:showBubbleSize val="0"/>
        </c:dLbls>
        <c:axId val="80980608"/>
        <c:axId val="80982400"/>
      </c:scatterChart>
      <c:valAx>
        <c:axId val="80968320"/>
        <c:scaling>
          <c:logBase val="10"/>
          <c:orientation val="minMax"/>
          <c:max val="10000000"/>
          <c:min val="10"/>
        </c:scaling>
        <c:delete val="0"/>
        <c:axPos val="b"/>
        <c:majorGridlines>
          <c:spPr>
            <a:ln w="3175">
              <a:solidFill>
                <a:srgbClr val="000000"/>
              </a:solidFill>
              <a:prstDash val="solid"/>
            </a:ln>
          </c:spPr>
        </c:majorGridlines>
        <c:minorGridlines>
          <c:spPr>
            <a:ln w="3175">
              <a:solidFill>
                <a:srgbClr val="C0C0C0"/>
              </a:solidFill>
              <a:prstDash val="solid"/>
            </a:ln>
          </c:spPr>
        </c:minorGridlines>
        <c:title>
          <c:tx>
            <c:rich>
              <a:bodyPr/>
              <a:lstStyle/>
              <a:p>
                <a:pPr>
                  <a:defRPr sz="1200" b="1" i="0" u="none" strike="noStrike" baseline="0">
                    <a:solidFill>
                      <a:srgbClr val="000000"/>
                    </a:solidFill>
                    <a:latin typeface="Arial"/>
                    <a:ea typeface="Arial"/>
                    <a:cs typeface="Arial"/>
                  </a:defRPr>
                </a:pPr>
                <a:r>
                  <a:rPr lang="en-US"/>
                  <a:t>Frequency (Hz)</a:t>
                </a:r>
              </a:p>
            </c:rich>
          </c:tx>
          <c:layout>
            <c:manualLayout>
              <c:xMode val="edge"/>
              <c:yMode val="edge"/>
              <c:x val="0.42857142857142855"/>
              <c:y val="0.883611403413284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0978688"/>
        <c:crossesAt val="-40"/>
        <c:crossBetween val="midCat"/>
        <c:majorUnit val="10"/>
        <c:minorUnit val="10"/>
      </c:valAx>
      <c:valAx>
        <c:axId val="80978688"/>
        <c:scaling>
          <c:orientation val="minMax"/>
          <c:max val="60"/>
          <c:min val="-100"/>
        </c:scaling>
        <c:delete val="0"/>
        <c:axPos val="l"/>
        <c:majorGridlines>
          <c:spPr>
            <a:ln w="3175">
              <a:solidFill>
                <a:srgbClr val="000000"/>
              </a:solidFill>
              <a:prstDash val="solid"/>
            </a:ln>
          </c:spPr>
        </c:majorGridlines>
        <c:title>
          <c:tx>
            <c:rich>
              <a:bodyPr/>
              <a:lstStyle/>
              <a:p>
                <a:pPr>
                  <a:defRPr sz="1200" b="1" i="0" u="none" strike="noStrike" baseline="0">
                    <a:solidFill>
                      <a:srgbClr val="0000FF"/>
                    </a:solidFill>
                    <a:latin typeface="Arial"/>
                    <a:ea typeface="Arial"/>
                    <a:cs typeface="Arial"/>
                  </a:defRPr>
                </a:pPr>
                <a:r>
                  <a:rPr lang="en-US">
                    <a:solidFill>
                      <a:srgbClr val="0000FF"/>
                    </a:solidFill>
                  </a:rPr>
                  <a:t>Gain (dB)</a:t>
                </a:r>
              </a:p>
            </c:rich>
          </c:tx>
          <c:layout>
            <c:manualLayout>
              <c:xMode val="edge"/>
              <c:yMode val="edge"/>
              <c:x val="1.5549076773566581E-2"/>
              <c:y val="0.392716233051513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B0F0"/>
                </a:solidFill>
                <a:latin typeface="Arial"/>
                <a:ea typeface="Arial"/>
                <a:cs typeface="Arial"/>
              </a:defRPr>
            </a:pPr>
            <a:endParaRPr lang="en-US"/>
          </a:p>
        </c:txPr>
        <c:crossAx val="80968320"/>
        <c:crossesAt val="0.1"/>
        <c:crossBetween val="midCat"/>
        <c:majorUnit val="20"/>
        <c:minorUnit val="4"/>
      </c:valAx>
      <c:valAx>
        <c:axId val="80980608"/>
        <c:scaling>
          <c:logBase val="10"/>
          <c:orientation val="minMax"/>
        </c:scaling>
        <c:delete val="1"/>
        <c:axPos val="t"/>
        <c:numFmt formatCode="General" sourceLinked="1"/>
        <c:majorTickMark val="out"/>
        <c:minorTickMark val="none"/>
        <c:tickLblPos val="none"/>
        <c:crossAx val="80982400"/>
        <c:crossesAt val="0"/>
        <c:crossBetween val="midCat"/>
      </c:valAx>
      <c:valAx>
        <c:axId val="80982400"/>
        <c:scaling>
          <c:orientation val="minMax"/>
          <c:max val="0"/>
          <c:min val="-180"/>
        </c:scaling>
        <c:delete val="0"/>
        <c:axPos val="r"/>
        <c:title>
          <c:tx>
            <c:rich>
              <a:bodyPr/>
              <a:lstStyle/>
              <a:p>
                <a:pPr>
                  <a:defRPr sz="1200" b="1" i="0" u="none" strike="noStrike" baseline="0">
                    <a:solidFill>
                      <a:srgbClr val="FF0000"/>
                    </a:solidFill>
                    <a:latin typeface="Arial"/>
                    <a:ea typeface="Arial"/>
                    <a:cs typeface="Arial"/>
                  </a:defRPr>
                </a:pPr>
                <a:r>
                  <a:rPr lang="en-US">
                    <a:solidFill>
                      <a:srgbClr val="FF0000"/>
                    </a:solidFill>
                  </a:rPr>
                  <a:t>Phase (°)</a:t>
                </a:r>
              </a:p>
            </c:rich>
          </c:tx>
          <c:layout>
            <c:manualLayout>
              <c:xMode val="edge"/>
              <c:yMode val="edge"/>
              <c:x val="0.96550048590864856"/>
              <c:y val="0.3982582822308516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80980608"/>
        <c:crosses val="max"/>
        <c:crossBetween val="midCat"/>
        <c:majorUnit val="45"/>
        <c:minorUnit val="22.5"/>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trlProps/ctrlProp1.xml><?xml version="1.0" encoding="utf-8"?>
<formControlPr xmlns="http://schemas.microsoft.com/office/spreadsheetml/2009/9/main" objectType="Drop" dropStyle="combo" dx="22" fmlaRange="$1:$1048576" noThreeD="1" sel="0" val="0"/>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emf"/><Relationship Id="rId3" Type="http://schemas.openxmlformats.org/officeDocument/2006/relationships/image" Target="../media/image5.png"/><Relationship Id="rId7" Type="http://schemas.openxmlformats.org/officeDocument/2006/relationships/image" Target="../media/image9.emf"/><Relationship Id="rId2" Type="http://schemas.openxmlformats.org/officeDocument/2006/relationships/image" Target="../media/image4.jpg"/><Relationship Id="rId1" Type="http://schemas.openxmlformats.org/officeDocument/2006/relationships/image" Target="../media/image3.png"/><Relationship Id="rId6" Type="http://schemas.openxmlformats.org/officeDocument/2006/relationships/image" Target="../media/image8.emf"/><Relationship Id="rId5" Type="http://schemas.openxmlformats.org/officeDocument/2006/relationships/image" Target="../media/image7.emf"/><Relationship Id="rId4" Type="http://schemas.openxmlformats.org/officeDocument/2006/relationships/image" Target="../media/image6.emf"/></Relationships>
</file>

<file path=xl/drawings/_rels/drawing3.xml.rels><?xml version="1.0" encoding="UTF-8" standalone="yes"?>
<Relationships xmlns="http://schemas.openxmlformats.org/package/2006/relationships"><Relationship Id="rId1" Type="http://schemas.openxmlformats.org/officeDocument/2006/relationships/image" Target="../media/image16.png"/></Relationships>
</file>

<file path=xl/drawings/_rels/drawing5.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6.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13.emf"/><Relationship Id="rId2" Type="http://schemas.openxmlformats.org/officeDocument/2006/relationships/image" Target="../media/image12.emf"/><Relationship Id="rId1" Type="http://schemas.openxmlformats.org/officeDocument/2006/relationships/image" Target="../media/image11.emf"/><Relationship Id="rId5" Type="http://schemas.openxmlformats.org/officeDocument/2006/relationships/image" Target="../media/image15.emf"/><Relationship Id="rId4" Type="http://schemas.openxmlformats.org/officeDocument/2006/relationships/image" Target="../media/image14.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18.emf"/><Relationship Id="rId1" Type="http://schemas.openxmlformats.org/officeDocument/2006/relationships/image" Target="../media/image17.emf"/></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16</xdr:row>
      <xdr:rowOff>57151</xdr:rowOff>
    </xdr:from>
    <xdr:to>
      <xdr:col>4</xdr:col>
      <xdr:colOff>512445</xdr:colOff>
      <xdr:row>29</xdr:row>
      <xdr:rowOff>56177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657225" y="3124201"/>
          <a:ext cx="2748915" cy="2227876"/>
        </a:xfrm>
        <a:prstGeom prst="rect">
          <a:avLst/>
        </a:prstGeom>
        <a:ln w="12700">
          <a:solidFill>
            <a:schemeClr val="bg1">
              <a:lumMod val="65000"/>
            </a:schemeClr>
          </a:solidFill>
        </a:ln>
      </xdr:spPr>
    </xdr:pic>
    <xdr:clientData/>
  </xdr:twoCellAnchor>
  <xdr:twoCellAnchor editAs="oneCell">
    <xdr:from>
      <xdr:col>1</xdr:col>
      <xdr:colOff>0</xdr:colOff>
      <xdr:row>44</xdr:row>
      <xdr:rowOff>76200</xdr:rowOff>
    </xdr:from>
    <xdr:to>
      <xdr:col>3</xdr:col>
      <xdr:colOff>285750</xdr:colOff>
      <xdr:row>54</xdr:row>
      <xdr:rowOff>95335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609600" y="8105775"/>
          <a:ext cx="1952625" cy="1726015"/>
        </a:xfrm>
        <a:prstGeom prst="rect">
          <a:avLst/>
        </a:prstGeom>
        <a:ln w="12700">
          <a:solidFill>
            <a:schemeClr val="bg1">
              <a:lumMod val="65000"/>
            </a:schemeClr>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15240</xdr:rowOff>
    </xdr:from>
    <xdr:to>
      <xdr:col>11</xdr:col>
      <xdr:colOff>604630</xdr:colOff>
      <xdr:row>0</xdr:row>
      <xdr:rowOff>505239</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0" y="19050"/>
          <a:ext cx="9060925" cy="488094"/>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a:solidFill>
                <a:schemeClr val="bg1"/>
              </a:solidFill>
              <a:latin typeface="+mn-lt"/>
            </a:rPr>
            <a:t>     LM(2)5190(-Q1)</a:t>
          </a:r>
          <a:r>
            <a:rPr lang="en-US" sz="2400" baseline="0">
              <a:solidFill>
                <a:schemeClr val="bg1"/>
              </a:solidFill>
              <a:latin typeface="+mn-lt"/>
            </a:rPr>
            <a:t> </a:t>
          </a:r>
          <a:r>
            <a:rPr lang="en-US" sz="2400">
              <a:solidFill>
                <a:schemeClr val="bg1"/>
              </a:solidFill>
              <a:latin typeface="+mn-lt"/>
            </a:rPr>
            <a:t>CCCV Buck Converter Design Tool</a:t>
          </a:r>
        </a:p>
      </xdr:txBody>
    </xdr:sp>
    <xdr:clientData/>
  </xdr:twoCellAnchor>
  <mc:AlternateContent xmlns:mc="http://schemas.openxmlformats.org/markup-compatibility/2006">
    <mc:Choice xmlns:a14="http://schemas.microsoft.com/office/drawing/2010/main" Requires="a14">
      <xdr:twoCellAnchor editAs="oneCell">
        <xdr:from>
          <xdr:col>13</xdr:col>
          <xdr:colOff>274320</xdr:colOff>
          <xdr:row>1</xdr:row>
          <xdr:rowOff>350520</xdr:rowOff>
        </xdr:from>
        <xdr:to>
          <xdr:col>14</xdr:col>
          <xdr:colOff>213360</xdr:colOff>
          <xdr:row>2</xdr:row>
          <xdr:rowOff>68580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15</xdr:col>
      <xdr:colOff>493572</xdr:colOff>
      <xdr:row>0</xdr:row>
      <xdr:rowOff>45719</xdr:rowOff>
    </xdr:from>
    <xdr:to>
      <xdr:col>18</xdr:col>
      <xdr:colOff>135432</xdr:colOff>
      <xdr:row>4</xdr:row>
      <xdr:rowOff>1483</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18747" y="47624"/>
          <a:ext cx="1480185" cy="973034"/>
        </a:xfrm>
        <a:prstGeom prst="rect">
          <a:avLst/>
        </a:prstGeom>
      </xdr:spPr>
    </xdr:pic>
    <xdr:clientData/>
  </xdr:twoCellAnchor>
  <xdr:twoCellAnchor>
    <xdr:from>
      <xdr:col>12</xdr:col>
      <xdr:colOff>46811</xdr:colOff>
      <xdr:row>0</xdr:row>
      <xdr:rowOff>35837</xdr:rowOff>
    </xdr:from>
    <xdr:to>
      <xdr:col>15</xdr:col>
      <xdr:colOff>484338</xdr:colOff>
      <xdr:row>2</xdr:row>
      <xdr:rowOff>143862</xdr:rowOff>
    </xdr:to>
    <xdr:grpSp>
      <xdr:nvGrpSpPr>
        <xdr:cNvPr id="5" name="Group 4">
          <a:extLst>
            <a:ext uri="{FF2B5EF4-FFF2-40B4-BE49-F238E27FC236}">
              <a16:creationId xmlns:a16="http://schemas.microsoft.com/office/drawing/2014/main" id="{00000000-0008-0000-0100-000005000000}"/>
            </a:ext>
          </a:extLst>
        </xdr:cNvPr>
        <xdr:cNvGrpSpPr/>
      </xdr:nvGrpSpPr>
      <xdr:grpSpPr>
        <a:xfrm>
          <a:off x="8850152" y="35837"/>
          <a:ext cx="2266327" cy="798307"/>
          <a:chOff x="12832760" y="60287"/>
          <a:chExt cx="2305218" cy="902590"/>
        </a:xfrm>
      </xdr:grpSpPr>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834797" y="60287"/>
            <a:ext cx="2303181" cy="671944"/>
          </a:xfrm>
          <a:prstGeom prst="rect">
            <a:avLst/>
          </a:prstGeom>
        </xdr:spPr>
      </xdr:pic>
      <xdr:pic>
        <xdr:nvPicPr>
          <xdr:cNvPr id="7" name="Picture 6">
            <a:extLst>
              <a:ext uri="{FF2B5EF4-FFF2-40B4-BE49-F238E27FC236}">
                <a16:creationId xmlns:a16="http://schemas.microsoft.com/office/drawing/2014/main" id="{00000000-0008-0000-0100-000007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832760" y="609649"/>
            <a:ext cx="2305086" cy="353228"/>
          </a:xfrm>
          <a:prstGeom prst="rect">
            <a:avLst/>
          </a:prstGeom>
          <a:noFill/>
          <a:ln>
            <a:noFill/>
          </a:ln>
        </xdr:spPr>
      </xdr:pic>
    </xdr:grpSp>
    <xdr:clientData/>
  </xdr:twoCellAnchor>
  <mc:AlternateContent xmlns:mc="http://schemas.openxmlformats.org/markup-compatibility/2006">
    <mc:Choice xmlns:a14="http://schemas.microsoft.com/office/drawing/2010/main" Requires="a14">
      <xdr:twoCellAnchor editAs="oneCell">
        <xdr:from>
          <xdr:col>8</xdr:col>
          <xdr:colOff>495004</xdr:colOff>
          <xdr:row>120</xdr:row>
          <xdr:rowOff>19793</xdr:rowOff>
        </xdr:from>
        <xdr:to>
          <xdr:col>21</xdr:col>
          <xdr:colOff>3199</xdr:colOff>
          <xdr:row>141</xdr:row>
          <xdr:rowOff>169092</xdr:rowOff>
        </xdr:to>
        <xdr:pic>
          <xdr:nvPicPr>
            <xdr:cNvPr id="13" name="Picture 12">
              <a:extLst>
                <a:ext uri="{FF2B5EF4-FFF2-40B4-BE49-F238E27FC236}">
                  <a16:creationId xmlns:a16="http://schemas.microsoft.com/office/drawing/2014/main" id="{00000000-0008-0000-0100-00000D000000}"/>
                </a:ext>
              </a:extLst>
            </xdr:cNvPr>
            <xdr:cNvPicPr>
              <a:picLocks noChangeAspect="1"/>
              <a:extLst>
                <a:ext uri="{84589F7E-364E-4C9E-8A38-B11213B215E9}">
                  <a14:cameraTool cellRange="EfficiencyChart" spid="_x0000_s55789"/>
                </a:ext>
              </a:extLst>
            </xdr:cNvPicPr>
          </xdr:nvPicPr>
          <xdr:blipFill>
            <a:blip xmlns:r="http://schemas.openxmlformats.org/officeDocument/2006/relationships" r:embed="rId4"/>
            <a:stretch>
              <a:fillRect/>
            </a:stretch>
          </xdr:blipFill>
          <xdr:spPr>
            <a:xfrm>
              <a:off x="6087540" y="23573757"/>
              <a:ext cx="7461169" cy="4333042"/>
            </a:xfrm>
            <a:prstGeom prst="rect">
              <a:avLst/>
            </a:prstGeom>
            <a:noFill/>
            <a:effectLst>
              <a:outerShdw blurRad="50800" dist="50800" dir="5400000" algn="ctr" rotWithShape="0">
                <a:schemeClr val="bg1"/>
              </a:outerShdw>
            </a:effec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15514</xdr:colOff>
          <xdr:row>5</xdr:row>
          <xdr:rowOff>174989</xdr:rowOff>
        </xdr:from>
        <xdr:to>
          <xdr:col>21</xdr:col>
          <xdr:colOff>132898</xdr:colOff>
          <xdr:row>30</xdr:row>
          <xdr:rowOff>425</xdr:rowOff>
        </xdr:to>
        <xdr:pic>
          <xdr:nvPicPr>
            <xdr:cNvPr id="14" name="Picture 13">
              <a:extLst>
                <a:ext uri="{FF2B5EF4-FFF2-40B4-BE49-F238E27FC236}">
                  <a16:creationId xmlns:a16="http://schemas.microsoft.com/office/drawing/2014/main" id="{00000000-0008-0000-0100-00000E000000}"/>
                </a:ext>
              </a:extLst>
            </xdr:cNvPr>
            <xdr:cNvPicPr>
              <a:picLocks noChangeAspect="1"/>
              <a:extLst>
                <a:ext uri="{84589F7E-364E-4C9E-8A38-B11213B215E9}">
                  <a14:cameraTool cellRange="SCHEMATIC_LINK" spid="_x0000_s55790"/>
                </a:ext>
              </a:extLst>
            </xdr:cNvPicPr>
          </xdr:nvPicPr>
          <xdr:blipFill>
            <a:blip xmlns:r="http://schemas.openxmlformats.org/officeDocument/2006/relationships" r:embed="rId5"/>
            <a:stretch>
              <a:fillRect/>
            </a:stretch>
          </xdr:blipFill>
          <xdr:spPr>
            <a:xfrm>
              <a:off x="6220371" y="1426846"/>
              <a:ext cx="7468416" cy="4710400"/>
            </a:xfrm>
            <a:prstGeom prst="rect">
              <a:avLst/>
            </a:prstGeom>
            <a:effectLst>
              <a:outerShdw blurRad="50800" dist="50800" dir="5400000" algn="ctr" rotWithShape="0">
                <a:schemeClr val="bg1"/>
              </a:outerShdw>
            </a:effec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544174</xdr:colOff>
          <xdr:row>74</xdr:row>
          <xdr:rowOff>122656</xdr:rowOff>
        </xdr:from>
        <xdr:to>
          <xdr:col>21</xdr:col>
          <xdr:colOff>54690</xdr:colOff>
          <xdr:row>96</xdr:row>
          <xdr:rowOff>173675</xdr:rowOff>
        </xdr:to>
        <xdr:pic>
          <xdr:nvPicPr>
            <xdr:cNvPr id="12" name="Picture 11">
              <a:extLst>
                <a:ext uri="{FF2B5EF4-FFF2-40B4-BE49-F238E27FC236}">
                  <a16:creationId xmlns:a16="http://schemas.microsoft.com/office/drawing/2014/main" id="{00000000-0008-0000-0100-00000C000000}"/>
                </a:ext>
              </a:extLst>
            </xdr:cNvPr>
            <xdr:cNvPicPr>
              <a:picLocks noChangeAspect="1"/>
              <a:extLst>
                <a:ext uri="{84589F7E-364E-4C9E-8A38-B11213B215E9}">
                  <a14:cameraTool cellRange="CV_LOOP" spid="_x0000_s55791"/>
                </a:ext>
              </a:extLst>
            </xdr:cNvPicPr>
          </xdr:nvPicPr>
          <xdr:blipFill>
            <a:blip xmlns:r="http://schemas.openxmlformats.org/officeDocument/2006/relationships" r:embed="rId6"/>
            <a:stretch>
              <a:fillRect/>
            </a:stretch>
          </xdr:blipFill>
          <xdr:spPr>
            <a:xfrm>
              <a:off x="6136710" y="14614263"/>
              <a:ext cx="7461169" cy="4343256"/>
            </a:xfrm>
            <a:prstGeom prst="rect">
              <a:avLst/>
            </a:prstGeom>
            <a:noFill/>
            <a:effectLst>
              <a:outerShdw blurRad="50800" dist="50800" dir="5400000" algn="ctr" rotWithShape="0">
                <a:schemeClr val="bg1"/>
              </a:outerShdw>
            </a:effec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530679</xdr:colOff>
          <xdr:row>97</xdr:row>
          <xdr:rowOff>149679</xdr:rowOff>
        </xdr:from>
        <xdr:to>
          <xdr:col>21</xdr:col>
          <xdr:colOff>18971</xdr:colOff>
          <xdr:row>119</xdr:row>
          <xdr:rowOff>111436</xdr:rowOff>
        </xdr:to>
        <xdr:pic>
          <xdr:nvPicPr>
            <xdr:cNvPr id="15" name="Picture 14">
              <a:extLst>
                <a:ext uri="{FF2B5EF4-FFF2-40B4-BE49-F238E27FC236}">
                  <a16:creationId xmlns:a16="http://schemas.microsoft.com/office/drawing/2014/main" id="{00000000-0008-0000-0100-00000F000000}"/>
                </a:ext>
              </a:extLst>
            </xdr:cNvPr>
            <xdr:cNvPicPr>
              <a:picLocks noChangeAspect="1"/>
              <a:extLst>
                <a:ext uri="{84589F7E-364E-4C9E-8A38-B11213B215E9}">
                  <a14:cameraTool cellRange="CC_LOOP" spid="_x0000_s55792"/>
                </a:ext>
              </a:extLst>
            </xdr:cNvPicPr>
          </xdr:nvPicPr>
          <xdr:blipFill>
            <a:blip xmlns:r="http://schemas.openxmlformats.org/officeDocument/2006/relationships" r:embed="rId7"/>
            <a:stretch>
              <a:fillRect/>
            </a:stretch>
          </xdr:blipFill>
          <xdr:spPr>
            <a:xfrm>
              <a:off x="6123215" y="19145250"/>
              <a:ext cx="7461170" cy="4343256"/>
            </a:xfrm>
            <a:prstGeom prst="rect">
              <a:avLst/>
            </a:prstGeom>
            <a:noFill/>
            <a:effectLst>
              <a:outerShdw blurRad="50800" dist="50800" dir="5400000" algn="ctr" rotWithShape="0">
                <a:schemeClr val="bg1"/>
              </a:outerShdw>
            </a:effec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3808</xdr:colOff>
          <xdr:row>34</xdr:row>
          <xdr:rowOff>62322</xdr:rowOff>
        </xdr:from>
        <xdr:to>
          <xdr:col>21</xdr:col>
          <xdr:colOff>207554</xdr:colOff>
          <xdr:row>59</xdr:row>
          <xdr:rowOff>19318</xdr:rowOff>
        </xdr:to>
        <xdr:pic>
          <xdr:nvPicPr>
            <xdr:cNvPr id="16" name="Picture 15">
              <a:extLst>
                <a:ext uri="{FF2B5EF4-FFF2-40B4-BE49-F238E27FC236}">
                  <a16:creationId xmlns:a16="http://schemas.microsoft.com/office/drawing/2014/main" id="{00000000-0008-0000-0100-000010000000}"/>
                </a:ext>
              </a:extLst>
            </xdr:cNvPr>
            <xdr:cNvPicPr>
              <a:picLocks noChangeAspect="1"/>
              <a:extLst>
                <a:ext uri="{84589F7E-364E-4C9E-8A38-B11213B215E9}">
                  <a14:cameraTool cellRange="PCB_TYPICAL1" spid="_x0000_s55793"/>
                </a:ext>
              </a:extLst>
            </xdr:cNvPicPr>
          </xdr:nvPicPr>
          <xdr:blipFill>
            <a:blip xmlns:r="http://schemas.openxmlformats.org/officeDocument/2006/relationships" r:embed="rId8"/>
            <a:stretch>
              <a:fillRect/>
            </a:stretch>
          </xdr:blipFill>
          <xdr:spPr>
            <a:xfrm>
              <a:off x="6208665" y="6961143"/>
              <a:ext cx="7559223" cy="4777740"/>
            </a:xfrm>
            <a:prstGeom prst="rect">
              <a:avLst/>
            </a:prstGeom>
            <a:effectLst>
              <a:outerShdw blurRad="50800" dist="50800" dir="5400000" algn="ctr" rotWithShape="0">
                <a:schemeClr val="bg1"/>
              </a:outerShdw>
            </a:effectLst>
          </xdr:spPr>
        </xdr:pic>
        <xdr:clientData/>
      </xdr:twoCellAnchor>
    </mc:Choice>
    <mc:Fallback/>
  </mc:AlternateContent>
  <mc:AlternateContent xmlns:mc="http://schemas.openxmlformats.org/markup-compatibility/2006">
    <mc:Choice xmlns:a14="http://schemas.microsoft.com/office/drawing/2010/main" Requires="a14">
      <xdr:twoCellAnchor>
        <xdr:from>
          <xdr:col>11</xdr:col>
          <xdr:colOff>137160</xdr:colOff>
          <xdr:row>148</xdr:row>
          <xdr:rowOff>99060</xdr:rowOff>
        </xdr:from>
        <xdr:to>
          <xdr:col>12</xdr:col>
          <xdr:colOff>472440</xdr:colOff>
          <xdr:row>151</xdr:row>
          <xdr:rowOff>30480</xdr:rowOff>
        </xdr:to>
        <xdr:sp macro="" textlink="">
          <xdr:nvSpPr>
            <xdr:cNvPr id="19955" name="Button 2547" hidden="1">
              <a:extLst>
                <a:ext uri="{63B3BB69-23CF-44E3-9099-C40C66FF867C}">
                  <a14:compatExt spid="_x0000_s19955"/>
                </a:ext>
                <a:ext uri="{FF2B5EF4-FFF2-40B4-BE49-F238E27FC236}">
                  <a16:creationId xmlns:a16="http://schemas.microsoft.com/office/drawing/2014/main" id="{00000000-0008-0000-0100-0000F34D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1" i="0" u="none" strike="noStrike" baseline="0">
                  <a:solidFill>
                    <a:srgbClr val="000000"/>
                  </a:solidFill>
                  <a:latin typeface="Arial"/>
                  <a:cs typeface="Arial"/>
                </a:rPr>
                <a:t>MORE INFOMATION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525780</xdr:colOff>
          <xdr:row>148</xdr:row>
          <xdr:rowOff>83820</xdr:rowOff>
        </xdr:from>
        <xdr:to>
          <xdr:col>10</xdr:col>
          <xdr:colOff>327660</xdr:colOff>
          <xdr:row>150</xdr:row>
          <xdr:rowOff>106680</xdr:rowOff>
        </xdr:to>
        <xdr:sp macro="" textlink="">
          <xdr:nvSpPr>
            <xdr:cNvPr id="19956" name="Button 2548" hidden="1">
              <a:extLst>
                <a:ext uri="{63B3BB69-23CF-44E3-9099-C40C66FF867C}">
                  <a14:compatExt spid="_x0000_s19956"/>
                </a:ext>
                <a:ext uri="{FF2B5EF4-FFF2-40B4-BE49-F238E27FC236}">
                  <a16:creationId xmlns:a16="http://schemas.microsoft.com/office/drawing/2014/main" id="{00000000-0008-0000-0100-0000F44D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1" i="0" u="none" strike="noStrike" baseline="0">
                  <a:solidFill>
                    <a:srgbClr val="000000"/>
                  </a:solidFill>
                  <a:latin typeface="Arial"/>
                  <a:cs typeface="Arial"/>
                </a:rPr>
                <a:t>PRINT NOW</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240457</xdr:colOff>
      <xdr:row>22</xdr:row>
      <xdr:rowOff>130925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11820952" cy="41161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60960</xdr:colOff>
          <xdr:row>0</xdr:row>
          <xdr:rowOff>76200</xdr:rowOff>
        </xdr:from>
        <xdr:to>
          <xdr:col>0</xdr:col>
          <xdr:colOff>7200900</xdr:colOff>
          <xdr:row>0</xdr:row>
          <xdr:rowOff>4945380</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solidFill>
              <a:srgbClr val="CCFFFF" mc:Ignorable="a14" a14:legacySpreadsheetColorIndex="41"/>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1</xdr:row>
          <xdr:rowOff>60960</xdr:rowOff>
        </xdr:from>
        <xdr:to>
          <xdr:col>0</xdr:col>
          <xdr:colOff>7185660</xdr:colOff>
          <xdr:row>1</xdr:row>
          <xdr:rowOff>4351020</xdr:rowOff>
        </xdr:to>
        <xdr:sp macro="" textlink="">
          <xdr:nvSpPr>
            <xdr:cNvPr id="6147" name="Object 3" hidden="1">
              <a:extLst>
                <a:ext uri="{63B3BB69-23CF-44E3-9099-C40C66FF867C}">
                  <a14:compatExt spid="_x0000_s6147"/>
                </a:ext>
                <a:ext uri="{FF2B5EF4-FFF2-40B4-BE49-F238E27FC236}">
                  <a16:creationId xmlns:a16="http://schemas.microsoft.com/office/drawing/2014/main" id="{00000000-0008-0000-0500-000003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xdr:col>
      <xdr:colOff>513262</xdr:colOff>
      <xdr:row>0</xdr:row>
      <xdr:rowOff>132262</xdr:rowOff>
    </xdr:from>
    <xdr:to>
      <xdr:col>7</xdr:col>
      <xdr:colOff>834391</xdr:colOff>
      <xdr:row>0</xdr:row>
      <xdr:rowOff>3789862</xdr:rowOff>
    </xdr:to>
    <xdr:graphicFrame macro="">
      <xdr:nvGraphicFramePr>
        <xdr:cNvPr id="2" name="Chart 1029">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40822</xdr:colOff>
      <xdr:row>0</xdr:row>
      <xdr:rowOff>68035</xdr:rowOff>
    </xdr:from>
    <xdr:to>
      <xdr:col>0</xdr:col>
      <xdr:colOff>7728190</xdr:colOff>
      <xdr:row>0</xdr:row>
      <xdr:rowOff>4699610</xdr:rowOff>
    </xdr:to>
    <xdr:graphicFrame macro="">
      <xdr:nvGraphicFramePr>
        <xdr:cNvPr id="3" name="Chart 1029">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40821</xdr:colOff>
      <xdr:row>0</xdr:row>
      <xdr:rowOff>149678</xdr:rowOff>
    </xdr:from>
    <xdr:to>
      <xdr:col>11</xdr:col>
      <xdr:colOff>856161</xdr:colOff>
      <xdr:row>0</xdr:row>
      <xdr:rowOff>3807278</xdr:rowOff>
    </xdr:to>
    <xdr:graphicFrame macro="">
      <xdr:nvGraphicFramePr>
        <xdr:cNvPr id="4" name="Chart 1029">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74023</xdr:colOff>
      <xdr:row>0</xdr:row>
      <xdr:rowOff>163287</xdr:rowOff>
    </xdr:from>
    <xdr:to>
      <xdr:col>16</xdr:col>
      <xdr:colOff>626473</xdr:colOff>
      <xdr:row>0</xdr:row>
      <xdr:rowOff>3820887</xdr:rowOff>
    </xdr:to>
    <xdr:graphicFrame macro="">
      <xdr:nvGraphicFramePr>
        <xdr:cNvPr id="5" name="Chart 1029">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834736</xdr:colOff>
      <xdr:row>0</xdr:row>
      <xdr:rowOff>134735</xdr:rowOff>
    </xdr:from>
    <xdr:to>
      <xdr:col>22</xdr:col>
      <xdr:colOff>206086</xdr:colOff>
      <xdr:row>0</xdr:row>
      <xdr:rowOff>3792335</xdr:rowOff>
    </xdr:to>
    <xdr:graphicFrame macro="">
      <xdr:nvGraphicFramePr>
        <xdr:cNvPr id="6" name="Chart 1029">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22</xdr:col>
      <xdr:colOff>419101</xdr:colOff>
      <xdr:row>0</xdr:row>
      <xdr:rowOff>126274</xdr:rowOff>
    </xdr:from>
    <xdr:to>
      <xdr:col>28</xdr:col>
      <xdr:colOff>742951</xdr:colOff>
      <xdr:row>0</xdr:row>
      <xdr:rowOff>3783874</xdr:rowOff>
    </xdr:to>
    <xdr:graphicFrame macro="">
      <xdr:nvGraphicFramePr>
        <xdr:cNvPr id="8" name="Chart 1029">
          <a:extLst>
            <a:ext uri="{FF2B5EF4-FFF2-40B4-BE49-F238E27FC236}">
              <a16:creationId xmlns:a16="http://schemas.microsoft.com/office/drawing/2014/main" id="{00000000-0008-0000-06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xdr:col>
      <xdr:colOff>964474</xdr:colOff>
      <xdr:row>0</xdr:row>
      <xdr:rowOff>66947</xdr:rowOff>
    </xdr:from>
    <xdr:to>
      <xdr:col>32</xdr:col>
      <xdr:colOff>516799</xdr:colOff>
      <xdr:row>0</xdr:row>
      <xdr:rowOff>3724547</xdr:rowOff>
    </xdr:to>
    <xdr:graphicFrame macro="">
      <xdr:nvGraphicFramePr>
        <xdr:cNvPr id="9" name="Chart 1029">
          <a:extLst>
            <a:ext uri="{FF2B5EF4-FFF2-40B4-BE49-F238E27FC236}">
              <a16:creationId xmlns:a16="http://schemas.microsoft.com/office/drawing/2014/main" id="{00000000-0008-0000-06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33</xdr:col>
      <xdr:colOff>38100</xdr:colOff>
      <xdr:row>0</xdr:row>
      <xdr:rowOff>76200</xdr:rowOff>
    </xdr:from>
    <xdr:to>
      <xdr:col>41</xdr:col>
      <xdr:colOff>285750</xdr:colOff>
      <xdr:row>0</xdr:row>
      <xdr:rowOff>3733800</xdr:rowOff>
    </xdr:to>
    <xdr:graphicFrame macro="">
      <xdr:nvGraphicFramePr>
        <xdr:cNvPr id="10" name="Chart 1029">
          <a:extLst>
            <a:ext uri="{FF2B5EF4-FFF2-40B4-BE49-F238E27FC236}">
              <a16:creationId xmlns:a16="http://schemas.microsoft.com/office/drawing/2014/main" id="{00000000-0008-0000-0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oneCellAnchor>
    <xdr:from>
      <xdr:col>0</xdr:col>
      <xdr:colOff>5598722</xdr:colOff>
      <xdr:row>0</xdr:row>
      <xdr:rowOff>4091668</xdr:rowOff>
    </xdr:from>
    <xdr:ext cx="1877886" cy="311496"/>
    <xdr:sp macro="" textlink="AJ3">
      <xdr:nvSpPr>
        <xdr:cNvPr id="13" name="TextBox 12">
          <a:extLst>
            <a:ext uri="{FF2B5EF4-FFF2-40B4-BE49-F238E27FC236}">
              <a16:creationId xmlns:a16="http://schemas.microsoft.com/office/drawing/2014/main" id="{00000000-0008-0000-0600-00000D000000}"/>
            </a:ext>
          </a:extLst>
        </xdr:cNvPr>
        <xdr:cNvSpPr txBox="1"/>
      </xdr:nvSpPr>
      <xdr:spPr>
        <a:xfrm>
          <a:off x="5598722" y="4091668"/>
          <a:ext cx="1877886"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806E26DD-B31F-43D5-897F-A3BFA40A8662}" type="TxLink">
            <a:rPr lang="en-US" sz="1400" b="1" i="0" u="none" strike="noStrike">
              <a:solidFill>
                <a:srgbClr val="000000"/>
              </a:solidFill>
              <a:latin typeface="Arial"/>
              <a:cs typeface="Arial"/>
            </a:rPr>
            <a:pPr/>
            <a:t>Phase Margin = 65 °</a:t>
          </a:fld>
          <a:endParaRPr lang="en-US" sz="1100"/>
        </a:p>
      </xdr:txBody>
    </xdr:sp>
    <xdr:clientData/>
  </xdr:oneCellAnchor>
  <xdr:oneCellAnchor>
    <xdr:from>
      <xdr:col>0</xdr:col>
      <xdr:colOff>5578088</xdr:colOff>
      <xdr:row>0</xdr:row>
      <xdr:rowOff>4360396</xdr:rowOff>
    </xdr:from>
    <xdr:ext cx="2065181" cy="311496"/>
    <xdr:sp macro="" textlink="AO3">
      <xdr:nvSpPr>
        <xdr:cNvPr id="14" name="TextBox 13">
          <a:extLst>
            <a:ext uri="{FF2B5EF4-FFF2-40B4-BE49-F238E27FC236}">
              <a16:creationId xmlns:a16="http://schemas.microsoft.com/office/drawing/2014/main" id="{00000000-0008-0000-0600-00000E000000}"/>
            </a:ext>
          </a:extLst>
        </xdr:cNvPr>
        <xdr:cNvSpPr txBox="1"/>
      </xdr:nvSpPr>
      <xdr:spPr>
        <a:xfrm>
          <a:off x="5578088" y="4360396"/>
          <a:ext cx="206518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62A12C8C-E88B-4B4F-ABB4-625F95085B6D}" type="TxLink">
            <a:rPr lang="en-US" sz="1400" b="1" i="0" u="none" strike="noStrike">
              <a:solidFill>
                <a:srgbClr val="000000"/>
              </a:solidFill>
              <a:latin typeface="Arial"/>
              <a:cs typeface="Arial"/>
            </a:rPr>
            <a:pPr/>
            <a:t>Gain Margin = 13.7 dB</a:t>
          </a:fld>
          <a:endParaRPr lang="en-US" sz="1100"/>
        </a:p>
      </xdr:txBody>
    </xdr:sp>
    <xdr:clientData/>
  </xdr:oneCellAnchor>
  <xdr:twoCellAnchor>
    <xdr:from>
      <xdr:col>47</xdr:col>
      <xdr:colOff>0</xdr:colOff>
      <xdr:row>0</xdr:row>
      <xdr:rowOff>0</xdr:rowOff>
    </xdr:from>
    <xdr:to>
      <xdr:col>52</xdr:col>
      <xdr:colOff>238670</xdr:colOff>
      <xdr:row>0</xdr:row>
      <xdr:rowOff>3657600</xdr:rowOff>
    </xdr:to>
    <xdr:graphicFrame macro="">
      <xdr:nvGraphicFramePr>
        <xdr:cNvPr id="15" name="Chart 1029">
          <a:extLst>
            <a:ext uri="{FF2B5EF4-FFF2-40B4-BE49-F238E27FC236}">
              <a16:creationId xmlns:a16="http://schemas.microsoft.com/office/drawing/2014/main" id="{00000000-0008-0000-06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53</xdr:col>
      <xdr:colOff>0</xdr:colOff>
      <xdr:row>0</xdr:row>
      <xdr:rowOff>0</xdr:rowOff>
    </xdr:from>
    <xdr:to>
      <xdr:col>56</xdr:col>
      <xdr:colOff>1031421</xdr:colOff>
      <xdr:row>0</xdr:row>
      <xdr:rowOff>3657600</xdr:rowOff>
    </xdr:to>
    <xdr:graphicFrame macro="">
      <xdr:nvGraphicFramePr>
        <xdr:cNvPr id="16" name="Chart 1029">
          <a:extLst>
            <a:ext uri="{FF2B5EF4-FFF2-40B4-BE49-F238E27FC236}">
              <a16:creationId xmlns:a16="http://schemas.microsoft.com/office/drawing/2014/main" id="{00000000-0008-0000-06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57</xdr:col>
      <xdr:colOff>0</xdr:colOff>
      <xdr:row>0</xdr:row>
      <xdr:rowOff>0</xdr:rowOff>
    </xdr:from>
    <xdr:to>
      <xdr:col>60</xdr:col>
      <xdr:colOff>525780</xdr:colOff>
      <xdr:row>0</xdr:row>
      <xdr:rowOff>3657600</xdr:rowOff>
    </xdr:to>
    <xdr:graphicFrame macro="">
      <xdr:nvGraphicFramePr>
        <xdr:cNvPr id="17" name="Chart 1029">
          <a:extLst>
            <a:ext uri="{FF2B5EF4-FFF2-40B4-BE49-F238E27FC236}">
              <a16:creationId xmlns:a16="http://schemas.microsoft.com/office/drawing/2014/main" id="{00000000-0008-0000-06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61</xdr:col>
      <xdr:colOff>0</xdr:colOff>
      <xdr:row>0</xdr:row>
      <xdr:rowOff>0</xdr:rowOff>
    </xdr:from>
    <xdr:to>
      <xdr:col>70</xdr:col>
      <xdr:colOff>533400</xdr:colOff>
      <xdr:row>0</xdr:row>
      <xdr:rowOff>3657600</xdr:rowOff>
    </xdr:to>
    <xdr:graphicFrame macro="">
      <xdr:nvGraphicFramePr>
        <xdr:cNvPr id="18" name="Chart 1029">
          <a:extLst>
            <a:ext uri="{FF2B5EF4-FFF2-40B4-BE49-F238E27FC236}">
              <a16:creationId xmlns:a16="http://schemas.microsoft.com/office/drawing/2014/main" id="{00000000-0008-0000-06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72</xdr:col>
      <xdr:colOff>0</xdr:colOff>
      <xdr:row>0</xdr:row>
      <xdr:rowOff>0</xdr:rowOff>
    </xdr:from>
    <xdr:to>
      <xdr:col>81</xdr:col>
      <xdr:colOff>533400</xdr:colOff>
      <xdr:row>0</xdr:row>
      <xdr:rowOff>3657600</xdr:rowOff>
    </xdr:to>
    <xdr:graphicFrame macro="">
      <xdr:nvGraphicFramePr>
        <xdr:cNvPr id="19" name="Chart 1029">
          <a:extLst>
            <a:ext uri="{FF2B5EF4-FFF2-40B4-BE49-F238E27FC236}">
              <a16:creationId xmlns:a16="http://schemas.microsoft.com/office/drawing/2014/main" id="{00000000-0008-0000-06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82</xdr:col>
      <xdr:colOff>0</xdr:colOff>
      <xdr:row>0</xdr:row>
      <xdr:rowOff>0</xdr:rowOff>
    </xdr:from>
    <xdr:to>
      <xdr:col>82</xdr:col>
      <xdr:colOff>7683558</xdr:colOff>
      <xdr:row>0</xdr:row>
      <xdr:rowOff>4643005</xdr:rowOff>
    </xdr:to>
    <xdr:graphicFrame macro="">
      <xdr:nvGraphicFramePr>
        <xdr:cNvPr id="20" name="Chart 1029">
          <a:extLst>
            <a:ext uri="{FF2B5EF4-FFF2-40B4-BE49-F238E27FC236}">
              <a16:creationId xmlns:a16="http://schemas.microsoft.com/office/drawing/2014/main" id="{00000000-0008-0000-06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oneCellAnchor>
    <xdr:from>
      <xdr:col>82</xdr:col>
      <xdr:colOff>5581239</xdr:colOff>
      <xdr:row>0</xdr:row>
      <xdr:rowOff>4018643</xdr:rowOff>
    </xdr:from>
    <xdr:ext cx="1877886" cy="311496"/>
    <xdr:sp macro="" textlink="BM3">
      <xdr:nvSpPr>
        <xdr:cNvPr id="21" name="TextBox 20">
          <a:extLst>
            <a:ext uri="{FF2B5EF4-FFF2-40B4-BE49-F238E27FC236}">
              <a16:creationId xmlns:a16="http://schemas.microsoft.com/office/drawing/2014/main" id="{00000000-0008-0000-0600-000015000000}"/>
            </a:ext>
          </a:extLst>
        </xdr:cNvPr>
        <xdr:cNvSpPr txBox="1"/>
      </xdr:nvSpPr>
      <xdr:spPr>
        <a:xfrm>
          <a:off x="89995151" y="4018643"/>
          <a:ext cx="1877886"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E7D73E8A-95A9-43DE-B789-5F7AF2A61424}" type="TxLink">
            <a:rPr lang="en-US" sz="1400" b="1" i="0" u="none" strike="noStrike">
              <a:solidFill>
                <a:srgbClr val="000000"/>
              </a:solidFill>
              <a:latin typeface="Arial"/>
              <a:cs typeface="Arial"/>
            </a:rPr>
            <a:pPr/>
            <a:t>Phase Margin = 79 °</a:t>
          </a:fld>
          <a:endParaRPr lang="en-US" sz="1100"/>
        </a:p>
      </xdr:txBody>
    </xdr:sp>
    <xdr:clientData/>
  </xdr:oneCellAnchor>
  <xdr:oneCellAnchor>
    <xdr:from>
      <xdr:col>82</xdr:col>
      <xdr:colOff>5542190</xdr:colOff>
      <xdr:row>0</xdr:row>
      <xdr:rowOff>4286101</xdr:rowOff>
    </xdr:from>
    <xdr:ext cx="2124941" cy="311496"/>
    <xdr:sp macro="" textlink="BR3">
      <xdr:nvSpPr>
        <xdr:cNvPr id="22" name="TextBox 21">
          <a:extLst>
            <a:ext uri="{FF2B5EF4-FFF2-40B4-BE49-F238E27FC236}">
              <a16:creationId xmlns:a16="http://schemas.microsoft.com/office/drawing/2014/main" id="{00000000-0008-0000-0600-000016000000}"/>
            </a:ext>
          </a:extLst>
        </xdr:cNvPr>
        <xdr:cNvSpPr txBox="1"/>
      </xdr:nvSpPr>
      <xdr:spPr>
        <a:xfrm>
          <a:off x="89956102" y="4286101"/>
          <a:ext cx="212494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4A5034F0-61FD-4F50-8CAD-9A7F4576F990}" type="TxLink">
            <a:rPr lang="en-US" sz="1400" b="1" i="0" u="none" strike="noStrike">
              <a:solidFill>
                <a:srgbClr val="000000"/>
              </a:solidFill>
              <a:latin typeface="Arial"/>
              <a:cs typeface="Arial"/>
            </a:rPr>
            <a:pPr/>
            <a:t>Gain Margin = 21.1 dB</a:t>
          </a:fld>
          <a:endParaRPr lang="en-US" sz="1100"/>
        </a:p>
      </xdr:txBody>
    </xdr:sp>
    <xdr:clientData/>
  </xdr:oneCellAnchor>
  <xdr:twoCellAnchor>
    <xdr:from>
      <xdr:col>20</xdr:col>
      <xdr:colOff>324972</xdr:colOff>
      <xdr:row>0</xdr:row>
      <xdr:rowOff>3843618</xdr:rowOff>
    </xdr:from>
    <xdr:to>
      <xdr:col>25</xdr:col>
      <xdr:colOff>255831</xdr:colOff>
      <xdr:row>8</xdr:row>
      <xdr:rowOff>165175</xdr:rowOff>
    </xdr:to>
    <xdr:graphicFrame macro="">
      <xdr:nvGraphicFramePr>
        <xdr:cNvPr id="23" name="Chart 1029">
          <a:extLst>
            <a:ext uri="{FF2B5EF4-FFF2-40B4-BE49-F238E27FC236}">
              <a16:creationId xmlns:a16="http://schemas.microsoft.com/office/drawing/2014/main" id="{00000000-0008-0000-06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53340</xdr:colOff>
      <xdr:row>0</xdr:row>
      <xdr:rowOff>53341</xdr:rowOff>
    </xdr:from>
    <xdr:to>
      <xdr:col>0</xdr:col>
      <xdr:colOff>7608570</xdr:colOff>
      <xdr:row>0</xdr:row>
      <xdr:rowOff>4683051</xdr:rowOff>
    </xdr:to>
    <xdr:graphicFrame macro="">
      <xdr:nvGraphicFramePr>
        <xdr:cNvPr id="7" name="Chart 253">
          <a:extLst>
            <a:ext uri="{FF2B5EF4-FFF2-40B4-BE49-F238E27FC236}">
              <a16:creationId xmlns:a16="http://schemas.microsoft.com/office/drawing/2014/main" id="{00000000-0008-0000-0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5150447</xdr:colOff>
      <xdr:row>0</xdr:row>
      <xdr:rowOff>4397637</xdr:rowOff>
    </xdr:from>
    <xdr:ext cx="1841914" cy="248851"/>
    <xdr:sp macro="" textlink="D6">
      <xdr:nvSpPr>
        <xdr:cNvPr id="9" name="TextBox 8">
          <a:extLst>
            <a:ext uri="{FF2B5EF4-FFF2-40B4-BE49-F238E27FC236}">
              <a16:creationId xmlns:a16="http://schemas.microsoft.com/office/drawing/2014/main" id="{00000000-0008-0000-0700-000009000000}"/>
            </a:ext>
          </a:extLst>
        </xdr:cNvPr>
        <xdr:cNvSpPr txBox="1"/>
      </xdr:nvSpPr>
      <xdr:spPr>
        <a:xfrm>
          <a:off x="5150447" y="4397637"/>
          <a:ext cx="1841914" cy="24885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E3F7679-4691-4C33-8573-9490F9441F36}" type="TxLink">
            <a:rPr lang="en-US" sz="1000" b="0" i="0" u="none" strike="noStrike">
              <a:solidFill>
                <a:srgbClr val="000000"/>
              </a:solidFill>
              <a:latin typeface="Arial"/>
              <a:cs typeface="Arial"/>
            </a:rPr>
            <a:pPr/>
            <a:t>Full Load Efficiency = 90.7 %</a:t>
          </a:fld>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drawing" Target="../drawings/drawing2.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www.ti.com/pol"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18.emf"/><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package" Target="../embeddings/Microsoft_Visio_Drawing1.vsdx"/><Relationship Id="rId5" Type="http://schemas.openxmlformats.org/officeDocument/2006/relationships/image" Target="../media/image17.emf"/><Relationship Id="rId4" Type="http://schemas.openxmlformats.org/officeDocument/2006/relationships/package" Target="../embeddings/Microsoft_Visio_Drawing.vsdx"/></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B9994-1D0A-4928-9799-DE1851F3F477}">
  <sheetPr>
    <tabColor rgb="FFFF0000"/>
  </sheetPr>
  <dimension ref="B2:B44"/>
  <sheetViews>
    <sheetView workbookViewId="0">
      <selection activeCell="N49" sqref="N49"/>
    </sheetView>
  </sheetViews>
  <sheetFormatPr defaultRowHeight="13.2" x14ac:dyDescent="0.25"/>
  <cols>
    <col min="2" max="2" width="15.44140625" bestFit="1" customWidth="1"/>
  </cols>
  <sheetData>
    <row r="2" spans="2:2" ht="22.8" x14ac:dyDescent="0.4">
      <c r="B2" s="157" t="s">
        <v>517</v>
      </c>
    </row>
    <row r="3" spans="2:2" ht="17.399999999999999" x14ac:dyDescent="0.3">
      <c r="B3" s="158" t="s">
        <v>516</v>
      </c>
    </row>
    <row r="4" spans="2:2" x14ac:dyDescent="0.25">
      <c r="B4" s="51" t="s">
        <v>539</v>
      </c>
    </row>
    <row r="5" spans="2:2" x14ac:dyDescent="0.25">
      <c r="B5" t="s">
        <v>535</v>
      </c>
    </row>
    <row r="6" spans="2:2" x14ac:dyDescent="0.25">
      <c r="B6" t="s">
        <v>536</v>
      </c>
    </row>
    <row r="7" spans="2:2" x14ac:dyDescent="0.25">
      <c r="B7" t="s">
        <v>519</v>
      </c>
    </row>
    <row r="9" spans="2:2" ht="22.8" x14ac:dyDescent="0.4">
      <c r="B9" s="157" t="s">
        <v>518</v>
      </c>
    </row>
    <row r="10" spans="2:2" ht="17.399999999999999" x14ac:dyDescent="0.3">
      <c r="B10" s="158" t="s">
        <v>540</v>
      </c>
    </row>
    <row r="11" spans="2:2" x14ac:dyDescent="0.25">
      <c r="B11" s="51" t="s">
        <v>525</v>
      </c>
    </row>
    <row r="12" spans="2:2" x14ac:dyDescent="0.25">
      <c r="B12" t="s">
        <v>535</v>
      </c>
    </row>
    <row r="13" spans="2:2" x14ac:dyDescent="0.25">
      <c r="B13" t="s">
        <v>536</v>
      </c>
    </row>
    <row r="14" spans="2:2" x14ac:dyDescent="0.25">
      <c r="B14" t="s">
        <v>537</v>
      </c>
    </row>
    <row r="15" spans="2:2" x14ac:dyDescent="0.25">
      <c r="B15" t="s">
        <v>538</v>
      </c>
    </row>
    <row r="16" spans="2:2" x14ac:dyDescent="0.25">
      <c r="B16" t="s">
        <v>522</v>
      </c>
    </row>
    <row r="31" spans="2:2" ht="22.8" x14ac:dyDescent="0.4">
      <c r="B31" s="157" t="s">
        <v>520</v>
      </c>
    </row>
    <row r="32" spans="2:2" ht="17.399999999999999" x14ac:dyDescent="0.3">
      <c r="B32" s="158" t="s">
        <v>543</v>
      </c>
    </row>
    <row r="33" spans="2:2" x14ac:dyDescent="0.25">
      <c r="B33" s="51" t="s">
        <v>525</v>
      </c>
    </row>
    <row r="34" spans="2:2" x14ac:dyDescent="0.25">
      <c r="B34" t="s">
        <v>534</v>
      </c>
    </row>
    <row r="35" spans="2:2" x14ac:dyDescent="0.25">
      <c r="B35" t="s">
        <v>524</v>
      </c>
    </row>
    <row r="36" spans="2:2" ht="15.6" x14ac:dyDescent="0.35">
      <c r="B36" t="s">
        <v>527</v>
      </c>
    </row>
    <row r="37" spans="2:2" ht="15.6" x14ac:dyDescent="0.35">
      <c r="B37" t="s">
        <v>528</v>
      </c>
    </row>
    <row r="38" spans="2:2" ht="15.6" x14ac:dyDescent="0.35">
      <c r="B38" t="s">
        <v>529</v>
      </c>
    </row>
    <row r="39" spans="2:2" x14ac:dyDescent="0.25">
      <c r="B39" t="s">
        <v>526</v>
      </c>
    </row>
    <row r="40" spans="2:2" ht="15.6" x14ac:dyDescent="0.35">
      <c r="B40" t="s">
        <v>530</v>
      </c>
    </row>
    <row r="41" spans="2:2" ht="15.6" x14ac:dyDescent="0.35">
      <c r="B41" t="s">
        <v>533</v>
      </c>
    </row>
    <row r="42" spans="2:2" ht="15.6" x14ac:dyDescent="0.35">
      <c r="B42" t="s">
        <v>531</v>
      </c>
    </row>
    <row r="43" spans="2:2" ht="15.6" x14ac:dyDescent="0.35">
      <c r="B43" t="s">
        <v>532</v>
      </c>
    </row>
    <row r="44" spans="2:2" x14ac:dyDescent="0.25">
      <c r="B44" t="s">
        <v>523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90B4C-AE95-470F-96C6-7DF782CD492A}">
  <sheetPr codeName="Sheet1">
    <tabColor rgb="FF2F75B5"/>
  </sheetPr>
  <dimension ref="A1:AB153"/>
  <sheetViews>
    <sheetView tabSelected="1" topLeftCell="A63" zoomScale="85" zoomScaleNormal="85" zoomScaleSheetLayoutView="25" workbookViewId="0">
      <selection activeCell="G11" sqref="G11"/>
    </sheetView>
  </sheetViews>
  <sheetFormatPr defaultRowHeight="13.2" x14ac:dyDescent="0.25"/>
  <cols>
    <col min="1" max="1" width="26.21875" style="1" customWidth="1"/>
    <col min="2" max="6" width="8.88671875" style="1"/>
    <col min="7" max="7" width="13.21875" style="1" customWidth="1"/>
    <col min="8" max="16384" width="8.88671875" style="1"/>
  </cols>
  <sheetData>
    <row r="1" spans="1:28" ht="40.799999999999997" customHeight="1" x14ac:dyDescent="0.25">
      <c r="A1" s="5"/>
      <c r="B1" s="5"/>
      <c r="C1" s="5"/>
      <c r="D1" s="5"/>
      <c r="E1" s="5"/>
      <c r="F1" s="5"/>
      <c r="G1" s="5"/>
      <c r="H1" s="5"/>
      <c r="I1" s="6"/>
      <c r="J1" s="6"/>
      <c r="K1" s="6"/>
      <c r="L1" s="6"/>
      <c r="M1" s="6"/>
      <c r="N1" s="6"/>
      <c r="O1" s="6"/>
      <c r="P1" s="6"/>
      <c r="Q1" s="6"/>
      <c r="R1" s="6"/>
      <c r="S1" s="6"/>
      <c r="T1" s="6"/>
      <c r="U1" s="6"/>
      <c r="V1" s="6"/>
      <c r="W1" s="128"/>
      <c r="X1" s="128"/>
      <c r="Y1" s="128"/>
      <c r="Z1" s="128"/>
      <c r="AA1" s="128"/>
      <c r="AB1" s="128"/>
    </row>
    <row r="2" spans="1:28" x14ac:dyDescent="0.25">
      <c r="A2" s="5"/>
      <c r="B2" s="5"/>
      <c r="C2" s="5"/>
      <c r="D2" s="5"/>
      <c r="E2" s="5"/>
      <c r="F2" s="5"/>
      <c r="G2" s="5"/>
      <c r="H2" s="5"/>
      <c r="I2" s="6"/>
      <c r="J2" s="6"/>
      <c r="K2" s="6"/>
      <c r="L2" s="6"/>
      <c r="M2" s="6"/>
      <c r="N2" s="6"/>
      <c r="O2" s="6"/>
      <c r="P2" s="6"/>
      <c r="Q2" s="6"/>
      <c r="R2" s="6"/>
      <c r="S2" s="6"/>
      <c r="T2" s="6"/>
      <c r="U2" s="6"/>
      <c r="V2" s="6"/>
      <c r="W2" s="128"/>
      <c r="X2" s="128"/>
      <c r="Y2" s="128"/>
      <c r="Z2" s="128"/>
      <c r="AA2" s="128"/>
      <c r="AB2" s="128"/>
    </row>
    <row r="3" spans="1:28" ht="15.6" x14ac:dyDescent="0.3">
      <c r="A3" s="7" t="s">
        <v>10</v>
      </c>
      <c r="B3" s="7"/>
      <c r="C3" s="8" t="s">
        <v>11</v>
      </c>
      <c r="D3" s="9"/>
      <c r="E3" s="10"/>
      <c r="F3" s="10"/>
      <c r="G3" s="25"/>
      <c r="H3" s="11" t="s">
        <v>12</v>
      </c>
      <c r="I3" s="12"/>
      <c r="J3" s="13"/>
      <c r="K3" s="161" t="s">
        <v>13</v>
      </c>
      <c r="L3" s="161"/>
      <c r="M3" s="14"/>
      <c r="N3" s="14"/>
      <c r="O3" s="6"/>
      <c r="P3" s="6"/>
      <c r="Q3" s="6"/>
      <c r="R3" s="6"/>
      <c r="S3" s="6"/>
      <c r="T3" s="6"/>
      <c r="U3" s="6"/>
      <c r="V3" s="6"/>
      <c r="W3" s="128"/>
      <c r="X3" s="128"/>
      <c r="Y3" s="128"/>
      <c r="Z3" s="128"/>
      <c r="AA3" s="128"/>
      <c r="AB3" s="128"/>
    </row>
    <row r="4" spans="1:28" x14ac:dyDescent="0.25">
      <c r="A4" s="141"/>
      <c r="B4" s="141"/>
      <c r="C4" s="141"/>
      <c r="D4" s="141"/>
      <c r="E4" s="141"/>
    </row>
    <row r="5" spans="1:28" x14ac:dyDescent="0.25">
      <c r="A5" s="141"/>
      <c r="B5" s="141"/>
      <c r="C5" s="141"/>
      <c r="D5" s="141"/>
      <c r="E5" s="141"/>
    </row>
    <row r="6" spans="1:28" ht="15.6" x14ac:dyDescent="0.25">
      <c r="A6" s="141"/>
      <c r="B6" s="142" t="s">
        <v>0</v>
      </c>
      <c r="C6" s="141"/>
      <c r="D6" s="141"/>
      <c r="E6" s="141"/>
    </row>
    <row r="7" spans="1:28" ht="15.6" x14ac:dyDescent="0.25">
      <c r="A7" s="141"/>
      <c r="B7" s="141"/>
      <c r="C7" s="141"/>
      <c r="D7" s="141"/>
      <c r="E7" s="141"/>
      <c r="F7" s="2" t="s">
        <v>14</v>
      </c>
      <c r="G7" s="43">
        <v>24</v>
      </c>
      <c r="H7" s="3" t="s">
        <v>6</v>
      </c>
    </row>
    <row r="8" spans="1:28" ht="15.6" x14ac:dyDescent="0.25">
      <c r="A8" s="141"/>
      <c r="B8" s="141"/>
      <c r="C8" s="141"/>
      <c r="D8" s="141"/>
      <c r="E8" s="141"/>
      <c r="F8" s="2" t="s">
        <v>1</v>
      </c>
      <c r="G8" s="43">
        <v>24</v>
      </c>
      <c r="H8" s="3" t="s">
        <v>6</v>
      </c>
    </row>
    <row r="9" spans="1:28" ht="15.6" x14ac:dyDescent="0.25">
      <c r="A9" s="141"/>
      <c r="B9" s="141"/>
      <c r="C9" s="141"/>
      <c r="D9" s="141"/>
      <c r="E9" s="141"/>
      <c r="F9" s="2" t="s">
        <v>2</v>
      </c>
      <c r="G9" s="43">
        <v>24</v>
      </c>
      <c r="H9" s="3" t="s">
        <v>6</v>
      </c>
    </row>
    <row r="10" spans="1:28" ht="15.6" x14ac:dyDescent="0.25">
      <c r="A10" s="141"/>
      <c r="B10" s="141"/>
      <c r="C10" s="141"/>
      <c r="D10" s="141"/>
      <c r="E10" s="141"/>
      <c r="F10" s="2" t="s">
        <v>15</v>
      </c>
      <c r="G10" s="43">
        <v>4</v>
      </c>
      <c r="H10" s="3" t="s">
        <v>6</v>
      </c>
    </row>
    <row r="11" spans="1:28" ht="15.6" x14ac:dyDescent="0.25">
      <c r="A11" s="141"/>
      <c r="B11" s="141"/>
      <c r="C11" s="141"/>
      <c r="D11" s="141"/>
      <c r="E11" s="141"/>
      <c r="F11" s="2" t="s">
        <v>521</v>
      </c>
      <c r="G11" s="43">
        <v>10</v>
      </c>
      <c r="H11" s="3" t="s">
        <v>7</v>
      </c>
    </row>
    <row r="12" spans="1:28" ht="15.6" x14ac:dyDescent="0.25">
      <c r="A12" s="141"/>
      <c r="B12" s="141"/>
      <c r="C12" s="141"/>
      <c r="D12" s="141"/>
      <c r="E12" s="141"/>
      <c r="F12" s="2" t="s">
        <v>3</v>
      </c>
      <c r="G12" s="43">
        <v>470</v>
      </c>
      <c r="H12" s="3" t="s">
        <v>8</v>
      </c>
    </row>
    <row r="13" spans="1:28" x14ac:dyDescent="0.25">
      <c r="A13" s="144"/>
      <c r="B13" s="141"/>
      <c r="C13" s="141"/>
      <c r="D13" s="141"/>
      <c r="E13" s="141"/>
      <c r="F13" s="2" t="s">
        <v>5</v>
      </c>
      <c r="G13" s="44" t="s">
        <v>16</v>
      </c>
      <c r="H13" s="17"/>
    </row>
    <row r="14" spans="1:28" x14ac:dyDescent="0.25">
      <c r="A14" s="141"/>
      <c r="B14" s="141"/>
      <c r="C14" s="141"/>
      <c r="D14" s="141"/>
      <c r="E14" s="141"/>
      <c r="F14" s="2" t="s">
        <v>17</v>
      </c>
      <c r="G14" s="44" t="s">
        <v>132</v>
      </c>
      <c r="H14" s="3"/>
    </row>
    <row r="15" spans="1:28" ht="15.6" x14ac:dyDescent="0.25">
      <c r="A15" s="141"/>
      <c r="B15" s="141"/>
      <c r="C15" s="141"/>
      <c r="D15" s="141"/>
      <c r="E15" s="141"/>
      <c r="F15" s="15" t="s">
        <v>4</v>
      </c>
      <c r="G15" s="147">
        <f>Calc!C24</f>
        <v>49.900000000000006</v>
      </c>
      <c r="H15" s="17" t="s">
        <v>9</v>
      </c>
    </row>
    <row r="16" spans="1:28" x14ac:dyDescent="0.25">
      <c r="A16" s="141"/>
      <c r="B16" s="141"/>
      <c r="C16" s="141"/>
      <c r="D16" s="141"/>
      <c r="E16" s="141"/>
    </row>
    <row r="17" spans="1:8" x14ac:dyDescent="0.25">
      <c r="A17" s="141"/>
      <c r="B17" s="141"/>
      <c r="C17" s="141"/>
      <c r="D17" s="141"/>
      <c r="E17" s="141"/>
      <c r="H17" s="3"/>
    </row>
    <row r="18" spans="1:8" ht="15.6" x14ac:dyDescent="0.25">
      <c r="A18" s="141"/>
      <c r="B18" s="142" t="s">
        <v>19</v>
      </c>
      <c r="C18" s="141"/>
      <c r="D18" s="141"/>
      <c r="E18" s="141"/>
      <c r="H18" s="3"/>
    </row>
    <row r="19" spans="1:8" ht="15.6" x14ac:dyDescent="0.35">
      <c r="A19" s="141"/>
      <c r="B19" s="141"/>
      <c r="C19" s="141"/>
      <c r="D19" s="141"/>
      <c r="E19" s="141"/>
      <c r="F19" s="20" t="s">
        <v>508</v>
      </c>
      <c r="G19" s="43">
        <v>10.9</v>
      </c>
      <c r="H19" s="3" t="s">
        <v>23</v>
      </c>
    </row>
    <row r="20" spans="1:8" x14ac:dyDescent="0.25">
      <c r="A20" s="141"/>
      <c r="B20" s="141"/>
      <c r="C20" s="141"/>
      <c r="D20" s="141"/>
      <c r="E20" s="141"/>
      <c r="F20" s="19" t="s">
        <v>30</v>
      </c>
      <c r="G20" s="147">
        <f>R.s_desired*1000</f>
        <v>4.9541284403669721</v>
      </c>
      <c r="H20" s="17" t="s">
        <v>18</v>
      </c>
    </row>
    <row r="21" spans="1:8" ht="15.6" x14ac:dyDescent="0.35">
      <c r="A21" s="141"/>
      <c r="B21" s="141"/>
      <c r="C21" s="141"/>
      <c r="D21" s="141"/>
      <c r="E21" s="141"/>
      <c r="F21" s="20" t="s">
        <v>26</v>
      </c>
      <c r="G21" s="43">
        <v>5</v>
      </c>
      <c r="H21" s="3" t="s">
        <v>18</v>
      </c>
    </row>
    <row r="22" spans="1:8" ht="15.6" x14ac:dyDescent="0.35">
      <c r="A22" s="141"/>
      <c r="B22" s="141"/>
      <c r="C22" s="141"/>
      <c r="D22" s="141"/>
      <c r="E22" s="141"/>
      <c r="F22" s="21" t="s">
        <v>27</v>
      </c>
      <c r="G22" s="148">
        <f>P.rs</f>
        <v>0.59405000000000008</v>
      </c>
      <c r="H22" s="17" t="s">
        <v>24</v>
      </c>
    </row>
    <row r="23" spans="1:8" x14ac:dyDescent="0.25">
      <c r="A23" s="141"/>
      <c r="B23" s="141"/>
      <c r="C23" s="141"/>
      <c r="D23" s="141"/>
      <c r="E23" s="141"/>
    </row>
    <row r="24" spans="1:8" x14ac:dyDescent="0.25">
      <c r="A24" s="141"/>
      <c r="B24" s="141"/>
      <c r="C24" s="141"/>
      <c r="D24" s="141"/>
      <c r="E24" s="141"/>
    </row>
    <row r="25" spans="1:8" ht="15.6" x14ac:dyDescent="0.25">
      <c r="A25" s="141"/>
      <c r="B25" s="142" t="s">
        <v>20</v>
      </c>
      <c r="C25" s="141"/>
      <c r="D25" s="141"/>
      <c r="E25" s="141"/>
    </row>
    <row r="26" spans="1:8" ht="15.6" x14ac:dyDescent="0.35">
      <c r="A26" s="141"/>
      <c r="B26" s="141"/>
      <c r="C26" s="141"/>
      <c r="D26" s="141"/>
      <c r="E26" s="141"/>
      <c r="F26" s="21" t="s">
        <v>496</v>
      </c>
      <c r="G26" s="148">
        <f>L.out_desired*10^6</f>
        <v>1.7730496453900708</v>
      </c>
      <c r="H26" s="17" t="s">
        <v>21</v>
      </c>
    </row>
    <row r="27" spans="1:8" x14ac:dyDescent="0.25">
      <c r="A27" s="141"/>
      <c r="B27" s="141"/>
      <c r="C27" s="141"/>
      <c r="D27" s="141"/>
      <c r="E27" s="141"/>
      <c r="F27" s="21" t="s">
        <v>22</v>
      </c>
      <c r="G27" s="148">
        <f>L.smalest*10^6</f>
        <v>4.4326241134751836</v>
      </c>
      <c r="H27" s="17" t="s">
        <v>21</v>
      </c>
    </row>
    <row r="28" spans="1:8" ht="15.6" x14ac:dyDescent="0.35">
      <c r="A28" s="141"/>
      <c r="B28" s="141"/>
      <c r="C28" s="141"/>
      <c r="D28" s="141"/>
      <c r="E28" s="141"/>
      <c r="F28" s="20" t="s">
        <v>25</v>
      </c>
      <c r="G28" s="49">
        <v>3.3</v>
      </c>
      <c r="H28" s="3" t="s">
        <v>21</v>
      </c>
    </row>
    <row r="29" spans="1:8" ht="15.6" x14ac:dyDescent="0.35">
      <c r="A29" s="141"/>
      <c r="B29" s="141"/>
      <c r="C29" s="141"/>
      <c r="D29" s="141"/>
      <c r="E29" s="141"/>
      <c r="F29" s="21" t="s">
        <v>465</v>
      </c>
      <c r="G29" s="147">
        <f>Ipeak_atvinmax</f>
        <v>11.07457554266065</v>
      </c>
      <c r="H29" s="17" t="s">
        <v>23</v>
      </c>
    </row>
    <row r="30" spans="1:8" ht="15.6" x14ac:dyDescent="0.35">
      <c r="A30" s="141"/>
      <c r="B30" s="141"/>
      <c r="C30" s="141"/>
      <c r="D30" s="141"/>
      <c r="E30" s="141"/>
      <c r="F30" s="21" t="s">
        <v>457</v>
      </c>
      <c r="G30" s="147">
        <f>I.peak_tblank</f>
        <v>13.654545454545456</v>
      </c>
      <c r="H30" s="17" t="s">
        <v>23</v>
      </c>
    </row>
    <row r="31" spans="1:8" ht="15.6" x14ac:dyDescent="0.35">
      <c r="A31" s="141"/>
      <c r="B31" s="141"/>
      <c r="C31" s="141"/>
      <c r="D31" s="141"/>
      <c r="E31" s="141"/>
      <c r="F31" s="21" t="s">
        <v>514</v>
      </c>
      <c r="G31" s="149" t="str">
        <f>IF(T.on_min_ideal/1.1&lt;T.onmin_IC,"can happen", "doesn't happen")</f>
        <v>doesn't happen</v>
      </c>
      <c r="H31" s="3"/>
    </row>
    <row r="32" spans="1:8" ht="15.6" x14ac:dyDescent="0.35">
      <c r="A32" s="141"/>
      <c r="B32" s="141"/>
      <c r="C32" s="141"/>
      <c r="D32" s="141"/>
      <c r="E32" s="141"/>
      <c r="F32" s="21" t="s">
        <v>29</v>
      </c>
      <c r="G32" s="149" t="str">
        <f>IF(T.off_min_150/1.1&lt;T.offmin_IC,"can happen", "doesn't happen")</f>
        <v>doesn't happen</v>
      </c>
      <c r="H32" s="3"/>
    </row>
    <row r="33" spans="1:8" x14ac:dyDescent="0.25">
      <c r="A33" s="141"/>
      <c r="B33" s="141"/>
      <c r="C33" s="141"/>
      <c r="D33" s="141"/>
      <c r="E33" s="141"/>
      <c r="F33" s="21"/>
      <c r="G33" s="18"/>
      <c r="H33" s="3"/>
    </row>
    <row r="34" spans="1:8" x14ac:dyDescent="0.25">
      <c r="A34" s="141"/>
      <c r="B34" s="141"/>
      <c r="C34" s="141"/>
      <c r="D34" s="141"/>
      <c r="E34" s="141"/>
      <c r="F34" s="21"/>
      <c r="G34" s="18"/>
      <c r="H34" s="3"/>
    </row>
    <row r="35" spans="1:8" ht="18" x14ac:dyDescent="0.25">
      <c r="A35" s="141"/>
      <c r="B35" s="142" t="s">
        <v>500</v>
      </c>
      <c r="C35" s="141"/>
      <c r="D35" s="141"/>
      <c r="E35" s="141"/>
      <c r="F35" s="21"/>
      <c r="G35" s="18"/>
      <c r="H35" s="3"/>
    </row>
    <row r="36" spans="1:8" ht="15.6" x14ac:dyDescent="0.35">
      <c r="A36" s="141"/>
      <c r="B36" s="142"/>
      <c r="C36" s="141"/>
      <c r="D36" s="141"/>
      <c r="E36" s="141"/>
      <c r="F36" s="21" t="s">
        <v>32</v>
      </c>
      <c r="G36" s="147">
        <f>MAX(MinCvcc2,MAX(MinCvcc*10^6,2.2))</f>
        <v>2.2000000000000002</v>
      </c>
      <c r="H36" s="17" t="s">
        <v>33</v>
      </c>
    </row>
    <row r="37" spans="1:8" ht="15.6" x14ac:dyDescent="0.35">
      <c r="A37" s="141"/>
      <c r="B37" s="142"/>
      <c r="C37" s="141"/>
      <c r="D37" s="141"/>
      <c r="E37" s="141"/>
      <c r="F37" s="21" t="s">
        <v>35</v>
      </c>
      <c r="G37" s="150">
        <f>MAX(MinCboot*10^9,100)</f>
        <v>100</v>
      </c>
      <c r="H37" s="17" t="s">
        <v>34</v>
      </c>
    </row>
    <row r="38" spans="1:8" ht="15.6" x14ac:dyDescent="0.35">
      <c r="A38" s="141"/>
      <c r="B38" s="142"/>
      <c r="C38" s="141"/>
      <c r="D38" s="141"/>
      <c r="E38" s="141"/>
      <c r="F38" s="21" t="s">
        <v>36</v>
      </c>
      <c r="G38" s="150">
        <v>220</v>
      </c>
      <c r="H38" s="17" t="s">
        <v>34</v>
      </c>
    </row>
    <row r="39" spans="1:8" ht="15.6" x14ac:dyDescent="0.35">
      <c r="A39" s="141"/>
      <c r="B39" s="142"/>
      <c r="C39" s="141"/>
      <c r="D39" s="141"/>
      <c r="E39" s="141"/>
      <c r="F39" s="21" t="s">
        <v>133</v>
      </c>
      <c r="G39" s="150">
        <v>100</v>
      </c>
      <c r="H39" s="17" t="s">
        <v>9</v>
      </c>
    </row>
    <row r="40" spans="1:8" ht="15.6" x14ac:dyDescent="0.35">
      <c r="A40" s="141"/>
      <c r="B40" s="142"/>
      <c r="C40" s="141"/>
      <c r="D40" s="141"/>
      <c r="E40" s="141"/>
      <c r="F40" s="21" t="s">
        <v>494</v>
      </c>
      <c r="G40" s="148">
        <v>2.75</v>
      </c>
      <c r="H40" s="17" t="s">
        <v>37</v>
      </c>
    </row>
    <row r="41" spans="1:8" x14ac:dyDescent="0.25">
      <c r="A41" s="141"/>
      <c r="B41" s="141"/>
      <c r="C41" s="141"/>
      <c r="D41" s="141"/>
      <c r="E41" s="141"/>
      <c r="F41" s="21"/>
      <c r="G41" s="18"/>
      <c r="H41" s="3"/>
    </row>
    <row r="42" spans="1:8" x14ac:dyDescent="0.25">
      <c r="A42" s="141"/>
      <c r="B42" s="141"/>
      <c r="C42" s="141"/>
      <c r="D42" s="141"/>
      <c r="E42" s="141"/>
      <c r="F42" s="21"/>
      <c r="G42" s="18"/>
      <c r="H42" s="3"/>
    </row>
    <row r="43" spans="1:8" ht="15.6" x14ac:dyDescent="0.25">
      <c r="A43" s="141"/>
      <c r="B43" s="142" t="s">
        <v>31</v>
      </c>
      <c r="C43" s="141"/>
      <c r="D43" s="141"/>
      <c r="E43" s="141"/>
    </row>
    <row r="44" spans="1:8" x14ac:dyDescent="0.25">
      <c r="A44" s="141"/>
      <c r="B44" s="141"/>
      <c r="C44" s="141"/>
      <c r="D44" s="141"/>
      <c r="E44" s="141"/>
      <c r="F44" s="22" t="s">
        <v>510</v>
      </c>
      <c r="G44" s="43">
        <v>4</v>
      </c>
      <c r="H44" s="3" t="s">
        <v>6</v>
      </c>
    </row>
    <row r="45" spans="1:8" ht="15.6" x14ac:dyDescent="0.35">
      <c r="A45" s="141"/>
      <c r="B45" s="141"/>
      <c r="C45" s="141"/>
      <c r="D45" s="141"/>
      <c r="E45" s="141"/>
      <c r="F45" s="20" t="s">
        <v>59</v>
      </c>
      <c r="G45" s="43">
        <v>100</v>
      </c>
      <c r="H45" s="3" t="s">
        <v>9</v>
      </c>
    </row>
    <row r="46" spans="1:8" ht="15.6" x14ac:dyDescent="0.35">
      <c r="A46" s="141"/>
      <c r="B46" s="141"/>
      <c r="C46" s="141"/>
      <c r="D46" s="141"/>
      <c r="E46" s="141"/>
      <c r="F46" s="21" t="s">
        <v>60</v>
      </c>
      <c r="G46" s="148">
        <f>R.enb/1000</f>
        <v>35.593220338983045</v>
      </c>
      <c r="H46" s="17" t="s">
        <v>9</v>
      </c>
    </row>
    <row r="47" spans="1:8" x14ac:dyDescent="0.25">
      <c r="A47" s="141"/>
      <c r="B47" s="141"/>
      <c r="C47" s="141"/>
      <c r="D47" s="141"/>
      <c r="E47" s="141"/>
      <c r="F47" s="21" t="s">
        <v>509</v>
      </c>
      <c r="G47" s="147">
        <f>Vshutdown</f>
        <v>3.6190476190476195</v>
      </c>
      <c r="H47" s="17" t="s">
        <v>6</v>
      </c>
    </row>
    <row r="48" spans="1:8" x14ac:dyDescent="0.25">
      <c r="A48" s="141"/>
      <c r="B48" s="141"/>
      <c r="C48" s="141"/>
      <c r="D48" s="141"/>
      <c r="E48" s="141"/>
    </row>
    <row r="49" spans="1:8" x14ac:dyDescent="0.25">
      <c r="A49" s="141"/>
      <c r="B49" s="141"/>
      <c r="C49" s="141"/>
      <c r="D49" s="141"/>
      <c r="E49" s="141"/>
    </row>
    <row r="50" spans="1:8" ht="15.6" x14ac:dyDescent="0.25">
      <c r="A50" s="141"/>
      <c r="B50" s="142" t="s">
        <v>38</v>
      </c>
      <c r="C50" s="141"/>
      <c r="D50" s="141"/>
      <c r="E50" s="141"/>
    </row>
    <row r="51" spans="1:8" x14ac:dyDescent="0.25">
      <c r="A51" s="141"/>
      <c r="B51" s="141"/>
      <c r="C51" s="141"/>
      <c r="D51" s="141"/>
      <c r="E51" s="141"/>
      <c r="F51" s="22" t="s">
        <v>463</v>
      </c>
      <c r="G51" s="43">
        <v>6</v>
      </c>
      <c r="H51" s="3" t="s">
        <v>39</v>
      </c>
    </row>
    <row r="52" spans="1:8" ht="15.6" x14ac:dyDescent="0.25">
      <c r="A52" s="141"/>
      <c r="B52" s="141"/>
      <c r="C52" s="141"/>
      <c r="D52" s="141"/>
      <c r="E52" s="141"/>
      <c r="F52" s="22" t="s">
        <v>464</v>
      </c>
      <c r="G52" s="43">
        <v>28</v>
      </c>
      <c r="H52" s="3" t="s">
        <v>8</v>
      </c>
    </row>
    <row r="53" spans="1:8" x14ac:dyDescent="0.25">
      <c r="A53" s="141"/>
      <c r="B53" s="141"/>
      <c r="C53" s="141"/>
      <c r="D53" s="141"/>
      <c r="E53" s="141"/>
      <c r="F53" s="23" t="s">
        <v>40</v>
      </c>
      <c r="G53" s="147">
        <f>C.outb_derated_min*10^6</f>
        <v>123.94831730769231</v>
      </c>
      <c r="H53" s="17" t="s">
        <v>33</v>
      </c>
    </row>
    <row r="54" spans="1:8" x14ac:dyDescent="0.25">
      <c r="A54" s="141"/>
      <c r="B54" s="141"/>
      <c r="C54" s="141"/>
      <c r="D54" s="141"/>
      <c r="E54" s="141"/>
      <c r="F54" s="23"/>
      <c r="G54" s="16"/>
      <c r="H54" s="17"/>
    </row>
    <row r="55" spans="1:8" ht="15.6" x14ac:dyDescent="0.25">
      <c r="A55" s="141"/>
      <c r="B55" s="141"/>
      <c r="C55" s="141"/>
      <c r="D55" s="141"/>
      <c r="E55" s="141"/>
      <c r="F55" s="22" t="s">
        <v>61</v>
      </c>
      <c r="G55" s="48">
        <v>330</v>
      </c>
      <c r="H55" s="3" t="s">
        <v>33</v>
      </c>
    </row>
    <row r="56" spans="1:8" x14ac:dyDescent="0.25">
      <c r="A56" s="141"/>
      <c r="B56" s="141"/>
      <c r="C56" s="141"/>
      <c r="D56" s="141"/>
      <c r="E56" s="141"/>
      <c r="F56" s="22" t="s">
        <v>42</v>
      </c>
      <c r="G56" s="43">
        <v>0.5</v>
      </c>
      <c r="H56" s="3"/>
    </row>
    <row r="57" spans="1:8" x14ac:dyDescent="0.25">
      <c r="A57" s="141"/>
      <c r="B57" s="141"/>
      <c r="C57" s="141"/>
      <c r="D57" s="141"/>
      <c r="E57" s="141"/>
      <c r="F57" s="23" t="s">
        <v>43</v>
      </c>
      <c r="G57" s="147">
        <f>C.outb_derated*10^6</f>
        <v>165</v>
      </c>
      <c r="H57" s="17" t="s">
        <v>33</v>
      </c>
    </row>
    <row r="58" spans="1:8" ht="15.6" x14ac:dyDescent="0.25">
      <c r="A58" s="141"/>
      <c r="B58" s="141"/>
      <c r="C58" s="141"/>
      <c r="D58" s="141"/>
      <c r="E58" s="141"/>
      <c r="F58" s="22" t="s">
        <v>62</v>
      </c>
      <c r="G58" s="48">
        <v>200</v>
      </c>
      <c r="H58" s="3" t="s">
        <v>18</v>
      </c>
    </row>
    <row r="59" spans="1:8" x14ac:dyDescent="0.25">
      <c r="A59" s="141"/>
      <c r="B59" s="141"/>
      <c r="C59" s="141"/>
      <c r="D59" s="141"/>
      <c r="E59" s="141"/>
      <c r="F59" s="22"/>
      <c r="G59" s="4"/>
      <c r="H59" s="3"/>
    </row>
    <row r="60" spans="1:8" ht="15.6" x14ac:dyDescent="0.25">
      <c r="A60" s="141"/>
      <c r="B60" s="141"/>
      <c r="C60" s="141"/>
      <c r="D60" s="141"/>
      <c r="E60" s="141"/>
      <c r="F60" s="22" t="s">
        <v>515</v>
      </c>
      <c r="G60" s="43">
        <v>2</v>
      </c>
      <c r="H60" s="3" t="s">
        <v>33</v>
      </c>
    </row>
    <row r="61" spans="1:8" x14ac:dyDescent="0.25">
      <c r="A61" s="141"/>
      <c r="B61" s="141"/>
      <c r="C61" s="141"/>
      <c r="D61" s="141"/>
      <c r="E61" s="141"/>
      <c r="F61" s="22" t="s">
        <v>44</v>
      </c>
      <c r="G61" s="43">
        <v>1</v>
      </c>
      <c r="H61" s="3"/>
    </row>
    <row r="62" spans="1:8" x14ac:dyDescent="0.25">
      <c r="A62" s="141"/>
      <c r="B62" s="141"/>
      <c r="C62" s="141"/>
      <c r="D62" s="141"/>
      <c r="E62" s="141"/>
      <c r="F62" s="23" t="s">
        <v>45</v>
      </c>
      <c r="G62" s="147">
        <f>C.outhf_derated*10^6</f>
        <v>2</v>
      </c>
      <c r="H62" s="17" t="s">
        <v>33</v>
      </c>
    </row>
    <row r="63" spans="1:8" ht="15.6" x14ac:dyDescent="0.25">
      <c r="A63" s="141"/>
      <c r="B63" s="141"/>
      <c r="C63" s="141"/>
      <c r="D63" s="141"/>
      <c r="E63" s="141"/>
      <c r="F63" s="22" t="s">
        <v>63</v>
      </c>
      <c r="G63" s="48">
        <v>5</v>
      </c>
      <c r="H63" s="3" t="s">
        <v>18</v>
      </c>
    </row>
    <row r="64" spans="1:8" x14ac:dyDescent="0.25">
      <c r="A64" s="141"/>
      <c r="B64" s="141"/>
      <c r="C64" s="141"/>
      <c r="D64" s="141"/>
      <c r="E64" s="141"/>
      <c r="F64" s="22"/>
      <c r="G64" s="4"/>
      <c r="H64" s="3"/>
    </row>
    <row r="65" spans="1:8" x14ac:dyDescent="0.25">
      <c r="A65" s="141"/>
      <c r="B65" s="141"/>
      <c r="C65" s="141"/>
      <c r="D65" s="141"/>
      <c r="E65" s="141"/>
      <c r="F65" s="23" t="s">
        <v>46</v>
      </c>
      <c r="G65" s="147">
        <f>C.outtotal_derated*10^6</f>
        <v>167</v>
      </c>
      <c r="H65" s="17" t="s">
        <v>33</v>
      </c>
    </row>
    <row r="66" spans="1:8" ht="15.6" x14ac:dyDescent="0.25">
      <c r="A66" s="141"/>
      <c r="B66" s="141"/>
      <c r="C66" s="141"/>
      <c r="D66" s="141"/>
      <c r="E66" s="141"/>
      <c r="F66" s="23" t="s">
        <v>460</v>
      </c>
      <c r="G66" s="151">
        <f>dV.out_max_rms*1000</f>
        <v>266.67790556662089</v>
      </c>
      <c r="H66" s="17" t="s">
        <v>41</v>
      </c>
    </row>
    <row r="67" spans="1:8" x14ac:dyDescent="0.25">
      <c r="A67" s="141"/>
      <c r="B67" s="141"/>
      <c r="C67" s="141"/>
      <c r="D67" s="141"/>
      <c r="E67" s="141"/>
      <c r="F67" s="23" t="s">
        <v>461</v>
      </c>
      <c r="G67" s="147">
        <f>V.overshoot_calc1/V.load*100</f>
        <v>5.9954241470817404</v>
      </c>
      <c r="H67" s="17" t="s">
        <v>39</v>
      </c>
    </row>
    <row r="68" spans="1:8" x14ac:dyDescent="0.25">
      <c r="A68" s="141"/>
      <c r="B68" s="141"/>
      <c r="C68" s="141"/>
      <c r="D68" s="141"/>
      <c r="E68" s="141"/>
      <c r="F68" s="23" t="s">
        <v>462</v>
      </c>
      <c r="G68" s="147">
        <f>V.undershoot_calc/V.load*100</f>
        <v>9.1467112753135371</v>
      </c>
      <c r="H68" s="17" t="s">
        <v>39</v>
      </c>
    </row>
    <row r="69" spans="1:8" x14ac:dyDescent="0.25">
      <c r="A69" s="141"/>
      <c r="B69" s="141"/>
      <c r="C69" s="141"/>
      <c r="D69" s="141"/>
      <c r="E69" s="141"/>
    </row>
    <row r="70" spans="1:8" x14ac:dyDescent="0.25">
      <c r="A70" s="144"/>
      <c r="B70" s="141"/>
      <c r="C70" s="141"/>
      <c r="D70" s="141"/>
      <c r="E70" s="141"/>
    </row>
    <row r="71" spans="1:8" ht="15.6" x14ac:dyDescent="0.25">
      <c r="A71" s="141"/>
      <c r="B71" s="142" t="s">
        <v>49</v>
      </c>
      <c r="C71" s="141"/>
      <c r="D71" s="141"/>
      <c r="E71" s="141"/>
    </row>
    <row r="72" spans="1:8" ht="15.6" x14ac:dyDescent="0.25">
      <c r="A72" s="144"/>
      <c r="B72" s="141"/>
      <c r="C72" s="141"/>
      <c r="D72" s="141"/>
      <c r="E72" s="141"/>
      <c r="F72" s="22" t="s">
        <v>495</v>
      </c>
      <c r="G72" s="43">
        <v>150</v>
      </c>
      <c r="H72" s="3" t="s">
        <v>9</v>
      </c>
    </row>
    <row r="73" spans="1:8" ht="15.6" x14ac:dyDescent="0.25">
      <c r="A73" s="141"/>
      <c r="B73" s="141"/>
      <c r="C73" s="141"/>
      <c r="D73" s="141"/>
      <c r="E73" s="141"/>
      <c r="F73" s="23" t="s">
        <v>48</v>
      </c>
      <c r="G73" s="148">
        <f>R.fbb/1000</f>
        <v>37.5</v>
      </c>
      <c r="H73" s="17" t="s">
        <v>9</v>
      </c>
    </row>
    <row r="74" spans="1:8" x14ac:dyDescent="0.25">
      <c r="A74" s="141"/>
      <c r="B74" s="141"/>
      <c r="C74" s="141"/>
      <c r="D74" s="141"/>
      <c r="E74" s="141"/>
    </row>
    <row r="75" spans="1:8" x14ac:dyDescent="0.25">
      <c r="A75" s="141"/>
      <c r="B75" s="141"/>
      <c r="C75" s="141"/>
      <c r="D75" s="141"/>
      <c r="E75" s="141"/>
    </row>
    <row r="76" spans="1:8" ht="15.6" x14ac:dyDescent="0.25">
      <c r="A76" s="141"/>
      <c r="B76" s="142" t="s">
        <v>50</v>
      </c>
      <c r="C76" s="141"/>
      <c r="D76" s="141"/>
      <c r="E76" s="141"/>
    </row>
    <row r="77" spans="1:8" ht="15.6" x14ac:dyDescent="0.25">
      <c r="A77" s="141"/>
      <c r="B77" s="142"/>
      <c r="C77" s="141"/>
      <c r="D77" s="141"/>
      <c r="E77" s="141"/>
      <c r="F77" s="23" t="s">
        <v>64</v>
      </c>
      <c r="G77" s="147">
        <f>Bode!AM8/1000</f>
        <v>70.549972846740218</v>
      </c>
      <c r="H77" s="17" t="s">
        <v>8</v>
      </c>
    </row>
    <row r="78" spans="1:8" ht="15.6" x14ac:dyDescent="0.25">
      <c r="A78" s="141"/>
      <c r="B78" s="142"/>
      <c r="C78" s="141"/>
      <c r="D78" s="141"/>
      <c r="E78" s="141"/>
      <c r="F78" s="23" t="s">
        <v>65</v>
      </c>
      <c r="G78" s="150" t="e">
        <f>Bode!AO8/1000</f>
        <v>#NUM!</v>
      </c>
      <c r="H78" s="17" t="s">
        <v>8</v>
      </c>
    </row>
    <row r="79" spans="1:8" ht="15.6" x14ac:dyDescent="0.25">
      <c r="A79" s="141"/>
      <c r="B79" s="142"/>
      <c r="C79" s="141"/>
      <c r="D79" s="141"/>
      <c r="E79" s="141"/>
      <c r="F79" s="23"/>
      <c r="G79" s="26"/>
      <c r="H79" s="17"/>
    </row>
    <row r="80" spans="1:8" ht="15.6" x14ac:dyDescent="0.25">
      <c r="A80" s="141"/>
      <c r="B80" s="141"/>
      <c r="C80" s="141"/>
      <c r="D80" s="141"/>
      <c r="E80" s="141"/>
      <c r="F80" s="23" t="s">
        <v>69</v>
      </c>
      <c r="G80" s="148">
        <f>R.comp_desired/1000</f>
        <v>7.3450420960000002</v>
      </c>
      <c r="H80" s="17" t="s">
        <v>9</v>
      </c>
    </row>
    <row r="81" spans="1:8" ht="15.6" x14ac:dyDescent="0.25">
      <c r="A81" s="141"/>
      <c r="B81" s="141"/>
      <c r="C81" s="141"/>
      <c r="D81" s="141"/>
      <c r="E81" s="141"/>
      <c r="F81" s="23" t="s">
        <v>70</v>
      </c>
      <c r="G81" s="147">
        <f>C.comp_desired*10^9</f>
        <v>7.738698047850602</v>
      </c>
      <c r="H81" s="17" t="s">
        <v>34</v>
      </c>
    </row>
    <row r="82" spans="1:8" ht="15.6" x14ac:dyDescent="0.25">
      <c r="A82" s="141"/>
      <c r="B82" s="141"/>
      <c r="C82" s="141"/>
      <c r="D82" s="141"/>
      <c r="E82" s="141"/>
      <c r="F82" s="23" t="s">
        <v>71</v>
      </c>
      <c r="G82" s="150">
        <f>C.hf_desired*10^12</f>
        <v>4492.82653096996</v>
      </c>
      <c r="H82" s="17" t="s">
        <v>47</v>
      </c>
    </row>
    <row r="83" spans="1:8" x14ac:dyDescent="0.25">
      <c r="A83" s="141"/>
      <c r="B83" s="141"/>
      <c r="C83" s="141"/>
      <c r="D83" s="141"/>
      <c r="E83" s="141"/>
      <c r="F83" s="23" t="s">
        <v>56</v>
      </c>
      <c r="G83" s="148">
        <f>f.z_err_desired/1000</f>
        <v>2.8</v>
      </c>
      <c r="H83" s="17" t="s">
        <v>8</v>
      </c>
    </row>
    <row r="84" spans="1:8" x14ac:dyDescent="0.25">
      <c r="A84" s="141"/>
      <c r="B84" s="141"/>
      <c r="C84" s="141"/>
      <c r="D84" s="141"/>
      <c r="E84" s="141"/>
      <c r="F84" s="23" t="s">
        <v>57</v>
      </c>
      <c r="G84" s="150">
        <f>f.p_err_desired/1000</f>
        <v>7.6228780667620581</v>
      </c>
      <c r="H84" s="17" t="s">
        <v>8</v>
      </c>
    </row>
    <row r="85" spans="1:8" x14ac:dyDescent="0.25">
      <c r="A85" s="141"/>
      <c r="B85" s="141"/>
      <c r="C85" s="141"/>
      <c r="D85" s="141"/>
      <c r="E85" s="141"/>
      <c r="F85" s="23"/>
      <c r="G85" s="26"/>
      <c r="H85" s="17"/>
    </row>
    <row r="86" spans="1:8" ht="15.6" x14ac:dyDescent="0.25">
      <c r="A86" s="141"/>
      <c r="B86" s="141"/>
      <c r="C86" s="141"/>
      <c r="D86" s="141"/>
      <c r="E86" s="141"/>
      <c r="F86" s="22" t="s">
        <v>72</v>
      </c>
      <c r="G86" s="49">
        <v>7.35</v>
      </c>
      <c r="H86" s="3" t="s">
        <v>9</v>
      </c>
    </row>
    <row r="87" spans="1:8" ht="15.6" x14ac:dyDescent="0.25">
      <c r="A87" s="141"/>
      <c r="B87" s="141"/>
      <c r="C87" s="141"/>
      <c r="D87" s="141"/>
      <c r="E87" s="141"/>
      <c r="F87" s="22" t="s">
        <v>73</v>
      </c>
      <c r="G87" s="49">
        <v>7.7</v>
      </c>
      <c r="H87" s="3" t="s">
        <v>34</v>
      </c>
    </row>
    <row r="88" spans="1:8" ht="15.6" x14ac:dyDescent="0.25">
      <c r="A88" s="141"/>
      <c r="B88" s="141"/>
      <c r="C88" s="141"/>
      <c r="D88" s="141"/>
      <c r="E88" s="141"/>
      <c r="F88" s="22" t="s">
        <v>74</v>
      </c>
      <c r="G88" s="48">
        <v>4493</v>
      </c>
      <c r="H88" s="3" t="s">
        <v>47</v>
      </c>
    </row>
    <row r="89" spans="1:8" ht="15.6" x14ac:dyDescent="0.25">
      <c r="A89" s="141"/>
      <c r="B89" s="141"/>
      <c r="C89" s="141"/>
      <c r="D89" s="141"/>
      <c r="E89" s="141"/>
      <c r="F89" s="23" t="s">
        <v>66</v>
      </c>
      <c r="G89" s="148">
        <f>f.z_err/1000</f>
        <v>2.8121737998612586</v>
      </c>
      <c r="H89" s="1" t="s">
        <v>8</v>
      </c>
    </row>
    <row r="90" spans="1:8" ht="15.6" x14ac:dyDescent="0.25">
      <c r="A90" s="141"/>
      <c r="B90" s="141"/>
      <c r="C90" s="141"/>
      <c r="D90" s="141"/>
      <c r="E90" s="141"/>
      <c r="F90" s="23" t="s">
        <v>68</v>
      </c>
      <c r="G90" s="150">
        <f>f.p_err/1000</f>
        <v>7.6316125398861194</v>
      </c>
      <c r="H90" s="1" t="s">
        <v>8</v>
      </c>
    </row>
    <row r="91" spans="1:8" x14ac:dyDescent="0.25">
      <c r="A91" s="141"/>
      <c r="B91" s="141"/>
      <c r="C91" s="141"/>
      <c r="D91" s="141"/>
      <c r="E91" s="141"/>
    </row>
    <row r="92" spans="1:8" ht="15.6" x14ac:dyDescent="0.25">
      <c r="A92" s="141"/>
      <c r="B92" s="141"/>
      <c r="C92" s="141"/>
      <c r="D92" s="141"/>
      <c r="E92" s="141"/>
      <c r="F92" s="22" t="s">
        <v>75</v>
      </c>
      <c r="G92" s="48">
        <v>1</v>
      </c>
      <c r="H92" s="3" t="s">
        <v>47</v>
      </c>
    </row>
    <row r="93" spans="1:8" ht="15.6" x14ac:dyDescent="0.25">
      <c r="A93" s="141"/>
      <c r="B93" s="141"/>
      <c r="C93" s="141"/>
      <c r="D93" s="141"/>
      <c r="E93" s="141"/>
      <c r="F93" s="22" t="s">
        <v>76</v>
      </c>
      <c r="G93" s="48">
        <v>100000</v>
      </c>
      <c r="H93" s="3" t="s">
        <v>9</v>
      </c>
    </row>
    <row r="94" spans="1:8" ht="15.6" x14ac:dyDescent="0.25">
      <c r="A94" s="141"/>
      <c r="B94" s="141"/>
      <c r="C94" s="141"/>
      <c r="D94" s="141"/>
      <c r="E94" s="141"/>
      <c r="F94" s="23" t="s">
        <v>67</v>
      </c>
      <c r="G94" s="150">
        <f>f.z_cff/1000</f>
        <v>1061.0331746876532</v>
      </c>
      <c r="H94" s="17" t="s">
        <v>8</v>
      </c>
    </row>
    <row r="95" spans="1:8" x14ac:dyDescent="0.25">
      <c r="A95" s="141"/>
      <c r="B95" s="141"/>
      <c r="C95" s="141"/>
      <c r="D95" s="141"/>
      <c r="E95" s="141"/>
      <c r="F95" s="23"/>
      <c r="G95" s="16"/>
      <c r="H95" s="17"/>
    </row>
    <row r="96" spans="1:8" x14ac:dyDescent="0.25">
      <c r="A96" s="141"/>
      <c r="B96" s="141"/>
      <c r="C96" s="141"/>
      <c r="D96" s="141"/>
      <c r="E96" s="141"/>
    </row>
    <row r="97" spans="1:8" ht="15.6" x14ac:dyDescent="0.25">
      <c r="A97" s="141"/>
      <c r="B97" s="142" t="s">
        <v>52</v>
      </c>
      <c r="C97" s="141"/>
      <c r="D97" s="141"/>
      <c r="E97" s="141"/>
    </row>
    <row r="98" spans="1:8" ht="15.6" x14ac:dyDescent="0.35">
      <c r="A98" s="144"/>
      <c r="B98" s="142"/>
      <c r="C98" s="141"/>
      <c r="D98" s="141"/>
      <c r="E98" s="141"/>
      <c r="F98" s="20" t="s">
        <v>77</v>
      </c>
      <c r="G98" s="159">
        <v>1</v>
      </c>
      <c r="H98" s="27" t="s">
        <v>6</v>
      </c>
    </row>
    <row r="99" spans="1:8" ht="15.6" x14ac:dyDescent="0.35">
      <c r="A99" s="141"/>
      <c r="B99" s="142"/>
      <c r="C99" s="141"/>
      <c r="D99" s="141"/>
      <c r="E99" s="141"/>
      <c r="F99" s="19" t="s">
        <v>78</v>
      </c>
      <c r="G99" s="152" t="str">
        <f>IF(V.iset_desired&lt;1,R.iset/1000, "OPEN or 120")</f>
        <v>OPEN or 120</v>
      </c>
      <c r="H99" s="17" t="s">
        <v>9</v>
      </c>
    </row>
    <row r="100" spans="1:8" ht="15.6" x14ac:dyDescent="0.35">
      <c r="A100" s="141"/>
      <c r="B100" s="142"/>
      <c r="C100" s="141"/>
      <c r="D100" s="141"/>
      <c r="E100" s="141"/>
      <c r="F100" s="20" t="s">
        <v>80</v>
      </c>
      <c r="G100" s="48">
        <v>10</v>
      </c>
      <c r="H100" s="3" t="s">
        <v>34</v>
      </c>
    </row>
    <row r="101" spans="1:8" ht="15.6" x14ac:dyDescent="0.35">
      <c r="A101" s="141"/>
      <c r="B101" s="142"/>
      <c r="C101" s="141"/>
      <c r="D101" s="141"/>
      <c r="E101" s="141"/>
      <c r="F101" s="19" t="s">
        <v>79</v>
      </c>
      <c r="G101" s="147">
        <f>T.sscc*1000</f>
        <v>1</v>
      </c>
      <c r="H101" s="17" t="s">
        <v>37</v>
      </c>
    </row>
    <row r="102" spans="1:8" ht="15.6" x14ac:dyDescent="0.25">
      <c r="A102" s="141"/>
      <c r="B102" s="142"/>
      <c r="C102" s="141"/>
      <c r="D102" s="141"/>
      <c r="E102" s="141"/>
    </row>
    <row r="103" spans="1:8" ht="15.6" x14ac:dyDescent="0.25">
      <c r="A103" s="141"/>
      <c r="B103" s="142"/>
      <c r="C103" s="141"/>
      <c r="D103" s="141"/>
      <c r="E103" s="141"/>
    </row>
    <row r="104" spans="1:8" ht="15.6" x14ac:dyDescent="0.25">
      <c r="A104" s="141"/>
      <c r="B104" s="142" t="s">
        <v>51</v>
      </c>
      <c r="C104" s="141"/>
      <c r="D104" s="141"/>
      <c r="E104" s="141"/>
    </row>
    <row r="105" spans="1:8" ht="15.6" x14ac:dyDescent="0.25">
      <c r="A105" s="141"/>
      <c r="B105" s="142"/>
      <c r="C105" s="141"/>
      <c r="D105" s="141"/>
      <c r="E105" s="141"/>
      <c r="F105" s="23" t="s">
        <v>82</v>
      </c>
      <c r="G105" s="148">
        <f>R.imon_desired/1000</f>
        <v>8</v>
      </c>
      <c r="H105" s="17" t="s">
        <v>9</v>
      </c>
    </row>
    <row r="106" spans="1:8" ht="15.6" x14ac:dyDescent="0.25">
      <c r="A106" s="141"/>
      <c r="B106" s="142"/>
      <c r="C106" s="141"/>
      <c r="D106" s="141"/>
      <c r="E106" s="141"/>
      <c r="F106" s="23" t="s">
        <v>81</v>
      </c>
      <c r="G106" s="148">
        <f>C.imon_desired*10^9</f>
        <v>8.35</v>
      </c>
      <c r="H106" s="17" t="s">
        <v>34</v>
      </c>
    </row>
    <row r="107" spans="1:8" ht="15.6" x14ac:dyDescent="0.25">
      <c r="A107" s="141"/>
      <c r="B107" s="142"/>
      <c r="C107" s="141"/>
      <c r="D107" s="141"/>
      <c r="E107" s="141"/>
      <c r="F107" s="23" t="s">
        <v>83</v>
      </c>
      <c r="G107" s="148">
        <f>R.imonhf_desired</f>
        <v>3952.0958083832338</v>
      </c>
      <c r="H107" s="17" t="s">
        <v>90</v>
      </c>
    </row>
    <row r="108" spans="1:8" ht="15.6" x14ac:dyDescent="0.25">
      <c r="A108" s="141"/>
      <c r="B108" s="142"/>
      <c r="C108" s="141"/>
      <c r="D108" s="141"/>
      <c r="E108" s="141"/>
      <c r="F108" s="23" t="s">
        <v>245</v>
      </c>
      <c r="G108" s="147">
        <f>f.p_imon_desired/1000</f>
        <v>2.382559523999221</v>
      </c>
      <c r="H108" s="1" t="s">
        <v>8</v>
      </c>
    </row>
    <row r="109" spans="1:8" ht="15.6" x14ac:dyDescent="0.25">
      <c r="A109" s="141"/>
      <c r="B109" s="142"/>
      <c r="C109" s="141"/>
      <c r="D109" s="141"/>
      <c r="E109" s="141"/>
      <c r="F109" s="23" t="s">
        <v>244</v>
      </c>
      <c r="G109" s="150">
        <f>f.z_imon_desired/1000</f>
        <v>4.8228780667620592</v>
      </c>
      <c r="H109" s="1" t="s">
        <v>8</v>
      </c>
    </row>
    <row r="110" spans="1:8" x14ac:dyDescent="0.25">
      <c r="A110" s="141"/>
      <c r="B110" s="141"/>
      <c r="C110" s="141"/>
      <c r="D110" s="141"/>
      <c r="E110" s="141"/>
      <c r="F110" s="23"/>
      <c r="G110" s="26"/>
      <c r="H110" s="17"/>
    </row>
    <row r="111" spans="1:8" ht="15.6" x14ac:dyDescent="0.25">
      <c r="A111" s="141"/>
      <c r="B111" s="141"/>
      <c r="C111" s="141"/>
      <c r="D111" s="141"/>
      <c r="E111" s="141"/>
      <c r="F111" s="22" t="s">
        <v>84</v>
      </c>
      <c r="G111" s="49">
        <v>8</v>
      </c>
      <c r="H111" s="3" t="s">
        <v>9</v>
      </c>
    </row>
    <row r="112" spans="1:8" ht="15.6" x14ac:dyDescent="0.25">
      <c r="A112" s="141"/>
      <c r="B112" s="141"/>
      <c r="C112" s="141"/>
      <c r="D112" s="141"/>
      <c r="E112" s="141"/>
      <c r="F112" s="22" t="s">
        <v>86</v>
      </c>
      <c r="G112" s="49">
        <v>8.35</v>
      </c>
      <c r="H112" s="3" t="s">
        <v>34</v>
      </c>
    </row>
    <row r="113" spans="1:8" ht="15.6" x14ac:dyDescent="0.25">
      <c r="A113" s="141"/>
      <c r="B113" s="141"/>
      <c r="C113" s="141"/>
      <c r="D113" s="141"/>
      <c r="E113" s="141"/>
      <c r="F113" s="22" t="s">
        <v>85</v>
      </c>
      <c r="G113" s="139">
        <v>3952</v>
      </c>
      <c r="H113" s="3" t="s">
        <v>90</v>
      </c>
    </row>
    <row r="114" spans="1:8" ht="15.6" x14ac:dyDescent="0.25">
      <c r="A114" s="141"/>
      <c r="B114" s="141"/>
      <c r="C114" s="141"/>
      <c r="D114" s="141"/>
      <c r="E114" s="141"/>
      <c r="F114" s="23" t="s">
        <v>88</v>
      </c>
      <c r="G114" s="147">
        <f>f.p_imon/1000</f>
        <v>2.382559523999221</v>
      </c>
      <c r="H114" s="1" t="s">
        <v>8</v>
      </c>
    </row>
    <row r="115" spans="1:8" ht="15.6" x14ac:dyDescent="0.25">
      <c r="A115" s="141"/>
      <c r="B115" s="141"/>
      <c r="C115" s="141"/>
      <c r="D115" s="141"/>
      <c r="E115" s="141"/>
      <c r="F115" s="23" t="s">
        <v>87</v>
      </c>
      <c r="G115" s="155">
        <f>IF(f.z_imon/1000&lt;=2000,f.z_imon/1000,"&gt;2000")</f>
        <v>4.822994987852673</v>
      </c>
      <c r="H115" s="1" t="s">
        <v>8</v>
      </c>
    </row>
    <row r="116" spans="1:8" x14ac:dyDescent="0.25">
      <c r="A116" s="141"/>
      <c r="B116" s="141"/>
      <c r="C116" s="141"/>
      <c r="D116" s="141"/>
      <c r="E116" s="141"/>
    </row>
    <row r="117" spans="1:8" x14ac:dyDescent="0.25">
      <c r="A117" s="141"/>
      <c r="B117" s="141"/>
      <c r="C117" s="141"/>
      <c r="D117" s="141"/>
      <c r="E117" s="141"/>
    </row>
    <row r="118" spans="1:8" x14ac:dyDescent="0.25">
      <c r="A118" s="144"/>
      <c r="B118" s="141"/>
      <c r="C118" s="141"/>
      <c r="D118" s="141"/>
      <c r="E118" s="141"/>
    </row>
    <row r="119" spans="1:8" ht="15.6" x14ac:dyDescent="0.25">
      <c r="A119" s="141"/>
      <c r="B119" s="142" t="s">
        <v>53</v>
      </c>
      <c r="C119" s="141"/>
      <c r="D119" s="141"/>
      <c r="E119" s="141"/>
    </row>
    <row r="120" spans="1:8" x14ac:dyDescent="0.25">
      <c r="A120" s="141"/>
      <c r="B120" s="141"/>
      <c r="C120" s="141"/>
      <c r="D120" s="141"/>
      <c r="E120" s="143" t="s">
        <v>147</v>
      </c>
    </row>
    <row r="121" spans="1:8" ht="15.6" x14ac:dyDescent="0.35">
      <c r="A121" s="144"/>
      <c r="B121" s="141"/>
      <c r="C121" s="141"/>
      <c r="D121" s="141"/>
      <c r="E121" s="141"/>
      <c r="F121" s="20" t="s">
        <v>58</v>
      </c>
      <c r="G121" s="43">
        <v>3.9</v>
      </c>
      <c r="H121" s="3" t="s">
        <v>18</v>
      </c>
    </row>
    <row r="122" spans="1:8" ht="15.6" x14ac:dyDescent="0.35">
      <c r="A122" s="141"/>
      <c r="B122" s="141"/>
      <c r="C122" s="141"/>
      <c r="D122" s="141"/>
      <c r="E122" s="141"/>
      <c r="F122" s="20" t="s">
        <v>28</v>
      </c>
      <c r="G122" s="43">
        <v>1</v>
      </c>
      <c r="H122" s="3" t="s">
        <v>24</v>
      </c>
    </row>
    <row r="123" spans="1:8" x14ac:dyDescent="0.25">
      <c r="A123" s="141"/>
      <c r="B123" s="141"/>
      <c r="C123" s="141"/>
      <c r="D123" s="141"/>
      <c r="E123" s="143" t="s">
        <v>373</v>
      </c>
      <c r="F123" s="28" t="s">
        <v>94</v>
      </c>
      <c r="G123" s="28" t="s">
        <v>95</v>
      </c>
    </row>
    <row r="124" spans="1:8" ht="15.6" x14ac:dyDescent="0.25">
      <c r="A124" s="141"/>
      <c r="B124" s="141"/>
      <c r="C124" s="141"/>
      <c r="D124" s="141"/>
      <c r="E124" s="2" t="s">
        <v>466</v>
      </c>
      <c r="F124" s="43">
        <v>0.5</v>
      </c>
      <c r="G124" s="43">
        <v>0.5</v>
      </c>
      <c r="H124" s="3" t="s">
        <v>18</v>
      </c>
    </row>
    <row r="125" spans="1:8" ht="15.6" x14ac:dyDescent="0.25">
      <c r="A125" s="141"/>
      <c r="B125" s="141"/>
      <c r="C125" s="141"/>
      <c r="D125" s="141"/>
      <c r="E125" s="2" t="s">
        <v>467</v>
      </c>
      <c r="F125" s="48">
        <v>11</v>
      </c>
      <c r="G125" s="48">
        <v>11</v>
      </c>
      <c r="H125" s="3" t="s">
        <v>89</v>
      </c>
    </row>
    <row r="126" spans="1:8" ht="15.6" x14ac:dyDescent="0.25">
      <c r="A126" s="141"/>
      <c r="B126" s="141"/>
      <c r="C126" s="141"/>
      <c r="D126" s="141"/>
      <c r="E126" s="2" t="s">
        <v>468</v>
      </c>
      <c r="F126" s="48">
        <v>3</v>
      </c>
      <c r="G126" s="48">
        <v>3</v>
      </c>
      <c r="H126" s="3" t="s">
        <v>89</v>
      </c>
    </row>
    <row r="127" spans="1:8" ht="15.6" x14ac:dyDescent="0.25">
      <c r="A127" s="141"/>
      <c r="B127" s="141"/>
      <c r="C127" s="141"/>
      <c r="D127" s="141"/>
      <c r="E127" s="2" t="s">
        <v>469</v>
      </c>
      <c r="F127" s="48">
        <v>5</v>
      </c>
      <c r="G127" s="48">
        <v>5</v>
      </c>
      <c r="H127" s="3" t="s">
        <v>89</v>
      </c>
    </row>
    <row r="128" spans="1:8" ht="15.6" x14ac:dyDescent="0.25">
      <c r="A128" s="141"/>
      <c r="B128" s="141"/>
      <c r="C128" s="141"/>
      <c r="D128" s="141"/>
      <c r="E128" s="2" t="s">
        <v>470</v>
      </c>
      <c r="F128" s="24"/>
      <c r="G128" s="48">
        <v>7</v>
      </c>
      <c r="H128" s="3" t="s">
        <v>89</v>
      </c>
    </row>
    <row r="129" spans="1:8" ht="15.6" x14ac:dyDescent="0.25">
      <c r="A129" s="141"/>
      <c r="B129" s="141"/>
      <c r="C129" s="141"/>
      <c r="D129" s="141"/>
      <c r="E129" s="2" t="s">
        <v>471</v>
      </c>
      <c r="F129" s="48">
        <v>150</v>
      </c>
      <c r="G129" s="48">
        <v>150</v>
      </c>
      <c r="H129" s="3" t="s">
        <v>47</v>
      </c>
    </row>
    <row r="130" spans="1:8" ht="15.6" x14ac:dyDescent="0.25">
      <c r="A130" s="141"/>
      <c r="B130" s="141"/>
      <c r="C130" s="141"/>
      <c r="D130" s="141"/>
      <c r="E130" s="2" t="s">
        <v>472</v>
      </c>
      <c r="F130" s="43">
        <v>1</v>
      </c>
      <c r="G130" s="43">
        <v>1</v>
      </c>
      <c r="H130" s="3" t="s">
        <v>90</v>
      </c>
    </row>
    <row r="131" spans="1:8" ht="15.6" x14ac:dyDescent="0.25">
      <c r="A131" s="141"/>
      <c r="B131" s="141"/>
      <c r="C131" s="141"/>
      <c r="D131" s="141"/>
      <c r="E131" s="2" t="s">
        <v>473</v>
      </c>
      <c r="F131" s="48">
        <v>52</v>
      </c>
      <c r="G131" s="48">
        <v>52</v>
      </c>
      <c r="H131" s="3" t="s">
        <v>91</v>
      </c>
    </row>
    <row r="132" spans="1:8" ht="15.6" x14ac:dyDescent="0.25">
      <c r="A132" s="141"/>
      <c r="B132" s="141"/>
      <c r="C132" s="141"/>
      <c r="D132" s="141"/>
      <c r="E132" s="2" t="s">
        <v>474</v>
      </c>
      <c r="F132" s="43">
        <v>3.1</v>
      </c>
      <c r="G132" s="43">
        <v>3.1</v>
      </c>
      <c r="H132" s="3" t="s">
        <v>6</v>
      </c>
    </row>
    <row r="133" spans="1:8" ht="15.6" x14ac:dyDescent="0.25">
      <c r="A133" s="141"/>
      <c r="B133" s="141"/>
      <c r="C133" s="141"/>
      <c r="D133" s="141"/>
      <c r="E133" s="2" t="s">
        <v>475</v>
      </c>
      <c r="F133" s="43">
        <v>0.8</v>
      </c>
      <c r="G133" s="43">
        <v>0.8</v>
      </c>
      <c r="H133" s="3" t="s">
        <v>6</v>
      </c>
    </row>
    <row r="134" spans="1:8" ht="15.6" x14ac:dyDescent="0.25">
      <c r="A134" s="141"/>
      <c r="B134" s="141"/>
      <c r="C134" s="141"/>
      <c r="D134" s="141"/>
      <c r="E134" s="2" t="s">
        <v>476</v>
      </c>
      <c r="F134" s="24"/>
      <c r="G134" s="48">
        <v>41</v>
      </c>
      <c r="H134" s="3" t="s">
        <v>89</v>
      </c>
    </row>
    <row r="135" spans="1:8" ht="15.6" x14ac:dyDescent="0.25">
      <c r="A135" s="141"/>
      <c r="B135" s="141"/>
      <c r="C135" s="141"/>
      <c r="D135" s="141"/>
      <c r="E135" s="2" t="s">
        <v>477</v>
      </c>
      <c r="F135" s="48">
        <v>62</v>
      </c>
      <c r="G135" s="48">
        <v>62</v>
      </c>
      <c r="H135" s="3" t="s">
        <v>92</v>
      </c>
    </row>
    <row r="136" spans="1:8" x14ac:dyDescent="0.25">
      <c r="A136" s="141"/>
      <c r="B136" s="141"/>
      <c r="C136" s="141"/>
      <c r="D136" s="141"/>
      <c r="E136" s="2" t="s">
        <v>93</v>
      </c>
      <c r="G136" s="28" t="s">
        <v>95</v>
      </c>
    </row>
    <row r="137" spans="1:8" ht="15.6" x14ac:dyDescent="0.25">
      <c r="A137" s="141"/>
      <c r="B137" s="141"/>
      <c r="C137" s="141"/>
      <c r="D137" s="141"/>
      <c r="E137" s="2" t="s">
        <v>478</v>
      </c>
      <c r="G137" s="43">
        <v>0</v>
      </c>
      <c r="H137" s="27" t="s">
        <v>6</v>
      </c>
    </row>
    <row r="138" spans="1:8" ht="15.6" x14ac:dyDescent="0.25">
      <c r="A138" s="141"/>
      <c r="B138" s="141"/>
      <c r="C138" s="141"/>
      <c r="D138" s="141"/>
      <c r="E138" s="2" t="s">
        <v>479</v>
      </c>
      <c r="G138" s="48">
        <v>0</v>
      </c>
      <c r="H138" s="27" t="s">
        <v>89</v>
      </c>
    </row>
    <row r="139" spans="1:8" x14ac:dyDescent="0.25">
      <c r="A139" s="141"/>
      <c r="B139" s="141"/>
      <c r="C139" s="141"/>
      <c r="D139" s="141"/>
      <c r="E139" s="141"/>
    </row>
    <row r="140" spans="1:8" x14ac:dyDescent="0.25">
      <c r="A140" s="141"/>
      <c r="B140" s="141"/>
      <c r="C140" s="141"/>
      <c r="D140" s="141"/>
      <c r="E140" s="141"/>
    </row>
    <row r="141" spans="1:8" ht="15.6" x14ac:dyDescent="0.25">
      <c r="A141" s="141"/>
      <c r="B141" s="142" t="s">
        <v>54</v>
      </c>
      <c r="C141" s="141"/>
      <c r="D141" s="141"/>
      <c r="E141" s="141"/>
    </row>
    <row r="142" spans="1:8" ht="15.6" x14ac:dyDescent="0.25">
      <c r="A142" s="141"/>
      <c r="B142" s="141"/>
      <c r="C142" s="141"/>
      <c r="D142" s="141"/>
      <c r="E142" s="141"/>
      <c r="F142" s="22" t="s">
        <v>359</v>
      </c>
      <c r="G142" s="160" t="s">
        <v>284</v>
      </c>
    </row>
    <row r="143" spans="1:8" ht="15.6" x14ac:dyDescent="0.25">
      <c r="A143" s="141"/>
      <c r="B143" s="141"/>
      <c r="C143" s="141"/>
      <c r="D143" s="141"/>
      <c r="E143" s="141"/>
      <c r="F143" s="22" t="s">
        <v>325</v>
      </c>
      <c r="G143" s="160">
        <v>105</v>
      </c>
      <c r="H143" s="1" t="s">
        <v>96</v>
      </c>
    </row>
    <row r="144" spans="1:8" ht="15.6" x14ac:dyDescent="0.35">
      <c r="A144" s="141"/>
      <c r="B144" s="141"/>
      <c r="C144" s="141"/>
      <c r="D144" s="141"/>
      <c r="E144" s="141"/>
      <c r="F144" s="19" t="s">
        <v>98</v>
      </c>
      <c r="G144" s="145">
        <f>Efficiency!AY112</f>
        <v>0.25113599999999997</v>
      </c>
      <c r="H144" s="1" t="s">
        <v>24</v>
      </c>
    </row>
    <row r="145" spans="1:8" ht="15.6" x14ac:dyDescent="0.35">
      <c r="A145" s="141"/>
      <c r="B145" s="141"/>
      <c r="C145" s="141"/>
      <c r="D145" s="141"/>
      <c r="E145" s="141"/>
      <c r="F145" s="19" t="s">
        <v>324</v>
      </c>
      <c r="G145" s="29">
        <f>G143+G144*44.8</f>
        <v>116.2508928</v>
      </c>
      <c r="H145" s="1" t="s">
        <v>96</v>
      </c>
    </row>
    <row r="146" spans="1:8" x14ac:dyDescent="0.25">
      <c r="A146" s="141"/>
      <c r="B146" s="141"/>
      <c r="C146" s="141"/>
      <c r="D146" s="141"/>
      <c r="E146" s="141"/>
      <c r="F146" s="19" t="s">
        <v>498</v>
      </c>
      <c r="G146" s="1">
        <f>IVCC*1000</f>
        <v>10.34</v>
      </c>
      <c r="H146" s="1" t="s">
        <v>499</v>
      </c>
    </row>
    <row r="147" spans="1:8" x14ac:dyDescent="0.25">
      <c r="A147" s="141"/>
      <c r="B147" s="141"/>
      <c r="C147" s="141"/>
      <c r="D147" s="141"/>
      <c r="E147" s="141"/>
    </row>
    <row r="148" spans="1:8" ht="15.6" x14ac:dyDescent="0.25">
      <c r="A148" s="141"/>
      <c r="B148" s="142" t="s">
        <v>55</v>
      </c>
      <c r="C148" s="141"/>
      <c r="D148" s="141"/>
      <c r="E148" s="141"/>
    </row>
    <row r="149" spans="1:8" x14ac:dyDescent="0.25">
      <c r="A149" s="141"/>
      <c r="B149" s="141"/>
      <c r="C149" s="141"/>
      <c r="D149" s="141"/>
      <c r="E149" s="141"/>
      <c r="F149" s="22" t="s">
        <v>99</v>
      </c>
      <c r="G149" s="160">
        <v>50</v>
      </c>
      <c r="H149" s="27" t="s">
        <v>41</v>
      </c>
    </row>
    <row r="150" spans="1:8" ht="15.6" x14ac:dyDescent="0.35">
      <c r="A150" s="141"/>
      <c r="B150" s="141"/>
      <c r="C150" s="141"/>
      <c r="D150" s="141"/>
      <c r="E150" s="141"/>
      <c r="F150" s="19" t="s">
        <v>103</v>
      </c>
      <c r="G150" s="29">
        <f>Calc!C229*1000000</f>
        <v>106.38297872340425</v>
      </c>
      <c r="H150" s="1" t="s">
        <v>33</v>
      </c>
    </row>
    <row r="151" spans="1:8" x14ac:dyDescent="0.25">
      <c r="A151" s="141"/>
      <c r="B151" s="141"/>
      <c r="C151" s="141"/>
      <c r="D151" s="141"/>
      <c r="E151" s="141"/>
      <c r="F151" s="19" t="s">
        <v>100</v>
      </c>
      <c r="G151" s="29">
        <f>Calc!C232</f>
        <v>5</v>
      </c>
      <c r="H151" s="1" t="s">
        <v>101</v>
      </c>
    </row>
    <row r="152" spans="1:8" x14ac:dyDescent="0.25">
      <c r="A152" s="141"/>
      <c r="B152" s="141"/>
      <c r="C152" s="141"/>
      <c r="D152" s="141"/>
      <c r="E152" s="141"/>
      <c r="F152" s="19" t="s">
        <v>102</v>
      </c>
      <c r="G152" s="30">
        <f>Calc!C234*1000</f>
        <v>5</v>
      </c>
      <c r="H152" s="1" t="s">
        <v>18</v>
      </c>
    </row>
    <row r="153" spans="1:8" x14ac:dyDescent="0.25">
      <c r="A153" s="141"/>
      <c r="B153" s="141"/>
      <c r="C153" s="141"/>
      <c r="D153" s="141"/>
      <c r="E153" s="141"/>
    </row>
  </sheetData>
  <sheetProtection algorithmName="SHA-512" hashValue="7GUgeF5t0M8tfMMiivkXWRGglfRTS/6iQqiTjEBhiEmF+BD5rFO/ZHDH8Na5ktTsToIeiuEfzYVA25bGhUAIZA==" saltValue="xV0NsoZpwlzyUJByBV6VFg==" spinCount="100000" sheet="1" selectLockedCells="1"/>
  <mergeCells count="1">
    <mergeCell ref="K3:L3"/>
  </mergeCells>
  <conditionalFormatting sqref="G7">
    <cfRule type="cellIs" dxfId="22" priority="24" operator="notBetween">
      <formula>5</formula>
      <formula>$G$8</formula>
    </cfRule>
  </conditionalFormatting>
  <conditionalFormatting sqref="G8">
    <cfRule type="cellIs" dxfId="21" priority="23" operator="notBetween">
      <formula>$G$7</formula>
      <formula>$G$9</formula>
    </cfRule>
  </conditionalFormatting>
  <conditionalFormatting sqref="G9">
    <cfRule type="cellIs" dxfId="20" priority="22" operator="notBetween">
      <formula>$G$8</formula>
      <formula>MaxOperatinvVIN</formula>
    </cfRule>
  </conditionalFormatting>
  <conditionalFormatting sqref="G10">
    <cfRule type="cellIs" dxfId="19" priority="21" operator="notBetween">
      <formula>0.8</formula>
      <formula>$G$7</formula>
    </cfRule>
  </conditionalFormatting>
  <conditionalFormatting sqref="G12">
    <cfRule type="cellIs" dxfId="18" priority="20" operator="notBetween">
      <formula>100</formula>
      <formula>2200</formula>
    </cfRule>
  </conditionalFormatting>
  <conditionalFormatting sqref="G11">
    <cfRule type="cellIs" dxfId="17" priority="19" operator="lessThanOrEqual">
      <formula>0</formula>
    </cfRule>
  </conditionalFormatting>
  <conditionalFormatting sqref="G19">
    <cfRule type="cellIs" dxfId="16" priority="17" operator="lessThan">
      <formula>Ipeak_atvinmax</formula>
    </cfRule>
    <cfRule type="cellIs" dxfId="15" priority="18" operator="lessThan">
      <formula>Ipeak_atvinmax*1.15</formula>
    </cfRule>
  </conditionalFormatting>
  <conditionalFormatting sqref="G21">
    <cfRule type="cellIs" dxfId="14" priority="16" operator="greaterThan">
      <formula>$G$20+0.1</formula>
    </cfRule>
  </conditionalFormatting>
  <conditionalFormatting sqref="G44">
    <cfRule type="cellIs" dxfId="13" priority="15" operator="lessThan">
      <formula>V.sp_max</formula>
    </cfRule>
  </conditionalFormatting>
  <conditionalFormatting sqref="G47">
    <cfRule type="cellIs" dxfId="12" priority="14" operator="lessThan">
      <formula>V.sp_max</formula>
    </cfRule>
  </conditionalFormatting>
  <conditionalFormatting sqref="G51">
    <cfRule type="cellIs" dxfId="11" priority="13" operator="greaterThan">
      <formula>6</formula>
    </cfRule>
  </conditionalFormatting>
  <conditionalFormatting sqref="G52">
    <cfRule type="cellIs" dxfId="10" priority="12" operator="greaterThan">
      <formula>f.sw/1000/10</formula>
    </cfRule>
  </conditionalFormatting>
  <conditionalFormatting sqref="G53">
    <cfRule type="cellIs" dxfId="9" priority="11" operator="greaterThan">
      <formula>$G$57+$G$62</formula>
    </cfRule>
  </conditionalFormatting>
  <conditionalFormatting sqref="G67">
    <cfRule type="cellIs" dxfId="8" priority="9" operator="greaterThan">
      <formula>6</formula>
    </cfRule>
  </conditionalFormatting>
  <conditionalFormatting sqref="G68">
    <cfRule type="cellIs" dxfId="7" priority="8" operator="greaterThan">
      <formula>8</formula>
    </cfRule>
  </conditionalFormatting>
  <conditionalFormatting sqref="G72">
    <cfRule type="cellIs" dxfId="6" priority="7" operator="lessThan">
      <formula>R.fbt_min/1000</formula>
    </cfRule>
  </conditionalFormatting>
  <conditionalFormatting sqref="G98">
    <cfRule type="cellIs" dxfId="5" priority="6" operator="between">
      <formula>0.801</formula>
      <formula>0.99</formula>
    </cfRule>
  </conditionalFormatting>
  <conditionalFormatting sqref="G86">
    <cfRule type="cellIs" dxfId="4" priority="5" operator="greaterThan">
      <formula>$G$80*1.2</formula>
    </cfRule>
  </conditionalFormatting>
  <conditionalFormatting sqref="G87">
    <cfRule type="cellIs" dxfId="3" priority="4" operator="lessThan">
      <formula>$G$81*0.8</formula>
    </cfRule>
  </conditionalFormatting>
  <conditionalFormatting sqref="G146">
    <cfRule type="cellIs" dxfId="2" priority="3" operator="greaterThan">
      <formula>130</formula>
    </cfRule>
  </conditionalFormatting>
  <conditionalFormatting sqref="G36">
    <cfRule type="cellIs" dxfId="1" priority="2" operator="notEqual">
      <formula>2.2</formula>
    </cfRule>
  </conditionalFormatting>
  <conditionalFormatting sqref="G37">
    <cfRule type="cellIs" dxfId="0" priority="1" operator="notEqual">
      <formula>100</formula>
    </cfRule>
  </conditionalFormatting>
  <hyperlinks>
    <hyperlink ref="C3" r:id="rId1" xr:uid="{B6642219-9899-4353-ACFD-B670B24BAF27}"/>
  </hyperlinks>
  <pageMargins left="0.7" right="0.7" top="0.75" bottom="0.75" header="0.3" footer="0.3"/>
  <pageSetup scale="42" orientation="portrait" r:id="rId2"/>
  <rowBreaks count="1" manualBreakCount="1">
    <brk id="74"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1025" r:id="rId5" name="Drop Down 1">
              <controlPr defaultSize="0" autoLine="0" autoPict="0">
                <anchor moveWithCells="1">
                  <from>
                    <xdr:col>13</xdr:col>
                    <xdr:colOff>274320</xdr:colOff>
                    <xdr:row>1</xdr:row>
                    <xdr:rowOff>350520</xdr:rowOff>
                  </from>
                  <to>
                    <xdr:col>14</xdr:col>
                    <xdr:colOff>213360</xdr:colOff>
                    <xdr:row>2</xdr:row>
                    <xdr:rowOff>68580</xdr:rowOff>
                  </to>
                </anchor>
              </controlPr>
            </control>
          </mc:Choice>
        </mc:AlternateContent>
        <mc:AlternateContent xmlns:mc="http://schemas.openxmlformats.org/markup-compatibility/2006">
          <mc:Choice Requires="x14">
            <control shapeId="19955" r:id="rId6" name="Button 2547">
              <controlPr defaultSize="0" print="0" autoFill="0" autoPict="0" macro="[0]!OPEN_PF">
                <anchor moveWithCells="1" sizeWithCells="1">
                  <from>
                    <xdr:col>11</xdr:col>
                    <xdr:colOff>137160</xdr:colOff>
                    <xdr:row>148</xdr:row>
                    <xdr:rowOff>99060</xdr:rowOff>
                  </from>
                  <to>
                    <xdr:col>12</xdr:col>
                    <xdr:colOff>472440</xdr:colOff>
                    <xdr:row>151</xdr:row>
                    <xdr:rowOff>30480</xdr:rowOff>
                  </to>
                </anchor>
              </controlPr>
            </control>
          </mc:Choice>
        </mc:AlternateContent>
        <mc:AlternateContent xmlns:mc="http://schemas.openxmlformats.org/markup-compatibility/2006">
          <mc:Choice Requires="x14">
            <control shapeId="19956" r:id="rId7" name="Button 2548">
              <controlPr defaultSize="0" print="0" autoFill="0" autoPict="0" macro="[0]!PRINT_NOW">
                <anchor moveWithCells="1" sizeWithCells="1">
                  <from>
                    <xdr:col>8</xdr:col>
                    <xdr:colOff>525780</xdr:colOff>
                    <xdr:row>148</xdr:row>
                    <xdr:rowOff>83820</xdr:rowOff>
                  </from>
                  <to>
                    <xdr:col>10</xdr:col>
                    <xdr:colOff>327660</xdr:colOff>
                    <xdr:row>150</xdr:row>
                    <xdr:rowOff>106680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6A854C42-F114-42A2-B0F3-D99355FF6D3B}">
          <x14:formula1>
            <xm:f>STD_VAL!$C$7:$C$8</xm:f>
          </x14:formula1>
          <xm:sqref>G13</xm:sqref>
        </x14:dataValidation>
        <x14:dataValidation type="list" allowBlank="1" showInputMessage="1" showErrorMessage="1" xr:uid="{D5C8AFE5-3A84-47C0-B7C8-81BD418A2261}">
          <x14:formula1>
            <xm:f>STD_VAL!$C$3:$C$4</xm:f>
          </x14:formula1>
          <xm:sqref>G14</xm:sqref>
        </x14:dataValidation>
        <x14:dataValidation type="list" allowBlank="1" showInputMessage="1" showErrorMessage="1" xr:uid="{0E6F8022-9320-405F-B98F-8C9811E3D42B}">
          <x14:formula1>
            <xm:f>STD_VAL!$C$11:$C$12</xm:f>
          </x14:formula1>
          <xm:sqref>G142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B7D28-89D7-4D5C-877A-122BA4DF9367}">
  <sheetPr codeName="Sheet2">
    <tabColor rgb="FFFFFF00"/>
  </sheetPr>
  <dimension ref="A1"/>
  <sheetViews>
    <sheetView zoomScaleNormal="100" workbookViewId="0">
      <selection activeCell="H37" sqref="H37"/>
    </sheetView>
  </sheetViews>
  <sheetFormatPr defaultRowHeight="14.4" x14ac:dyDescent="0.3"/>
  <cols>
    <col min="1" max="16384" width="8.88671875" style="31"/>
  </cols>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E750B-727E-45C7-8BF7-7A1993FA736A}">
  <sheetPr codeName="Sheet3"/>
  <dimension ref="A1:X247"/>
  <sheetViews>
    <sheetView topLeftCell="A28" zoomScaleNormal="100" workbookViewId="0">
      <selection activeCell="A59" sqref="A59"/>
    </sheetView>
  </sheetViews>
  <sheetFormatPr defaultRowHeight="13.2" x14ac:dyDescent="0.25"/>
  <cols>
    <col min="1" max="1" width="41.6640625" bestFit="1" customWidth="1"/>
    <col min="2" max="2" width="19" customWidth="1"/>
    <col min="3" max="3" width="12.33203125" bestFit="1" customWidth="1"/>
    <col min="4" max="4" width="31" bestFit="1" customWidth="1"/>
    <col min="5" max="5" width="12" bestFit="1" customWidth="1"/>
    <col min="6" max="6" width="11.21875" customWidth="1"/>
    <col min="19" max="19" width="10.88671875" bestFit="1" customWidth="1"/>
    <col min="20" max="20" width="8.33203125" bestFit="1" customWidth="1"/>
    <col min="21" max="21" width="15.5546875" bestFit="1" customWidth="1"/>
    <col min="22" max="22" width="15.5546875" style="58" bestFit="1" customWidth="1"/>
    <col min="23" max="23" width="12.88671875" style="58" customWidth="1"/>
    <col min="24" max="24" width="7.44140625" bestFit="1" customWidth="1"/>
    <col min="25" max="25" width="11.33203125" bestFit="1" customWidth="1"/>
  </cols>
  <sheetData>
    <row r="1" spans="1:7" ht="25.8" x14ac:dyDescent="0.5">
      <c r="A1" s="35" t="s">
        <v>106</v>
      </c>
      <c r="G1" s="36"/>
    </row>
    <row r="2" spans="1:7" x14ac:dyDescent="0.25">
      <c r="C2" s="46"/>
      <c r="D2" t="s">
        <v>107</v>
      </c>
      <c r="G2" s="36"/>
    </row>
    <row r="3" spans="1:7" x14ac:dyDescent="0.25">
      <c r="C3" s="37"/>
      <c r="D3" t="s">
        <v>108</v>
      </c>
      <c r="G3" s="36"/>
    </row>
    <row r="4" spans="1:7" x14ac:dyDescent="0.25">
      <c r="C4" s="38"/>
      <c r="D4" t="s">
        <v>109</v>
      </c>
      <c r="G4" s="36"/>
    </row>
    <row r="5" spans="1:7" x14ac:dyDescent="0.25">
      <c r="C5" s="39"/>
      <c r="G5" s="36"/>
    </row>
    <row r="6" spans="1:7" x14ac:dyDescent="0.25">
      <c r="A6" s="40" t="s">
        <v>110</v>
      </c>
      <c r="G6" s="36"/>
    </row>
    <row r="7" spans="1:7" ht="14.4" x14ac:dyDescent="0.3">
      <c r="B7" s="32" t="s">
        <v>111</v>
      </c>
      <c r="C7" s="32" t="s">
        <v>112</v>
      </c>
      <c r="D7" s="32" t="s">
        <v>113</v>
      </c>
      <c r="E7" s="32" t="s">
        <v>114</v>
      </c>
      <c r="F7" s="32" t="s">
        <v>105</v>
      </c>
      <c r="G7" s="41" t="s">
        <v>115</v>
      </c>
    </row>
    <row r="8" spans="1:7" x14ac:dyDescent="0.25">
      <c r="B8" s="38" t="s">
        <v>116</v>
      </c>
      <c r="C8" s="39"/>
      <c r="D8" s="39"/>
      <c r="F8">
        <v>3.1415920000000002</v>
      </c>
      <c r="G8" s="36"/>
    </row>
    <row r="9" spans="1:7" x14ac:dyDescent="0.25">
      <c r="B9" s="38" t="s">
        <v>334</v>
      </c>
      <c r="C9" s="39"/>
      <c r="D9" s="39"/>
      <c r="F9">
        <v>7</v>
      </c>
      <c r="G9" s="36"/>
    </row>
    <row r="10" spans="1:7" x14ac:dyDescent="0.25">
      <c r="B10" s="38" t="s">
        <v>358</v>
      </c>
      <c r="C10" s="39"/>
      <c r="D10" s="39"/>
      <c r="F10">
        <f>124*10^-6</f>
        <v>1.2400000000000001E-4</v>
      </c>
      <c r="G10" s="36"/>
    </row>
    <row r="11" spans="1:7" x14ac:dyDescent="0.25">
      <c r="A11" s="40" t="s">
        <v>140</v>
      </c>
    </row>
    <row r="12" spans="1:7" x14ac:dyDescent="0.25">
      <c r="B12" s="42" t="s">
        <v>111</v>
      </c>
      <c r="C12" s="42" t="s">
        <v>112</v>
      </c>
      <c r="D12" s="42" t="s">
        <v>113</v>
      </c>
      <c r="E12" s="42" t="s">
        <v>114</v>
      </c>
      <c r="F12" s="42" t="s">
        <v>105</v>
      </c>
      <c r="G12" s="42" t="s">
        <v>115</v>
      </c>
    </row>
    <row r="13" spans="1:7" x14ac:dyDescent="0.25">
      <c r="A13" t="s">
        <v>117</v>
      </c>
      <c r="B13" s="46" t="s">
        <v>118</v>
      </c>
      <c r="C13">
        <f>Design!G7</f>
        <v>24</v>
      </c>
      <c r="E13">
        <v>1</v>
      </c>
      <c r="F13">
        <f>C13*E13</f>
        <v>24</v>
      </c>
    </row>
    <row r="14" spans="1:7" x14ac:dyDescent="0.25">
      <c r="B14" s="46" t="s">
        <v>119</v>
      </c>
      <c r="C14">
        <f>Design!G8</f>
        <v>24</v>
      </c>
      <c r="E14">
        <v>1</v>
      </c>
      <c r="F14">
        <f t="shared" ref="F14:F24" si="0">C14*E14</f>
        <v>24</v>
      </c>
    </row>
    <row r="15" spans="1:7" x14ac:dyDescent="0.25">
      <c r="A15" t="s">
        <v>120</v>
      </c>
      <c r="B15" s="46" t="s">
        <v>121</v>
      </c>
      <c r="C15">
        <f>Design!G9</f>
        <v>24</v>
      </c>
      <c r="E15">
        <v>1</v>
      </c>
      <c r="F15">
        <f t="shared" si="0"/>
        <v>24</v>
      </c>
    </row>
    <row r="16" spans="1:7" x14ac:dyDescent="0.25">
      <c r="A16" t="s">
        <v>122</v>
      </c>
      <c r="B16" s="46" t="s">
        <v>123</v>
      </c>
      <c r="C16">
        <f>Design!G10</f>
        <v>4</v>
      </c>
      <c r="E16">
        <v>1</v>
      </c>
      <c r="F16">
        <f t="shared" si="0"/>
        <v>4</v>
      </c>
    </row>
    <row r="17" spans="1:6" x14ac:dyDescent="0.25">
      <c r="A17" t="s">
        <v>124</v>
      </c>
      <c r="B17" s="46" t="s">
        <v>129</v>
      </c>
      <c r="C17">
        <f>Design!G11</f>
        <v>10</v>
      </c>
      <c r="E17">
        <v>1</v>
      </c>
      <c r="F17">
        <f t="shared" si="0"/>
        <v>10</v>
      </c>
    </row>
    <row r="18" spans="1:6" x14ac:dyDescent="0.25">
      <c r="A18" t="s">
        <v>125</v>
      </c>
      <c r="B18" s="46" t="s">
        <v>126</v>
      </c>
      <c r="C18">
        <f>Design!G12</f>
        <v>470</v>
      </c>
      <c r="D18" t="s">
        <v>8</v>
      </c>
      <c r="E18">
        <v>1000</v>
      </c>
      <c r="F18">
        <f t="shared" si="0"/>
        <v>470000</v>
      </c>
    </row>
    <row r="19" spans="1:6" x14ac:dyDescent="0.25">
      <c r="A19" t="s">
        <v>128</v>
      </c>
      <c r="B19" s="46" t="s">
        <v>16</v>
      </c>
      <c r="C19">
        <f>IF(Design!G13=STD_VAL!C7,STD_VAL!D7,IF(Design!G13=STD_VAL!C8,STD_VAL!D8,444))</f>
        <v>1</v>
      </c>
      <c r="E19">
        <v>1</v>
      </c>
      <c r="F19">
        <f t="shared" si="0"/>
        <v>1</v>
      </c>
    </row>
    <row r="20" spans="1:6" x14ac:dyDescent="0.25">
      <c r="B20" s="46" t="s">
        <v>138</v>
      </c>
      <c r="C20">
        <f>IF(Design!G14=STD_VAL!C3,STD_VAL!D3,IF(Design!G14=STD_VAL!C4,STD_VAL!D4,444))</f>
        <v>1</v>
      </c>
      <c r="E20">
        <v>1</v>
      </c>
      <c r="F20">
        <f t="shared" si="0"/>
        <v>1</v>
      </c>
    </row>
    <row r="21" spans="1:6" x14ac:dyDescent="0.25">
      <c r="B21" t="s">
        <v>127</v>
      </c>
      <c r="C21">
        <f>V.load*I.load</f>
        <v>40</v>
      </c>
      <c r="E21">
        <v>1</v>
      </c>
      <c r="F21">
        <f t="shared" si="0"/>
        <v>40</v>
      </c>
    </row>
    <row r="22" spans="1:6" x14ac:dyDescent="0.25">
      <c r="B22" t="s">
        <v>135</v>
      </c>
      <c r="C22">
        <f>C16/C17</f>
        <v>0.4</v>
      </c>
      <c r="E22">
        <v>1</v>
      </c>
      <c r="F22">
        <f t="shared" si="0"/>
        <v>0.4</v>
      </c>
    </row>
    <row r="23" spans="1:6" x14ac:dyDescent="0.25">
      <c r="B23" s="39" t="s">
        <v>136</v>
      </c>
      <c r="C23">
        <f>(10^6/(f.sw/1000)-59)/41*1000</f>
        <v>50455.111572392314</v>
      </c>
      <c r="E23">
        <v>1</v>
      </c>
      <c r="F23">
        <f t="shared" si="0"/>
        <v>50455.111572392314</v>
      </c>
    </row>
    <row r="24" spans="1:6" x14ac:dyDescent="0.25">
      <c r="B24" s="45" t="s">
        <v>137</v>
      </c>
      <c r="C24">
        <f>IF(ISNUMBER(R.t_calc/1000),INDEX(STD_VAL!$A$1:$A$769,MATCH(R.t_calc/1000,STD_VAL!$A$1:$A$769)),R.t_calc/1000)</f>
        <v>49.900000000000006</v>
      </c>
      <c r="E24">
        <v>1000</v>
      </c>
      <c r="F24">
        <f t="shared" si="0"/>
        <v>49900.000000000007</v>
      </c>
    </row>
    <row r="25" spans="1:6" x14ac:dyDescent="0.25">
      <c r="B25" s="39" t="s">
        <v>491</v>
      </c>
      <c r="F25">
        <f>IF(DEVICE=0,42,80)</f>
        <v>80</v>
      </c>
    </row>
    <row r="27" spans="1:6" x14ac:dyDescent="0.25">
      <c r="A27" s="40" t="s">
        <v>139</v>
      </c>
    </row>
    <row r="28" spans="1:6" x14ac:dyDescent="0.25">
      <c r="A28" s="39"/>
      <c r="B28" s="38" t="s">
        <v>144</v>
      </c>
      <c r="C28">
        <v>0.06</v>
      </c>
      <c r="E28">
        <v>1</v>
      </c>
      <c r="F28">
        <f t="shared" ref="F28:F34" si="1">C28*E28</f>
        <v>0.06</v>
      </c>
    </row>
    <row r="29" spans="1:6" x14ac:dyDescent="0.25">
      <c r="A29" s="39"/>
      <c r="B29" s="38" t="s">
        <v>145</v>
      </c>
      <c r="C29">
        <f>C28*0.9</f>
        <v>5.3999999999999999E-2</v>
      </c>
      <c r="E29">
        <v>1</v>
      </c>
      <c r="F29">
        <f t="shared" si="1"/>
        <v>5.3999999999999999E-2</v>
      </c>
    </row>
    <row r="30" spans="1:6" x14ac:dyDescent="0.25">
      <c r="A30" s="39"/>
      <c r="B30" s="38" t="s">
        <v>146</v>
      </c>
      <c r="C30">
        <f>C28*1.1</f>
        <v>6.6000000000000003E-2</v>
      </c>
      <c r="E30">
        <v>1</v>
      </c>
      <c r="F30">
        <f t="shared" si="1"/>
        <v>6.6000000000000003E-2</v>
      </c>
    </row>
    <row r="31" spans="1:6" x14ac:dyDescent="0.25">
      <c r="A31" s="39"/>
      <c r="B31" s="46" t="s">
        <v>167</v>
      </c>
      <c r="C31">
        <f>Design!G19</f>
        <v>10.9</v>
      </c>
      <c r="E31">
        <v>1</v>
      </c>
      <c r="F31">
        <f t="shared" si="1"/>
        <v>10.9</v>
      </c>
    </row>
    <row r="32" spans="1:6" x14ac:dyDescent="0.25">
      <c r="A32" s="39"/>
      <c r="B32" s="37" t="s">
        <v>141</v>
      </c>
      <c r="C32">
        <f>V.pcl_min/I.peakcl</f>
        <v>4.9541284403669724E-3</v>
      </c>
      <c r="E32">
        <v>1</v>
      </c>
      <c r="F32">
        <f t="shared" si="1"/>
        <v>4.9541284403669724E-3</v>
      </c>
    </row>
    <row r="33" spans="1:6" x14ac:dyDescent="0.25">
      <c r="A33" s="39"/>
      <c r="B33" s="46" t="s">
        <v>142</v>
      </c>
      <c r="C33">
        <f>Design!G21</f>
        <v>5</v>
      </c>
      <c r="E33">
        <v>1E-3</v>
      </c>
      <c r="F33">
        <f t="shared" si="1"/>
        <v>5.0000000000000001E-3</v>
      </c>
    </row>
    <row r="34" spans="1:6" x14ac:dyDescent="0.25">
      <c r="B34" s="37" t="s">
        <v>143</v>
      </c>
      <c r="C34" s="47">
        <f>I.peakcl^2*R.s</f>
        <v>0.59405000000000008</v>
      </c>
      <c r="E34">
        <v>1</v>
      </c>
      <c r="F34">
        <f t="shared" si="1"/>
        <v>0.59405000000000008</v>
      </c>
    </row>
    <row r="37" spans="1:6" x14ac:dyDescent="0.25">
      <c r="A37" s="40" t="s">
        <v>147</v>
      </c>
    </row>
    <row r="38" spans="1:6" x14ac:dyDescent="0.25">
      <c r="B38" s="38" t="s">
        <v>149</v>
      </c>
      <c r="C38">
        <v>0.4</v>
      </c>
      <c r="E38">
        <v>1</v>
      </c>
      <c r="F38">
        <v>0.4</v>
      </c>
    </row>
    <row r="39" spans="1:6" x14ac:dyDescent="0.25">
      <c r="B39" s="45" t="s">
        <v>148</v>
      </c>
      <c r="C39">
        <f>(V.supply_typ-V.load)/RR.typ/I.load*(V.load/V.supply_typ/f.sw)</f>
        <v>1.7730496453900707E-6</v>
      </c>
      <c r="E39">
        <v>1</v>
      </c>
      <c r="F39">
        <f>C39*E39</f>
        <v>1.7730496453900707E-6</v>
      </c>
    </row>
    <row r="40" spans="1:6" x14ac:dyDescent="0.25">
      <c r="B40" s="38" t="s">
        <v>150</v>
      </c>
      <c r="C40">
        <v>0.45</v>
      </c>
      <c r="E40">
        <v>1</v>
      </c>
      <c r="F40">
        <f>C40*E40</f>
        <v>0.45</v>
      </c>
    </row>
    <row r="41" spans="1:6" x14ac:dyDescent="0.25">
      <c r="B41" s="38" t="s">
        <v>151</v>
      </c>
      <c r="C41">
        <f>V.slope_typ*0.9</f>
        <v>0.40500000000000003</v>
      </c>
      <c r="E41">
        <v>1</v>
      </c>
      <c r="F41">
        <f t="shared" ref="F41:F48" si="2">C41*E41</f>
        <v>0.40500000000000003</v>
      </c>
    </row>
    <row r="42" spans="1:6" x14ac:dyDescent="0.25">
      <c r="B42" s="38" t="s">
        <v>152</v>
      </c>
      <c r="C42">
        <f>V.slope_typ*1.1</f>
        <v>0.49500000000000005</v>
      </c>
      <c r="E42">
        <v>1</v>
      </c>
      <c r="F42">
        <f t="shared" si="2"/>
        <v>0.49500000000000005</v>
      </c>
    </row>
    <row r="43" spans="1:6" x14ac:dyDescent="0.25">
      <c r="B43" s="38" t="s">
        <v>153</v>
      </c>
      <c r="C43">
        <v>10</v>
      </c>
      <c r="E43">
        <v>1</v>
      </c>
      <c r="F43">
        <f t="shared" si="2"/>
        <v>10</v>
      </c>
    </row>
    <row r="44" spans="1:6" x14ac:dyDescent="0.25">
      <c r="B44" s="38" t="s">
        <v>154</v>
      </c>
      <c r="C44">
        <f>A.s_typ*0.9</f>
        <v>9</v>
      </c>
      <c r="E44">
        <v>1</v>
      </c>
      <c r="F44">
        <f t="shared" si="2"/>
        <v>9</v>
      </c>
    </row>
    <row r="45" spans="1:6" x14ac:dyDescent="0.25">
      <c r="B45" s="38" t="s">
        <v>155</v>
      </c>
      <c r="C45">
        <f>A.s_typ*1.1</f>
        <v>11</v>
      </c>
      <c r="E45">
        <v>1</v>
      </c>
      <c r="F45">
        <f t="shared" si="2"/>
        <v>11</v>
      </c>
    </row>
    <row r="46" spans="1:6" x14ac:dyDescent="0.25">
      <c r="B46" s="38" t="s">
        <v>156</v>
      </c>
      <c r="C46">
        <v>1.2</v>
      </c>
      <c r="E46">
        <v>1</v>
      </c>
      <c r="F46">
        <f t="shared" si="2"/>
        <v>1.2</v>
      </c>
    </row>
    <row r="47" spans="1:6" x14ac:dyDescent="0.25">
      <c r="A47" t="s">
        <v>544</v>
      </c>
      <c r="B47" s="39" t="s">
        <v>157</v>
      </c>
      <c r="C47">
        <f>R.s*A.s_typ*V.load/f.sw/2*L.margin/V.slope_min</f>
        <v>6.3041765169424737E-7</v>
      </c>
      <c r="E47">
        <v>1</v>
      </c>
      <c r="F47">
        <f t="shared" si="2"/>
        <v>6.3041765169424737E-7</v>
      </c>
    </row>
    <row r="48" spans="1:6" x14ac:dyDescent="0.25">
      <c r="A48" t="s">
        <v>545</v>
      </c>
      <c r="B48" s="39" t="s">
        <v>158</v>
      </c>
      <c r="C48">
        <f>(V.supply_max-V.load)/2/I.load*(V.load/V.supply_max/f.sw)</f>
        <v>3.5460992907801415E-7</v>
      </c>
      <c r="E48">
        <v>1</v>
      </c>
      <c r="F48">
        <f t="shared" si="2"/>
        <v>3.5460992907801415E-7</v>
      </c>
    </row>
    <row r="49" spans="1:8" x14ac:dyDescent="0.25">
      <c r="B49" s="38" t="s">
        <v>159</v>
      </c>
      <c r="C49">
        <f>0.03*0.95</f>
        <v>2.8499999999999998E-2</v>
      </c>
      <c r="E49">
        <v>1</v>
      </c>
      <c r="F49">
        <f t="shared" ref="F49:F57" si="3">C49*E49</f>
        <v>2.8499999999999998E-2</v>
      </c>
    </row>
    <row r="50" spans="1:8" x14ac:dyDescent="0.25">
      <c r="A50" t="s">
        <v>546</v>
      </c>
      <c r="B50" s="39" t="s">
        <v>160</v>
      </c>
      <c r="C50">
        <f>(V.supply_max-V.load)/2*(V.load/V.supply_max/f.sw*R.s/V.ncl_max)</f>
        <v>6.221226825930074E-7</v>
      </c>
      <c r="E50">
        <v>1</v>
      </c>
      <c r="F50">
        <f t="shared" si="3"/>
        <v>6.221226825930074E-7</v>
      </c>
    </row>
    <row r="51" spans="1:8" x14ac:dyDescent="0.25">
      <c r="A51" t="s">
        <v>547</v>
      </c>
      <c r="B51" s="39" t="s">
        <v>161</v>
      </c>
      <c r="C51">
        <f>(V.supply_min-V.load)/2*V.load/V.supply_min/f.sw/(V.pcl_min/R.s-I.load)</f>
        <v>4.4326241134751832E-6</v>
      </c>
      <c r="E51">
        <v>1</v>
      </c>
      <c r="F51">
        <f t="shared" si="3"/>
        <v>4.4326241134751832E-6</v>
      </c>
    </row>
    <row r="52" spans="1:8" x14ac:dyDescent="0.25">
      <c r="B52" s="37" t="s">
        <v>162</v>
      </c>
      <c r="C52">
        <f>IF(FPWM=0,MAX(C51,0.0000001,C48,C47),MAX(C51,C50,C48,C47))</f>
        <v>4.4326241134751832E-6</v>
      </c>
      <c r="E52">
        <v>1</v>
      </c>
      <c r="F52">
        <f t="shared" si="3"/>
        <v>4.4326241134751832E-6</v>
      </c>
    </row>
    <row r="53" spans="1:8" x14ac:dyDescent="0.25">
      <c r="B53" s="46" t="s">
        <v>163</v>
      </c>
      <c r="C53">
        <f>Design!G28</f>
        <v>3.3</v>
      </c>
      <c r="E53">
        <f>10^-6</f>
        <v>9.9999999999999995E-7</v>
      </c>
      <c r="F53">
        <f t="shared" si="3"/>
        <v>3.2999999999999997E-6</v>
      </c>
    </row>
    <row r="54" spans="1:8" x14ac:dyDescent="0.25">
      <c r="B54" s="37" t="s">
        <v>458</v>
      </c>
      <c r="C54">
        <f>I.load+0.5*(V.supply_min-V.load)/L.out*V.load/V.supply_min/f.sw</f>
        <v>11.07457554266065</v>
      </c>
      <c r="E54">
        <v>1</v>
      </c>
      <c r="F54">
        <f t="shared" si="3"/>
        <v>11.07457554266065</v>
      </c>
    </row>
    <row r="55" spans="1:8" x14ac:dyDescent="0.25">
      <c r="B55" s="37" t="s">
        <v>165</v>
      </c>
      <c r="C55">
        <f>I.load+0.5*(V.supply_max-V.load)/L.out*V.load/V.supply_max/f.sw</f>
        <v>11.07457554266065</v>
      </c>
      <c r="E55">
        <v>1</v>
      </c>
      <c r="F55">
        <f t="shared" si="3"/>
        <v>11.07457554266065</v>
      </c>
    </row>
    <row r="56" spans="1:8" x14ac:dyDescent="0.25">
      <c r="B56" s="38" t="s">
        <v>166</v>
      </c>
      <c r="C56">
        <f>75*10^-9</f>
        <v>7.500000000000001E-8</v>
      </c>
      <c r="E56">
        <v>1</v>
      </c>
      <c r="F56">
        <f t="shared" si="3"/>
        <v>7.500000000000001E-8</v>
      </c>
    </row>
    <row r="57" spans="1:8" x14ac:dyDescent="0.25">
      <c r="B57" s="37" t="s">
        <v>164</v>
      </c>
      <c r="C57">
        <f>V.pcl_max/R.s+t.blank_max*(V.supply_max-V.load)/L.out</f>
        <v>13.654545454545456</v>
      </c>
      <c r="E57">
        <v>1</v>
      </c>
      <c r="F57">
        <f t="shared" si="3"/>
        <v>13.654545454545456</v>
      </c>
    </row>
    <row r="58" spans="1:8" x14ac:dyDescent="0.25">
      <c r="B58" s="39"/>
    </row>
    <row r="59" spans="1:8" x14ac:dyDescent="0.25">
      <c r="B59" s="46" t="s">
        <v>173</v>
      </c>
      <c r="C59">
        <f>Design!G121</f>
        <v>3.9</v>
      </c>
      <c r="E59">
        <v>1E-3</v>
      </c>
      <c r="F59">
        <f t="shared" ref="F59:F71" si="4">C59*E59</f>
        <v>3.8999999999999998E-3</v>
      </c>
    </row>
    <row r="60" spans="1:8" x14ac:dyDescent="0.25">
      <c r="B60" s="39" t="s">
        <v>172</v>
      </c>
      <c r="C60">
        <f>R.dcr25*((150+275)/300)^1.2</f>
        <v>5.9236012681022007E-3</v>
      </c>
      <c r="E60">
        <v>1</v>
      </c>
      <c r="F60">
        <f t="shared" si="4"/>
        <v>5.9236012681022007E-3</v>
      </c>
    </row>
    <row r="61" spans="1:8" x14ac:dyDescent="0.25">
      <c r="B61" s="46" t="s">
        <v>174</v>
      </c>
      <c r="C61">
        <f>Design!G122</f>
        <v>1</v>
      </c>
      <c r="E61">
        <v>1</v>
      </c>
      <c r="F61">
        <f t="shared" si="4"/>
        <v>1</v>
      </c>
      <c r="H61" t="s">
        <v>175</v>
      </c>
    </row>
    <row r="62" spans="1:8" x14ac:dyDescent="0.25">
      <c r="B62" s="39" t="s">
        <v>171</v>
      </c>
      <c r="C62">
        <f>V.load/V.supply_max</f>
        <v>0.16666666666666666</v>
      </c>
      <c r="E62">
        <v>1</v>
      </c>
      <c r="F62" s="51">
        <f t="shared" si="4"/>
        <v>0.16666666666666666</v>
      </c>
    </row>
    <row r="63" spans="1:8" x14ac:dyDescent="0.25">
      <c r="B63" s="39" t="s">
        <v>168</v>
      </c>
      <c r="C63">
        <f>D.on_min_ideal/f.sw</f>
        <v>3.5460992907801415E-7</v>
      </c>
      <c r="E63">
        <v>1</v>
      </c>
      <c r="F63" s="42">
        <f t="shared" si="4"/>
        <v>3.5460992907801415E-7</v>
      </c>
    </row>
    <row r="64" spans="1:8" x14ac:dyDescent="0.25">
      <c r="B64" s="39" t="s">
        <v>170</v>
      </c>
      <c r="C64">
        <f>(V.load+I.load*(R.ls150+R.dcr150+R.s))/(V.supply_max+I.load*(R.ls150-R.hs150))</f>
        <v>0.17168233436057348</v>
      </c>
      <c r="E64">
        <v>1</v>
      </c>
      <c r="F64">
        <f t="shared" si="4"/>
        <v>0.17168233436057348</v>
      </c>
    </row>
    <row r="65" spans="1:6" x14ac:dyDescent="0.25">
      <c r="B65" t="s">
        <v>180</v>
      </c>
      <c r="C65">
        <f>D.on_min_150/f.sw</f>
        <v>3.6528156246930528E-7</v>
      </c>
      <c r="E65">
        <v>1</v>
      </c>
      <c r="F65">
        <f t="shared" si="4"/>
        <v>3.6528156246930528E-7</v>
      </c>
    </row>
    <row r="66" spans="1:6" x14ac:dyDescent="0.25">
      <c r="B66" t="s">
        <v>181</v>
      </c>
      <c r="C66">
        <f>1-V.load/V.supply_min</f>
        <v>0.83333333333333337</v>
      </c>
      <c r="E66">
        <v>1</v>
      </c>
      <c r="F66">
        <f t="shared" si="4"/>
        <v>0.83333333333333337</v>
      </c>
    </row>
    <row r="67" spans="1:6" x14ac:dyDescent="0.25">
      <c r="B67" t="s">
        <v>182</v>
      </c>
      <c r="C67">
        <f>D.off_min_ideal/f.sw</f>
        <v>1.7730496453900709E-6</v>
      </c>
      <c r="E67">
        <v>1</v>
      </c>
      <c r="F67" s="50">
        <f t="shared" si="4"/>
        <v>1.7730496453900709E-6</v>
      </c>
    </row>
    <row r="68" spans="1:6" x14ac:dyDescent="0.25">
      <c r="B68" t="s">
        <v>183</v>
      </c>
      <c r="C68">
        <f>1-(V.load+I.load*(R.ls150+R.dcr150+R.s))/(V.supply_min+I.load*(R.ls150-R.hs150))</f>
        <v>0.82831766563942655</v>
      </c>
      <c r="E68">
        <v>1</v>
      </c>
      <c r="F68">
        <f t="shared" si="4"/>
        <v>0.82831766563942655</v>
      </c>
    </row>
    <row r="69" spans="1:6" x14ac:dyDescent="0.25">
      <c r="B69" t="s">
        <v>169</v>
      </c>
      <c r="C69">
        <f>D.off_min_150/f.sw</f>
        <v>1.76237801199878E-6</v>
      </c>
      <c r="E69">
        <v>1</v>
      </c>
      <c r="F69" s="42">
        <f t="shared" si="4"/>
        <v>1.76237801199878E-6</v>
      </c>
    </row>
    <row r="70" spans="1:6" x14ac:dyDescent="0.25">
      <c r="B70" s="38" t="s">
        <v>184</v>
      </c>
      <c r="C70">
        <f>50*10^-9</f>
        <v>5.0000000000000004E-8</v>
      </c>
      <c r="E70">
        <v>1</v>
      </c>
      <c r="F70" s="50">
        <f t="shared" si="4"/>
        <v>5.0000000000000004E-8</v>
      </c>
    </row>
    <row r="71" spans="1:6" x14ac:dyDescent="0.25">
      <c r="B71" s="38" t="s">
        <v>185</v>
      </c>
      <c r="C71">
        <f>125*10^-9</f>
        <v>1.2500000000000002E-7</v>
      </c>
      <c r="E71">
        <v>1</v>
      </c>
      <c r="F71">
        <f t="shared" si="4"/>
        <v>1.2500000000000002E-7</v>
      </c>
    </row>
    <row r="74" spans="1:6" x14ac:dyDescent="0.25">
      <c r="A74" s="40" t="s">
        <v>186</v>
      </c>
    </row>
    <row r="75" spans="1:6" x14ac:dyDescent="0.25">
      <c r="B75" s="38" t="s">
        <v>187</v>
      </c>
      <c r="C75">
        <v>1.05</v>
      </c>
      <c r="E75">
        <v>1</v>
      </c>
      <c r="F75">
        <f t="shared" ref="F75:F80" si="5">C75*E75</f>
        <v>1.05</v>
      </c>
    </row>
    <row r="76" spans="1:6" x14ac:dyDescent="0.25">
      <c r="B76" s="38" t="s">
        <v>188</v>
      </c>
      <c r="C76">
        <f>C75-0.1</f>
        <v>0.95000000000000007</v>
      </c>
      <c r="E76">
        <v>1</v>
      </c>
      <c r="F76">
        <f t="shared" si="5"/>
        <v>0.95000000000000007</v>
      </c>
    </row>
    <row r="77" spans="1:6" x14ac:dyDescent="0.25">
      <c r="B77" s="46" t="s">
        <v>189</v>
      </c>
      <c r="C77">
        <f>Design!G44</f>
        <v>4</v>
      </c>
      <c r="E77">
        <v>1</v>
      </c>
      <c r="F77">
        <f t="shared" si="5"/>
        <v>4</v>
      </c>
    </row>
    <row r="78" spans="1:6" x14ac:dyDescent="0.25">
      <c r="B78" s="46" t="s">
        <v>190</v>
      </c>
      <c r="C78">
        <f>Design!G45</f>
        <v>100</v>
      </c>
      <c r="E78">
        <v>1000</v>
      </c>
      <c r="F78">
        <f t="shared" si="5"/>
        <v>100000</v>
      </c>
    </row>
    <row r="79" spans="1:6" x14ac:dyDescent="0.25">
      <c r="B79" s="39" t="s">
        <v>191</v>
      </c>
      <c r="C79">
        <f>R.ent*V.enrising_max/(V.startup-V.enrising_max)</f>
        <v>35593.220338983047</v>
      </c>
      <c r="E79">
        <v>1</v>
      </c>
      <c r="F79">
        <f t="shared" si="5"/>
        <v>35593.220338983047</v>
      </c>
    </row>
    <row r="80" spans="1:6" x14ac:dyDescent="0.25">
      <c r="B80" s="37" t="s">
        <v>192</v>
      </c>
      <c r="C80">
        <f>V.enfalling_max*(R.ent+R.enb)/R.enb</f>
        <v>3.6190476190476195</v>
      </c>
      <c r="E80">
        <v>1</v>
      </c>
      <c r="F80">
        <f t="shared" si="5"/>
        <v>3.6190476190476195</v>
      </c>
    </row>
    <row r="83" spans="1:6" x14ac:dyDescent="0.25">
      <c r="A83" s="40" t="s">
        <v>193</v>
      </c>
    </row>
    <row r="84" spans="1:6" x14ac:dyDescent="0.25">
      <c r="B84" s="38" t="s">
        <v>194</v>
      </c>
      <c r="C84">
        <f>V.load*0.08</f>
        <v>0.32</v>
      </c>
      <c r="E84">
        <v>1</v>
      </c>
      <c r="F84">
        <f t="shared" ref="F84:F94" si="6">C84*E84</f>
        <v>0.32</v>
      </c>
    </row>
    <row r="85" spans="1:6" x14ac:dyDescent="0.25">
      <c r="B85" s="46" t="s">
        <v>195</v>
      </c>
      <c r="C85">
        <f>V.load*(Design!G51/100)</f>
        <v>0.24</v>
      </c>
      <c r="E85">
        <v>1</v>
      </c>
      <c r="F85">
        <f t="shared" si="6"/>
        <v>0.24</v>
      </c>
    </row>
    <row r="86" spans="1:6" x14ac:dyDescent="0.25">
      <c r="B86" s="46" t="s">
        <v>200</v>
      </c>
      <c r="C86" s="52">
        <f>Design!G52</f>
        <v>28</v>
      </c>
      <c r="E86">
        <v>1000</v>
      </c>
      <c r="F86">
        <f t="shared" si="6"/>
        <v>28000</v>
      </c>
    </row>
    <row r="87" spans="1:6" x14ac:dyDescent="0.25">
      <c r="B87" s="39" t="s">
        <v>197</v>
      </c>
      <c r="C87">
        <f>I.load^2*L.out/(2*V.load*V.overshoot+V.overshoot^2)</f>
        <v>1.239483173076923E-4</v>
      </c>
      <c r="E87">
        <v>1</v>
      </c>
      <c r="F87">
        <f t="shared" si="6"/>
        <v>1.239483173076923E-4</v>
      </c>
    </row>
    <row r="88" spans="1:6" x14ac:dyDescent="0.25">
      <c r="B88" s="39" t="s">
        <v>198</v>
      </c>
      <c r="C88">
        <f>I.load^2*L.out*(1/f.sw-T.offmin_IC)*f.sw/(2*V.load*V.overshoot+V.overshoot^2)</f>
        <v>1.1666635366586539E-4</v>
      </c>
      <c r="E88">
        <v>1</v>
      </c>
      <c r="F88">
        <f t="shared" si="6"/>
        <v>1.1666635366586539E-4</v>
      </c>
    </row>
    <row r="89" spans="1:6" x14ac:dyDescent="0.25">
      <c r="B89" s="39" t="s">
        <v>199</v>
      </c>
      <c r="C89">
        <f>(I.load/2)/(2*PI*f.cross_desired*V.undershoot)</f>
        <v>1.1841888110353271E-4</v>
      </c>
      <c r="E89">
        <v>1</v>
      </c>
      <c r="F89">
        <f t="shared" si="6"/>
        <v>1.1841888110353271E-4</v>
      </c>
    </row>
    <row r="90" spans="1:6" x14ac:dyDescent="0.25">
      <c r="B90" s="37" t="s">
        <v>196</v>
      </c>
      <c r="C90">
        <f>MAX(F87:F89)</f>
        <v>1.239483173076923E-4</v>
      </c>
      <c r="E90">
        <v>1</v>
      </c>
      <c r="F90">
        <f t="shared" si="6"/>
        <v>1.239483173076923E-4</v>
      </c>
    </row>
    <row r="91" spans="1:6" x14ac:dyDescent="0.25">
      <c r="B91" s="46" t="s">
        <v>201</v>
      </c>
      <c r="C91" s="52">
        <f>Design!G55</f>
        <v>330</v>
      </c>
      <c r="E91">
        <f>10^-6</f>
        <v>9.9999999999999995E-7</v>
      </c>
      <c r="F91">
        <f t="shared" si="6"/>
        <v>3.3E-4</v>
      </c>
    </row>
    <row r="92" spans="1:6" x14ac:dyDescent="0.25">
      <c r="B92" s="46" t="s">
        <v>204</v>
      </c>
      <c r="C92">
        <f>Design!G56</f>
        <v>0.5</v>
      </c>
      <c r="E92">
        <v>1</v>
      </c>
      <c r="F92">
        <f t="shared" si="6"/>
        <v>0.5</v>
      </c>
    </row>
    <row r="93" spans="1:6" x14ac:dyDescent="0.25">
      <c r="B93" t="s">
        <v>202</v>
      </c>
      <c r="C93">
        <f>C.outb_rated*C.outb_derating_factor</f>
        <v>1.65E-4</v>
      </c>
      <c r="E93">
        <v>1</v>
      </c>
      <c r="F93">
        <f t="shared" si="6"/>
        <v>1.65E-4</v>
      </c>
    </row>
    <row r="94" spans="1:6" x14ac:dyDescent="0.25">
      <c r="B94" s="46" t="s">
        <v>203</v>
      </c>
      <c r="C94" s="52">
        <f>Design!G58</f>
        <v>200</v>
      </c>
      <c r="E94">
        <v>1E-3</v>
      </c>
      <c r="F94">
        <f t="shared" si="6"/>
        <v>0.2</v>
      </c>
    </row>
    <row r="96" spans="1:6" x14ac:dyDescent="0.25">
      <c r="B96" s="46" t="s">
        <v>206</v>
      </c>
      <c r="C96" s="52">
        <f>Design!G60</f>
        <v>2</v>
      </c>
      <c r="E96">
        <f>10^-6</f>
        <v>9.9999999999999995E-7</v>
      </c>
      <c r="F96">
        <f>C96*E96</f>
        <v>1.9999999999999999E-6</v>
      </c>
    </row>
    <row r="97" spans="2:6" x14ac:dyDescent="0.25">
      <c r="B97" s="46" t="s">
        <v>205</v>
      </c>
      <c r="C97">
        <f>Design!G61</f>
        <v>1</v>
      </c>
      <c r="E97">
        <v>1</v>
      </c>
      <c r="F97">
        <f>C97*E97</f>
        <v>1</v>
      </c>
    </row>
    <row r="98" spans="2:6" x14ac:dyDescent="0.25">
      <c r="B98" s="39" t="s">
        <v>207</v>
      </c>
      <c r="C98">
        <f>C.outhf_rated*C.outhf_derating_factor</f>
        <v>1.9999999999999999E-6</v>
      </c>
      <c r="E98">
        <v>1</v>
      </c>
      <c r="F98">
        <f>C98*E98</f>
        <v>1.9999999999999999E-6</v>
      </c>
    </row>
    <row r="99" spans="2:6" x14ac:dyDescent="0.25">
      <c r="B99" s="46" t="s">
        <v>208</v>
      </c>
      <c r="C99" s="52">
        <f>Design!G63</f>
        <v>5</v>
      </c>
      <c r="E99">
        <v>1E-3</v>
      </c>
      <c r="F99">
        <f>C99*E99</f>
        <v>5.0000000000000001E-3</v>
      </c>
    </row>
    <row r="100" spans="2:6" x14ac:dyDescent="0.25">
      <c r="B100" s="39"/>
    </row>
    <row r="101" spans="2:6" x14ac:dyDescent="0.25">
      <c r="B101" s="39" t="s">
        <v>209</v>
      </c>
      <c r="C101">
        <f>C.outb_derated+C.outhf_derated</f>
        <v>1.6699999999999999E-4</v>
      </c>
      <c r="E101">
        <v>1</v>
      </c>
      <c r="F101">
        <f>C101*E101</f>
        <v>1.6699999999999999E-4</v>
      </c>
    </row>
    <row r="102" spans="2:6" x14ac:dyDescent="0.25">
      <c r="B102" s="39" t="s">
        <v>210</v>
      </c>
      <c r="C102">
        <f>(V.supply_max-V.load)/L.out*V.load/V.supply_max/f.sw</f>
        <v>2.1491510853212983</v>
      </c>
      <c r="E102">
        <v>1</v>
      </c>
      <c r="F102">
        <f>C102*E102</f>
        <v>2.1491510853212983</v>
      </c>
    </row>
    <row r="103" spans="2:6" x14ac:dyDescent="0.25">
      <c r="B103" s="39" t="s">
        <v>212</v>
      </c>
      <c r="C103">
        <f>dI.out_max/SQRT(12)</f>
        <v>0.620406478819714</v>
      </c>
      <c r="E103">
        <v>1</v>
      </c>
      <c r="F103">
        <f>C103*E103</f>
        <v>0.620406478819714</v>
      </c>
    </row>
    <row r="105" spans="2:6" x14ac:dyDescent="0.25">
      <c r="B105" s="39" t="s">
        <v>211</v>
      </c>
      <c r="C105">
        <f>(V.supply_max-V.load)/L.out*V.load/V.supply_max/f.sw*SQRT((1/8/f.sw/C.outtotal_derated)^2+(R.esrb)^2)*dI.out_max_rms</f>
        <v>0.26667790556662091</v>
      </c>
      <c r="E105">
        <v>1</v>
      </c>
      <c r="F105">
        <f>C105*E105</f>
        <v>0.26667790556662091</v>
      </c>
    </row>
    <row r="107" spans="2:6" x14ac:dyDescent="0.25">
      <c r="B107" t="s">
        <v>215</v>
      </c>
      <c r="C107">
        <f>(-2*V.load+SQRT((2*V.load)^2+4*(L.out*I.load^2/(C.outtotal_derated))))/2</f>
        <v>0.23981696588326962</v>
      </c>
      <c r="E107">
        <v>1</v>
      </c>
      <c r="F107">
        <f>C107*E107</f>
        <v>0.23981696588326962</v>
      </c>
    </row>
    <row r="108" spans="2:6" x14ac:dyDescent="0.25">
      <c r="B108" t="s">
        <v>216</v>
      </c>
      <c r="C108">
        <f>L.out*I.load^2/(2*V.load*C.outtotal_derated)</f>
        <v>0.2470059880239521</v>
      </c>
      <c r="E108">
        <v>1</v>
      </c>
      <c r="F108">
        <f>C108*E108</f>
        <v>0.2470059880239521</v>
      </c>
    </row>
    <row r="109" spans="2:6" x14ac:dyDescent="0.25">
      <c r="B109" t="s">
        <v>213</v>
      </c>
      <c r="C109">
        <f>MAX(C107:C108)</f>
        <v>0.2470059880239521</v>
      </c>
      <c r="E109">
        <v>1</v>
      </c>
      <c r="F109">
        <f>C109*E109</f>
        <v>0.2470059880239521</v>
      </c>
    </row>
    <row r="110" spans="2:6" x14ac:dyDescent="0.25">
      <c r="B110" s="39" t="s">
        <v>214</v>
      </c>
      <c r="C110">
        <f>I.load/(2*PI*FCROSSOVER_FOUND_CV*C.outtotal_derated)</f>
        <v>0.36586845101254151</v>
      </c>
      <c r="E110">
        <v>1</v>
      </c>
      <c r="F110">
        <f>C110*E110</f>
        <v>0.36586845101254151</v>
      </c>
    </row>
    <row r="113" spans="1:8" x14ac:dyDescent="0.25">
      <c r="A113" s="40" t="s">
        <v>217</v>
      </c>
    </row>
    <row r="114" spans="1:8" x14ac:dyDescent="0.25">
      <c r="B114" s="46" t="s">
        <v>219</v>
      </c>
      <c r="C114" s="47">
        <v>0</v>
      </c>
      <c r="E114">
        <v>1000</v>
      </c>
      <c r="F114">
        <f>C114*E114</f>
        <v>0</v>
      </c>
    </row>
    <row r="115" spans="1:8" x14ac:dyDescent="0.25">
      <c r="B115" s="46" t="s">
        <v>218</v>
      </c>
      <c r="C115">
        <f>Design!G72</f>
        <v>150</v>
      </c>
      <c r="E115">
        <v>1000</v>
      </c>
      <c r="F115">
        <f>C115*E115</f>
        <v>150000</v>
      </c>
    </row>
    <row r="116" spans="1:8" x14ac:dyDescent="0.25">
      <c r="B116" s="38" t="s">
        <v>221</v>
      </c>
      <c r="C116">
        <v>0.8</v>
      </c>
      <c r="E116">
        <v>1</v>
      </c>
      <c r="F116">
        <f>C116*E116</f>
        <v>0.8</v>
      </c>
    </row>
    <row r="117" spans="1:8" x14ac:dyDescent="0.25">
      <c r="B117" s="37" t="s">
        <v>220</v>
      </c>
      <c r="C117">
        <f>V.vref*(R.fbt+R.lp)/(V.load-V.vref)</f>
        <v>37500</v>
      </c>
      <c r="E117">
        <v>1</v>
      </c>
      <c r="F117">
        <f>C117*E117</f>
        <v>37500</v>
      </c>
    </row>
    <row r="118" spans="1:8" x14ac:dyDescent="0.25">
      <c r="B118" s="38" t="s">
        <v>409</v>
      </c>
      <c r="C118" s="50">
        <v>1.9999999999999999E-11</v>
      </c>
      <c r="E118">
        <v>1</v>
      </c>
      <c r="F118">
        <f>C118*E118</f>
        <v>1.9999999999999999E-11</v>
      </c>
      <c r="G118" t="s">
        <v>410</v>
      </c>
      <c r="H118" t="s">
        <v>541</v>
      </c>
    </row>
    <row r="119" spans="1:8" x14ac:dyDescent="0.25">
      <c r="B119" t="s">
        <v>480</v>
      </c>
      <c r="C119">
        <f>IF(C117=5000,0,(5000*C117)/(C117-5000))</f>
        <v>5769.2307692307695</v>
      </c>
      <c r="E119">
        <v>1</v>
      </c>
      <c r="F119">
        <f>IF(C119*E119&gt;0,C119*E119,10000000)</f>
        <v>5769.2307692307695</v>
      </c>
    </row>
    <row r="120" spans="1:8" x14ac:dyDescent="0.25">
      <c r="A120" s="40" t="s">
        <v>222</v>
      </c>
    </row>
    <row r="121" spans="1:8" x14ac:dyDescent="0.25">
      <c r="A121" s="39"/>
      <c r="B121" s="38" t="s">
        <v>419</v>
      </c>
      <c r="C121">
        <f>100000000</f>
        <v>100000000</v>
      </c>
      <c r="E121">
        <v>1</v>
      </c>
      <c r="F121">
        <f>C121*E121</f>
        <v>100000000</v>
      </c>
    </row>
    <row r="122" spans="1:8" x14ac:dyDescent="0.25">
      <c r="A122" s="39"/>
      <c r="B122" s="38" t="s">
        <v>420</v>
      </c>
      <c r="C122">
        <f>0.000000000002</f>
        <v>2E-12</v>
      </c>
      <c r="E122">
        <v>1</v>
      </c>
      <c r="F122">
        <f>C122*E122</f>
        <v>2E-12</v>
      </c>
    </row>
    <row r="123" spans="1:8" x14ac:dyDescent="0.25">
      <c r="B123" s="38" t="s">
        <v>224</v>
      </c>
      <c r="C123">
        <v>1E-3</v>
      </c>
      <c r="E123">
        <v>1</v>
      </c>
      <c r="F123">
        <f t="shared" ref="F123:F132" si="7">C123*E123</f>
        <v>1E-3</v>
      </c>
    </row>
    <row r="124" spans="1:8" x14ac:dyDescent="0.25">
      <c r="B124" s="37" t="s">
        <v>223</v>
      </c>
      <c r="C124">
        <f>f.cross_desired/(V.vref/V.load*GM/R.s/A.s_typ/2/PI/C.outtotal_derated)</f>
        <v>7345.0420960000001</v>
      </c>
      <c r="E124">
        <v>1</v>
      </c>
      <c r="F124">
        <f t="shared" si="7"/>
        <v>7345.0420960000001</v>
      </c>
    </row>
    <row r="125" spans="1:8" x14ac:dyDescent="0.25">
      <c r="B125" s="37" t="s">
        <v>225</v>
      </c>
      <c r="C125">
        <f>1/(2*PI*f.cross_desired*R.comp_desired/10)</f>
        <v>7.7386980478506022E-9</v>
      </c>
      <c r="E125">
        <v>1</v>
      </c>
      <c r="F125">
        <f t="shared" si="7"/>
        <v>7.7386980478506022E-9</v>
      </c>
    </row>
    <row r="126" spans="1:8" x14ac:dyDescent="0.25">
      <c r="B126" s="37" t="s">
        <v>226</v>
      </c>
      <c r="C126">
        <f>C.outb_derated*R.esrb/R.comp_desired</f>
        <v>4.49282653096996E-9</v>
      </c>
      <c r="E126">
        <v>1</v>
      </c>
      <c r="F126">
        <f t="shared" si="7"/>
        <v>4.49282653096996E-9</v>
      </c>
    </row>
    <row r="127" spans="1:8" x14ac:dyDescent="0.25">
      <c r="B127" s="37" t="s">
        <v>227</v>
      </c>
      <c r="C127">
        <f>1/(2*PI*R.comp_desired*C.comp_desired)</f>
        <v>2800</v>
      </c>
      <c r="E127">
        <v>1</v>
      </c>
      <c r="F127">
        <f t="shared" si="7"/>
        <v>2800</v>
      </c>
    </row>
    <row r="128" spans="1:8" x14ac:dyDescent="0.25">
      <c r="B128" s="37" t="s">
        <v>228</v>
      </c>
      <c r="C128">
        <f>1/(2*PI*R.comp_desired*C.comp_desired*C.hf_desired/(C.comp_desired+C.hf_desired))</f>
        <v>7622.8780667620586</v>
      </c>
      <c r="E128">
        <v>1</v>
      </c>
      <c r="F128">
        <f t="shared" si="7"/>
        <v>7622.8780667620586</v>
      </c>
    </row>
    <row r="129" spans="1:6" x14ac:dyDescent="0.25">
      <c r="B129" s="39"/>
    </row>
    <row r="130" spans="1:6" x14ac:dyDescent="0.25">
      <c r="B130" s="46" t="s">
        <v>229</v>
      </c>
      <c r="C130" s="47">
        <f>Design!G86</f>
        <v>7.35</v>
      </c>
      <c r="E130">
        <v>1000</v>
      </c>
      <c r="F130">
        <f t="shared" si="7"/>
        <v>7350</v>
      </c>
    </row>
    <row r="131" spans="1:6" x14ac:dyDescent="0.25">
      <c r="B131" s="46" t="s">
        <v>230</v>
      </c>
      <c r="C131" s="47">
        <f>Design!G87</f>
        <v>7.7</v>
      </c>
      <c r="E131">
        <f>10^-9</f>
        <v>1.0000000000000001E-9</v>
      </c>
      <c r="F131">
        <f t="shared" si="7"/>
        <v>7.7000000000000011E-9</v>
      </c>
    </row>
    <row r="132" spans="1:6" x14ac:dyDescent="0.25">
      <c r="B132" s="46" t="s">
        <v>231</v>
      </c>
      <c r="C132" s="52">
        <f>Design!G88</f>
        <v>4493</v>
      </c>
      <c r="E132">
        <f>10^-12</f>
        <v>9.9999999999999998E-13</v>
      </c>
      <c r="F132">
        <f t="shared" si="7"/>
        <v>4.4930000000000001E-9</v>
      </c>
    </row>
    <row r="133" spans="1:6" x14ac:dyDescent="0.25">
      <c r="B133" s="37" t="s">
        <v>232</v>
      </c>
      <c r="C133">
        <f>1/(2*PI*R.comp*C.comp)</f>
        <v>2812.1737998612584</v>
      </c>
      <c r="E133">
        <v>1</v>
      </c>
      <c r="F133">
        <f>C133*E133</f>
        <v>2812.1737998612584</v>
      </c>
    </row>
    <row r="134" spans="1:6" x14ac:dyDescent="0.25">
      <c r="B134" s="37" t="s">
        <v>233</v>
      </c>
      <c r="C134">
        <f>1/(2*PI*R.comp*C.comp*C.hf/(C.comp+C.hf))</f>
        <v>7631.6125398861195</v>
      </c>
      <c r="E134">
        <v>1</v>
      </c>
      <c r="F134">
        <f>C134*E134</f>
        <v>7631.6125398861195</v>
      </c>
    </row>
    <row r="135" spans="1:6" x14ac:dyDescent="0.25">
      <c r="B135" s="39"/>
    </row>
    <row r="136" spans="1:6" x14ac:dyDescent="0.25">
      <c r="B136" s="46" t="s">
        <v>234</v>
      </c>
      <c r="C136" s="52">
        <f>Design!G92</f>
        <v>1</v>
      </c>
      <c r="E136">
        <f>10^-12</f>
        <v>9.9999999999999998E-13</v>
      </c>
      <c r="F136">
        <f>C136*E136</f>
        <v>9.9999999999999998E-13</v>
      </c>
    </row>
    <row r="137" spans="1:6" x14ac:dyDescent="0.25">
      <c r="B137" s="46" t="s">
        <v>235</v>
      </c>
      <c r="C137" s="47">
        <f>Design!G93</f>
        <v>100000</v>
      </c>
      <c r="E137">
        <v>1000</v>
      </c>
      <c r="F137">
        <f>C137*E137</f>
        <v>100000000</v>
      </c>
    </row>
    <row r="138" spans="1:6" x14ac:dyDescent="0.25">
      <c r="B138" s="37" t="s">
        <v>236</v>
      </c>
      <c r="C138">
        <f>1/(2*PI*R.fbt*C.ff)</f>
        <v>1061033.1746876531</v>
      </c>
      <c r="E138">
        <v>1</v>
      </c>
      <c r="F138">
        <f>C138*E138</f>
        <v>1061033.1746876531</v>
      </c>
    </row>
    <row r="141" spans="1:6" x14ac:dyDescent="0.25">
      <c r="A141" s="40" t="s">
        <v>237</v>
      </c>
    </row>
    <row r="142" spans="1:6" x14ac:dyDescent="0.25">
      <c r="B142" s="38" t="s">
        <v>239</v>
      </c>
      <c r="C142">
        <f>10*10^-6</f>
        <v>9.9999999999999991E-6</v>
      </c>
      <c r="E142">
        <v>1</v>
      </c>
      <c r="F142">
        <f>C142*E142</f>
        <v>9.9999999999999991E-6</v>
      </c>
    </row>
    <row r="143" spans="1:6" x14ac:dyDescent="0.25">
      <c r="B143" s="46" t="s">
        <v>238</v>
      </c>
      <c r="C143" s="47">
        <f>Design!G98</f>
        <v>1</v>
      </c>
      <c r="E143">
        <v>1</v>
      </c>
      <c r="F143">
        <f>C143*E143</f>
        <v>1</v>
      </c>
    </row>
    <row r="144" spans="1:6" x14ac:dyDescent="0.25">
      <c r="B144" s="37" t="s">
        <v>240</v>
      </c>
      <c r="C144">
        <f>V.iset_desired/I.iset</f>
        <v>100000.00000000001</v>
      </c>
      <c r="E144">
        <v>1</v>
      </c>
      <c r="F144">
        <f>C144*E144</f>
        <v>100000.00000000001</v>
      </c>
    </row>
    <row r="145" spans="1:6" x14ac:dyDescent="0.25">
      <c r="B145" s="46" t="s">
        <v>241</v>
      </c>
      <c r="C145" s="47">
        <f>Design!G100</f>
        <v>10</v>
      </c>
      <c r="E145">
        <f>10^-9</f>
        <v>1.0000000000000001E-9</v>
      </c>
      <c r="F145">
        <f>C145*E145</f>
        <v>1E-8</v>
      </c>
    </row>
    <row r="146" spans="1:6" x14ac:dyDescent="0.25">
      <c r="B146" s="37" t="s">
        <v>242</v>
      </c>
      <c r="C146">
        <f>C.iset/I.iset</f>
        <v>1E-3</v>
      </c>
      <c r="E146">
        <v>1</v>
      </c>
      <c r="F146">
        <f>C146*E146</f>
        <v>1E-3</v>
      </c>
    </row>
    <row r="149" spans="1:6" x14ac:dyDescent="0.25">
      <c r="A149" s="40" t="s">
        <v>243</v>
      </c>
    </row>
    <row r="150" spans="1:6" x14ac:dyDescent="0.25">
      <c r="B150" s="38" t="s">
        <v>256</v>
      </c>
      <c r="C150">
        <f>25*10^-6</f>
        <v>2.4999999999999998E-5</v>
      </c>
      <c r="E150">
        <v>1</v>
      </c>
      <c r="F150">
        <f t="shared" ref="F150:F156" si="8">C150*E150</f>
        <v>2.4999999999999998E-5</v>
      </c>
    </row>
    <row r="151" spans="1:6" x14ac:dyDescent="0.25">
      <c r="B151" s="38" t="s">
        <v>257</v>
      </c>
      <c r="C151">
        <v>2E-3</v>
      </c>
      <c r="E151">
        <v>1</v>
      </c>
      <c r="F151">
        <f t="shared" si="8"/>
        <v>2E-3</v>
      </c>
    </row>
    <row r="152" spans="1:6" x14ac:dyDescent="0.25">
      <c r="B152" s="37" t="s">
        <v>246</v>
      </c>
      <c r="C152">
        <f>V.iset_desired/(I.load*R.s*GM.imon+I.imon)</f>
        <v>8000</v>
      </c>
      <c r="E152">
        <v>1</v>
      </c>
      <c r="F152">
        <f t="shared" si="8"/>
        <v>8000</v>
      </c>
    </row>
    <row r="153" spans="1:6" x14ac:dyDescent="0.25">
      <c r="B153" s="37" t="s">
        <v>247</v>
      </c>
      <c r="C153">
        <f>R.load*C.outtotal_derated/R.imon_desired</f>
        <v>8.3500000000000003E-9</v>
      </c>
      <c r="E153">
        <v>1</v>
      </c>
      <c r="F153">
        <f t="shared" si="8"/>
        <v>8.3500000000000003E-9</v>
      </c>
    </row>
    <row r="154" spans="1:6" x14ac:dyDescent="0.25">
      <c r="B154" s="37" t="s">
        <v>248</v>
      </c>
      <c r="C154">
        <f>R.esrb*C.outb_derated/C.imon_desired</f>
        <v>3952.0958083832338</v>
      </c>
      <c r="E154">
        <v>1</v>
      </c>
      <c r="F154">
        <f t="shared" si="8"/>
        <v>3952.0958083832338</v>
      </c>
    </row>
    <row r="155" spans="1:6" x14ac:dyDescent="0.25">
      <c r="B155" s="37" t="s">
        <v>250</v>
      </c>
      <c r="C155">
        <f>1/(2*PI*R.imon_desired*C.imon_desired)</f>
        <v>2382.5595239992208</v>
      </c>
      <c r="E155">
        <v>1</v>
      </c>
      <c r="F155">
        <f t="shared" si="8"/>
        <v>2382.5595239992208</v>
      </c>
    </row>
    <row r="156" spans="1:6" x14ac:dyDescent="0.25">
      <c r="B156" s="37" t="s">
        <v>249</v>
      </c>
      <c r="C156">
        <f>1/(2*PI*R.imonhf_desired*C.imon_desired)</f>
        <v>4822.8780667620595</v>
      </c>
      <c r="E156">
        <v>1</v>
      </c>
      <c r="F156">
        <f t="shared" si="8"/>
        <v>4822.8780667620595</v>
      </c>
    </row>
    <row r="158" spans="1:6" x14ac:dyDescent="0.25">
      <c r="B158" s="46" t="s">
        <v>251</v>
      </c>
      <c r="C158" s="47">
        <f>Design!G111</f>
        <v>8</v>
      </c>
      <c r="E158">
        <v>1000</v>
      </c>
      <c r="F158">
        <f t="shared" ref="F158:F164" si="9">C158*E158</f>
        <v>8000</v>
      </c>
    </row>
    <row r="159" spans="1:6" x14ac:dyDescent="0.25">
      <c r="B159" s="46" t="s">
        <v>252</v>
      </c>
      <c r="C159" s="47">
        <f>Design!G112</f>
        <v>8.35</v>
      </c>
      <c r="E159">
        <f>10^-9</f>
        <v>1.0000000000000001E-9</v>
      </c>
      <c r="F159">
        <f t="shared" si="9"/>
        <v>8.3500000000000003E-9</v>
      </c>
    </row>
    <row r="160" spans="1:6" x14ac:dyDescent="0.25">
      <c r="B160" s="46" t="s">
        <v>253</v>
      </c>
      <c r="C160" s="84">
        <f>IF(Design!G113=0,0.001,Design!G113)</f>
        <v>3952</v>
      </c>
      <c r="E160">
        <v>1</v>
      </c>
      <c r="F160">
        <f t="shared" si="9"/>
        <v>3952</v>
      </c>
    </row>
    <row r="161" spans="1:6" x14ac:dyDescent="0.25">
      <c r="B161" s="37" t="s">
        <v>255</v>
      </c>
      <c r="C161">
        <f>1/(2*PI*R.imon*C.imon)</f>
        <v>2382.5595239992208</v>
      </c>
      <c r="E161">
        <v>1</v>
      </c>
      <c r="F161">
        <f t="shared" si="9"/>
        <v>2382.5595239992208</v>
      </c>
    </row>
    <row r="162" spans="1:6" x14ac:dyDescent="0.25">
      <c r="B162" s="37" t="s">
        <v>254</v>
      </c>
      <c r="C162">
        <f>1/(2*PI*R.imonhf*C.imon)</f>
        <v>4822.9949878526731</v>
      </c>
      <c r="E162">
        <v>1</v>
      </c>
      <c r="F162">
        <f t="shared" si="9"/>
        <v>4822.9949878526731</v>
      </c>
    </row>
    <row r="164" spans="1:6" x14ac:dyDescent="0.25">
      <c r="B164" t="s">
        <v>259</v>
      </c>
      <c r="C164">
        <f>R.imon*I.imon</f>
        <v>0.19999999999999998</v>
      </c>
      <c r="E164">
        <v>1</v>
      </c>
      <c r="F164">
        <f t="shared" si="9"/>
        <v>0.19999999999999998</v>
      </c>
    </row>
    <row r="166" spans="1:6" x14ac:dyDescent="0.25">
      <c r="A166" s="40" t="s">
        <v>258</v>
      </c>
    </row>
    <row r="167" spans="1:6" x14ac:dyDescent="0.25">
      <c r="A167" s="39"/>
      <c r="B167" s="38" t="s">
        <v>337</v>
      </c>
      <c r="C167">
        <v>3</v>
      </c>
      <c r="E167">
        <v>1</v>
      </c>
      <c r="F167">
        <f t="shared" ref="F167:F172" si="10">C167*E167</f>
        <v>3</v>
      </c>
    </row>
    <row r="168" spans="1:6" x14ac:dyDescent="0.25">
      <c r="A168" s="39"/>
      <c r="B168" s="38" t="s">
        <v>338</v>
      </c>
      <c r="C168">
        <v>0.75</v>
      </c>
      <c r="E168">
        <v>1</v>
      </c>
      <c r="F168">
        <f t="shared" si="10"/>
        <v>0.75</v>
      </c>
    </row>
    <row r="169" spans="1:6" x14ac:dyDescent="0.25">
      <c r="A169" s="39"/>
      <c r="B169" s="38" t="s">
        <v>339</v>
      </c>
      <c r="C169">
        <v>3</v>
      </c>
      <c r="E169">
        <v>1</v>
      </c>
      <c r="F169">
        <f t="shared" si="10"/>
        <v>3</v>
      </c>
    </row>
    <row r="170" spans="1:6" x14ac:dyDescent="0.25">
      <c r="A170" s="39"/>
      <c r="B170" s="38" t="s">
        <v>340</v>
      </c>
      <c r="C170">
        <v>0.75</v>
      </c>
      <c r="E170">
        <v>1</v>
      </c>
      <c r="F170">
        <f t="shared" si="10"/>
        <v>0.75</v>
      </c>
    </row>
    <row r="171" spans="1:6" x14ac:dyDescent="0.25">
      <c r="A171" s="39"/>
      <c r="B171" s="38" t="s">
        <v>341</v>
      </c>
      <c r="C171">
        <f>25*10^-9</f>
        <v>2.5000000000000002E-8</v>
      </c>
      <c r="E171">
        <v>1</v>
      </c>
      <c r="F171">
        <f t="shared" si="10"/>
        <v>2.5000000000000002E-8</v>
      </c>
    </row>
    <row r="172" spans="1:6" x14ac:dyDescent="0.25">
      <c r="A172" s="39"/>
      <c r="B172" s="38" t="s">
        <v>342</v>
      </c>
      <c r="C172">
        <f>35*10^-9</f>
        <v>3.5000000000000002E-8</v>
      </c>
      <c r="E172">
        <v>1</v>
      </c>
      <c r="F172">
        <f t="shared" si="10"/>
        <v>3.5000000000000002E-8</v>
      </c>
    </row>
    <row r="173" spans="1:6" x14ac:dyDescent="0.25">
      <c r="B173" s="46" t="s">
        <v>178</v>
      </c>
      <c r="C173">
        <f>Design!F124</f>
        <v>0.5</v>
      </c>
      <c r="E173">
        <v>1E-3</v>
      </c>
      <c r="F173">
        <f>C173*E173</f>
        <v>5.0000000000000001E-4</v>
      </c>
    </row>
    <row r="174" spans="1:6" x14ac:dyDescent="0.25">
      <c r="B174" t="s">
        <v>179</v>
      </c>
      <c r="C174">
        <f>R.hs25*((150+275)/300)^2.3</f>
        <v>1.1140011972742142E-3</v>
      </c>
      <c r="E174">
        <v>1</v>
      </c>
      <c r="F174">
        <f>C174*E174</f>
        <v>1.1140011972742142E-3</v>
      </c>
    </row>
    <row r="175" spans="1:6" x14ac:dyDescent="0.25">
      <c r="B175" s="46" t="s">
        <v>260</v>
      </c>
      <c r="C175" s="52">
        <f>Design!F125</f>
        <v>11</v>
      </c>
      <c r="E175">
        <f>10^-9</f>
        <v>1.0000000000000001E-9</v>
      </c>
      <c r="F175">
        <f t="shared" ref="F175:F187" si="11">C175*E175</f>
        <v>1.1000000000000001E-8</v>
      </c>
    </row>
    <row r="176" spans="1:6" x14ac:dyDescent="0.25">
      <c r="B176" s="46" t="s">
        <v>261</v>
      </c>
      <c r="C176" s="52">
        <f>Design!F126</f>
        <v>3</v>
      </c>
      <c r="E176">
        <f>10^-9</f>
        <v>1.0000000000000001E-9</v>
      </c>
      <c r="F176">
        <f t="shared" si="11"/>
        <v>3.0000000000000004E-9</v>
      </c>
    </row>
    <row r="177" spans="2:6" x14ac:dyDescent="0.25">
      <c r="B177" s="46" t="s">
        <v>262</v>
      </c>
      <c r="C177" s="52">
        <f>Design!F127</f>
        <v>5</v>
      </c>
      <c r="E177">
        <f>10^-9</f>
        <v>1.0000000000000001E-9</v>
      </c>
      <c r="F177">
        <f t="shared" si="11"/>
        <v>5.0000000000000001E-9</v>
      </c>
    </row>
    <row r="178" spans="2:6" x14ac:dyDescent="0.25">
      <c r="B178" s="53" t="s">
        <v>263</v>
      </c>
      <c r="C178" s="54">
        <f>Design!F128</f>
        <v>0</v>
      </c>
      <c r="E178">
        <f>10^-9</f>
        <v>1.0000000000000001E-9</v>
      </c>
      <c r="F178">
        <f t="shared" si="11"/>
        <v>0</v>
      </c>
    </row>
    <row r="179" spans="2:6" x14ac:dyDescent="0.25">
      <c r="B179" s="46" t="s">
        <v>264</v>
      </c>
      <c r="C179" s="52">
        <f>Design!F129</f>
        <v>150</v>
      </c>
      <c r="E179">
        <f>10^-12</f>
        <v>9.9999999999999998E-13</v>
      </c>
      <c r="F179">
        <f t="shared" si="11"/>
        <v>1.5E-10</v>
      </c>
    </row>
    <row r="180" spans="2:6" x14ac:dyDescent="0.25">
      <c r="B180" s="46" t="s">
        <v>265</v>
      </c>
      <c r="C180" s="52">
        <f>Design!F130</f>
        <v>1</v>
      </c>
      <c r="E180">
        <v>1</v>
      </c>
      <c r="F180">
        <f t="shared" si="11"/>
        <v>1</v>
      </c>
    </row>
    <row r="181" spans="2:6" x14ac:dyDescent="0.25">
      <c r="B181" s="46" t="s">
        <v>266</v>
      </c>
      <c r="C181" s="52">
        <f>Design!F131</f>
        <v>52</v>
      </c>
      <c r="E181">
        <v>1</v>
      </c>
      <c r="F181">
        <f t="shared" si="11"/>
        <v>52</v>
      </c>
    </row>
    <row r="182" spans="2:6" x14ac:dyDescent="0.25">
      <c r="B182" s="46" t="s">
        <v>267</v>
      </c>
      <c r="C182" s="47">
        <f>Design!F132</f>
        <v>3.1</v>
      </c>
      <c r="E182">
        <v>1</v>
      </c>
      <c r="F182">
        <f t="shared" si="11"/>
        <v>3.1</v>
      </c>
    </row>
    <row r="183" spans="2:6" x14ac:dyDescent="0.25">
      <c r="B183" s="1" t="s">
        <v>335</v>
      </c>
      <c r="C183" s="47">
        <f>V.th_hs+I.load/g.fs_hs</f>
        <v>3.2923076923076926</v>
      </c>
      <c r="E183">
        <v>1</v>
      </c>
      <c r="F183">
        <f t="shared" si="11"/>
        <v>3.2923076923076926</v>
      </c>
    </row>
    <row r="184" spans="2:6" x14ac:dyDescent="0.25">
      <c r="B184" s="46" t="s">
        <v>268</v>
      </c>
      <c r="C184" s="52">
        <f>Design!F133</f>
        <v>0.8</v>
      </c>
      <c r="E184">
        <v>1</v>
      </c>
      <c r="F184">
        <f t="shared" si="11"/>
        <v>0.8</v>
      </c>
    </row>
    <row r="185" spans="2:6" x14ac:dyDescent="0.25">
      <c r="B185" s="53" t="s">
        <v>269</v>
      </c>
      <c r="C185" s="54">
        <f>Design!F134</f>
        <v>0</v>
      </c>
      <c r="E185">
        <f>10^-9</f>
        <v>1.0000000000000001E-9</v>
      </c>
      <c r="F185">
        <f t="shared" si="11"/>
        <v>0</v>
      </c>
    </row>
    <row r="186" spans="2:6" x14ac:dyDescent="0.25">
      <c r="B186" s="46" t="s">
        <v>270</v>
      </c>
      <c r="C186" s="52">
        <f>Design!F135</f>
        <v>62</v>
      </c>
      <c r="D186" t="s">
        <v>348</v>
      </c>
      <c r="E186">
        <v>1</v>
      </c>
      <c r="F186">
        <f t="shared" si="11"/>
        <v>62</v>
      </c>
    </row>
    <row r="187" spans="2:6" x14ac:dyDescent="0.25">
      <c r="B187" s="38" t="s">
        <v>346</v>
      </c>
      <c r="C187" s="84">
        <v>4.0000000000000001E-3</v>
      </c>
      <c r="D187" t="s">
        <v>347</v>
      </c>
      <c r="E187">
        <v>1</v>
      </c>
      <c r="F187">
        <f t="shared" si="11"/>
        <v>4.0000000000000001E-3</v>
      </c>
    </row>
    <row r="188" spans="2:6" x14ac:dyDescent="0.25">
      <c r="B188" s="39"/>
      <c r="C188" s="52"/>
    </row>
    <row r="189" spans="2:6" x14ac:dyDescent="0.25">
      <c r="B189" s="46" t="s">
        <v>176</v>
      </c>
      <c r="C189">
        <f>Design!G124</f>
        <v>0.5</v>
      </c>
      <c r="E189">
        <v>1E-3</v>
      </c>
      <c r="F189">
        <f>C189*E189</f>
        <v>5.0000000000000001E-4</v>
      </c>
    </row>
    <row r="190" spans="2:6" x14ac:dyDescent="0.25">
      <c r="B190" t="s">
        <v>177</v>
      </c>
      <c r="C190">
        <f>R.ls25*((150+275)/300)^2.3</f>
        <v>1.1140011972742142E-3</v>
      </c>
      <c r="E190">
        <v>1</v>
      </c>
      <c r="F190">
        <f>C190*E190</f>
        <v>1.1140011972742142E-3</v>
      </c>
    </row>
    <row r="191" spans="2:6" x14ac:dyDescent="0.25">
      <c r="B191" s="46" t="s">
        <v>271</v>
      </c>
      <c r="C191" s="52">
        <f>Design!G125</f>
        <v>11</v>
      </c>
      <c r="E191">
        <f>10^-9</f>
        <v>1.0000000000000001E-9</v>
      </c>
      <c r="F191">
        <f t="shared" ref="F191:F209" si="12">C191*E191</f>
        <v>1.1000000000000001E-8</v>
      </c>
    </row>
    <row r="192" spans="2:6" x14ac:dyDescent="0.25">
      <c r="B192" s="46" t="s">
        <v>272</v>
      </c>
      <c r="C192" s="52">
        <f>Design!G126</f>
        <v>3</v>
      </c>
      <c r="E192">
        <f>10^-9</f>
        <v>1.0000000000000001E-9</v>
      </c>
      <c r="F192">
        <f t="shared" si="12"/>
        <v>3.0000000000000004E-9</v>
      </c>
    </row>
    <row r="193" spans="2:6" x14ac:dyDescent="0.25">
      <c r="B193" s="46" t="s">
        <v>273</v>
      </c>
      <c r="C193" s="52">
        <f>Design!G127</f>
        <v>5</v>
      </c>
      <c r="E193">
        <f>10^-9</f>
        <v>1.0000000000000001E-9</v>
      </c>
      <c r="F193">
        <f t="shared" si="12"/>
        <v>5.0000000000000001E-9</v>
      </c>
    </row>
    <row r="194" spans="2:6" x14ac:dyDescent="0.25">
      <c r="B194" s="46" t="s">
        <v>274</v>
      </c>
      <c r="C194" s="52">
        <f>Design!G128</f>
        <v>7</v>
      </c>
      <c r="E194">
        <f>10^-9</f>
        <v>1.0000000000000001E-9</v>
      </c>
      <c r="F194">
        <f t="shared" si="12"/>
        <v>7.0000000000000006E-9</v>
      </c>
    </row>
    <row r="195" spans="2:6" x14ac:dyDescent="0.25">
      <c r="B195" s="46" t="s">
        <v>275</v>
      </c>
      <c r="C195" s="52">
        <f>Design!G129</f>
        <v>150</v>
      </c>
      <c r="E195">
        <f>10^-12</f>
        <v>9.9999999999999998E-13</v>
      </c>
      <c r="F195">
        <f t="shared" si="12"/>
        <v>1.5E-10</v>
      </c>
    </row>
    <row r="196" spans="2:6" x14ac:dyDescent="0.25">
      <c r="B196" s="46" t="s">
        <v>276</v>
      </c>
      <c r="C196" s="52">
        <f>Design!G130</f>
        <v>1</v>
      </c>
      <c r="E196">
        <v>1</v>
      </c>
      <c r="F196">
        <f t="shared" si="12"/>
        <v>1</v>
      </c>
    </row>
    <row r="197" spans="2:6" x14ac:dyDescent="0.25">
      <c r="B197" s="46" t="s">
        <v>277</v>
      </c>
      <c r="C197" s="52">
        <f>Design!G131</f>
        <v>52</v>
      </c>
      <c r="E197">
        <v>1</v>
      </c>
      <c r="F197">
        <f t="shared" si="12"/>
        <v>52</v>
      </c>
    </row>
    <row r="198" spans="2:6" x14ac:dyDescent="0.25">
      <c r="B198" s="46" t="s">
        <v>278</v>
      </c>
      <c r="C198" s="47">
        <f>Design!G132</f>
        <v>3.1</v>
      </c>
      <c r="E198">
        <v>1</v>
      </c>
      <c r="F198">
        <f t="shared" si="12"/>
        <v>3.1</v>
      </c>
    </row>
    <row r="199" spans="2:6" x14ac:dyDescent="0.25">
      <c r="B199" s="39" t="s">
        <v>336</v>
      </c>
      <c r="C199" s="47">
        <f>V.th_ls+I.load/g.fs_ls</f>
        <v>3.2923076923076926</v>
      </c>
      <c r="E199">
        <v>1</v>
      </c>
      <c r="F199">
        <f t="shared" si="12"/>
        <v>3.2923076923076926</v>
      </c>
    </row>
    <row r="200" spans="2:6" x14ac:dyDescent="0.25">
      <c r="B200" s="46" t="s">
        <v>279</v>
      </c>
      <c r="C200" s="52">
        <f>Design!G133</f>
        <v>0.8</v>
      </c>
      <c r="E200">
        <v>1</v>
      </c>
      <c r="F200">
        <f t="shared" si="12"/>
        <v>0.8</v>
      </c>
    </row>
    <row r="201" spans="2:6" x14ac:dyDescent="0.25">
      <c r="B201" s="46" t="s">
        <v>280</v>
      </c>
      <c r="C201" s="52">
        <f>Design!G134</f>
        <v>41</v>
      </c>
      <c r="E201">
        <f>10^-9</f>
        <v>1.0000000000000001E-9</v>
      </c>
      <c r="F201">
        <f t="shared" si="12"/>
        <v>4.1000000000000003E-8</v>
      </c>
    </row>
    <row r="202" spans="2:6" x14ac:dyDescent="0.25">
      <c r="B202" s="46" t="s">
        <v>281</v>
      </c>
      <c r="C202" s="52">
        <f>Design!G135</f>
        <v>62</v>
      </c>
      <c r="E202">
        <v>1</v>
      </c>
      <c r="F202">
        <f t="shared" si="12"/>
        <v>62</v>
      </c>
    </row>
    <row r="203" spans="2:6" x14ac:dyDescent="0.25">
      <c r="B203" s="38" t="s">
        <v>349</v>
      </c>
      <c r="C203" s="84">
        <v>4.0000000000000001E-3</v>
      </c>
      <c r="D203" t="s">
        <v>347</v>
      </c>
      <c r="E203">
        <v>1</v>
      </c>
      <c r="F203">
        <f t="shared" si="12"/>
        <v>4.0000000000000001E-3</v>
      </c>
    </row>
    <row r="205" spans="2:6" x14ac:dyDescent="0.25">
      <c r="B205" s="46" t="s">
        <v>283</v>
      </c>
      <c r="C205">
        <f>Design!G137</f>
        <v>0</v>
      </c>
      <c r="E205">
        <v>1</v>
      </c>
      <c r="F205">
        <f>IF(C205*E205=0,4444,C205*E205)</f>
        <v>4444</v>
      </c>
    </row>
    <row r="206" spans="2:6" x14ac:dyDescent="0.25">
      <c r="B206" s="46" t="s">
        <v>282</v>
      </c>
      <c r="C206">
        <f>Design!G138</f>
        <v>0</v>
      </c>
      <c r="E206">
        <f>10^-9</f>
        <v>1.0000000000000001E-9</v>
      </c>
      <c r="F206">
        <f>IF(C206*E206=0, 4444, C206*E206)</f>
        <v>4444</v>
      </c>
    </row>
    <row r="207" spans="2:6" x14ac:dyDescent="0.25">
      <c r="B207" s="46" t="s">
        <v>360</v>
      </c>
      <c r="C207">
        <f>IF(Design!G142=STD_VAL!C11,STD_VAL!D11,IF(Design!G142=STD_VAL!C12,STD_VAL!D12,444))</f>
        <v>0</v>
      </c>
      <c r="E207">
        <v>1</v>
      </c>
      <c r="F207">
        <f>IF(C207*E207=0, 4444, C207*E207)</f>
        <v>4444</v>
      </c>
    </row>
    <row r="208" spans="2:6" x14ac:dyDescent="0.25">
      <c r="B208" s="46" t="s">
        <v>326</v>
      </c>
      <c r="C208">
        <f>Design!G143</f>
        <v>105</v>
      </c>
      <c r="E208">
        <v>1</v>
      </c>
      <c r="F208">
        <f t="shared" si="12"/>
        <v>105</v>
      </c>
    </row>
    <row r="209" spans="1:6" x14ac:dyDescent="0.25">
      <c r="B209" s="39" t="s">
        <v>497</v>
      </c>
      <c r="C209">
        <f>f.sw*(Q.g_ls+Q.g_hs)</f>
        <v>1.034E-2</v>
      </c>
      <c r="E209">
        <v>1</v>
      </c>
      <c r="F209">
        <f t="shared" si="12"/>
        <v>1.034E-2</v>
      </c>
    </row>
    <row r="210" spans="1:6" x14ac:dyDescent="0.25">
      <c r="B210" s="46" t="s">
        <v>370</v>
      </c>
      <c r="F210">
        <v>1.7</v>
      </c>
    </row>
    <row r="211" spans="1:6" x14ac:dyDescent="0.25">
      <c r="B211" s="39" t="s">
        <v>332</v>
      </c>
      <c r="C211">
        <f>(Q.gd_hs+Q.gs_hs/2)*(R.drv_hs_source+R.g_hs)/(VCC-V.sp_hs)*Trf_CorrectionFactor</f>
        <v>1.0087136929460582E-8</v>
      </c>
      <c r="E211">
        <v>1</v>
      </c>
      <c r="F211">
        <f>C211*E211</f>
        <v>1.0087136929460582E-8</v>
      </c>
    </row>
    <row r="212" spans="1:6" x14ac:dyDescent="0.25">
      <c r="B212" s="39" t="s">
        <v>333</v>
      </c>
      <c r="C212">
        <f>(Q.gd_hs+Q.gs_hs/2)*(R.drv_hs_sink+R.g_hs)/(V.sp_hs)*Trf_CorrectionFactor</f>
        <v>4.9699182242990653E-9</v>
      </c>
      <c r="E212">
        <v>1</v>
      </c>
      <c r="F212">
        <f>C212*E212</f>
        <v>4.9699182242990653E-9</v>
      </c>
    </row>
    <row r="214" spans="1:6" x14ac:dyDescent="0.25">
      <c r="B214" s="39" t="s">
        <v>459</v>
      </c>
      <c r="C214" s="47">
        <f>MAX(V.sp_ls,V.sp_hs)</f>
        <v>3.2923076923076926</v>
      </c>
      <c r="E214">
        <v>1</v>
      </c>
      <c r="F214">
        <f>C214*E214</f>
        <v>3.2923076923076926</v>
      </c>
    </row>
    <row r="215" spans="1:6" x14ac:dyDescent="0.25">
      <c r="B215" s="39" t="s">
        <v>505</v>
      </c>
      <c r="C215" s="47">
        <f>V.th_hs+100/g.fs_hs</f>
        <v>5.023076923076923</v>
      </c>
      <c r="E215">
        <v>1</v>
      </c>
      <c r="F215">
        <f>C215*E215</f>
        <v>5.023076923076923</v>
      </c>
    </row>
    <row r="216" spans="1:6" x14ac:dyDescent="0.25">
      <c r="B216" s="39" t="s">
        <v>506</v>
      </c>
      <c r="C216" s="47">
        <f>V.th_ls+100/g.fs_ls</f>
        <v>5.023076923076923</v>
      </c>
      <c r="E216">
        <v>1</v>
      </c>
      <c r="F216">
        <f>C216*E216</f>
        <v>5.023076923076923</v>
      </c>
    </row>
    <row r="217" spans="1:6" x14ac:dyDescent="0.25">
      <c r="B217" s="39" t="s">
        <v>507</v>
      </c>
      <c r="C217" s="47">
        <f>MAX(V.sp_hs_100A,V.sp_ls_100A)</f>
        <v>5.023076923076923</v>
      </c>
      <c r="E217">
        <v>1</v>
      </c>
      <c r="F217">
        <f>C217*E217</f>
        <v>5.023076923076923</v>
      </c>
    </row>
    <row r="218" spans="1:6" x14ac:dyDescent="0.25">
      <c r="B218" s="39"/>
      <c r="C218" s="47"/>
    </row>
    <row r="219" spans="1:6" x14ac:dyDescent="0.25">
      <c r="A219" t="s">
        <v>503</v>
      </c>
      <c r="B219" s="39" t="s">
        <v>501</v>
      </c>
      <c r="C219" s="47">
        <f>C175</f>
        <v>11</v>
      </c>
      <c r="E219">
        <f>10^-9</f>
        <v>1.0000000000000001E-9</v>
      </c>
      <c r="F219">
        <f>C219*E219</f>
        <v>1.1000000000000001E-8</v>
      </c>
    </row>
    <row r="220" spans="1:6" x14ac:dyDescent="0.25">
      <c r="A220" t="s">
        <v>504</v>
      </c>
      <c r="B220" s="39" t="s">
        <v>502</v>
      </c>
      <c r="C220" s="47">
        <f>C219*10</f>
        <v>110</v>
      </c>
      <c r="E220">
        <f>10^-9</f>
        <v>1.0000000000000001E-9</v>
      </c>
      <c r="F220">
        <f>C220*E220</f>
        <v>1.1000000000000001E-7</v>
      </c>
    </row>
    <row r="221" spans="1:6" x14ac:dyDescent="0.25">
      <c r="B221" s="39" t="s">
        <v>511</v>
      </c>
      <c r="C221" s="50">
        <f>(Q.g_ls+Q.g_hs)*f.sw*10*10^-6/2</f>
        <v>5.17E-8</v>
      </c>
      <c r="E221">
        <v>1</v>
      </c>
      <c r="F221">
        <f>C221*E221</f>
        <v>5.17E-8</v>
      </c>
    </row>
    <row r="222" spans="1:6" x14ac:dyDescent="0.25">
      <c r="A222" s="40" t="s">
        <v>481</v>
      </c>
    </row>
    <row r="223" spans="1:6" x14ac:dyDescent="0.25">
      <c r="B223" t="s">
        <v>327</v>
      </c>
      <c r="C223">
        <f>10*10^-6</f>
        <v>9.9999999999999991E-6</v>
      </c>
      <c r="E223">
        <v>1</v>
      </c>
      <c r="F223">
        <f>C223*E223</f>
        <v>9.9999999999999991E-6</v>
      </c>
    </row>
    <row r="224" spans="1:6" x14ac:dyDescent="0.25">
      <c r="B224" t="s">
        <v>328</v>
      </c>
      <c r="C224">
        <v>1E-3</v>
      </c>
      <c r="E224">
        <v>1</v>
      </c>
      <c r="F224">
        <f>C224*E224</f>
        <v>1E-3</v>
      </c>
    </row>
    <row r="226" spans="2:6" x14ac:dyDescent="0.25">
      <c r="B226" t="s">
        <v>482</v>
      </c>
      <c r="C226">
        <f>Design!G149</f>
        <v>50</v>
      </c>
      <c r="E226" s="50">
        <v>1E-3</v>
      </c>
      <c r="F226">
        <f>C226*E226</f>
        <v>0.05</v>
      </c>
    </row>
    <row r="227" spans="2:6" x14ac:dyDescent="0.25">
      <c r="B227" t="s">
        <v>483</v>
      </c>
      <c r="C227">
        <f>I.load*D.on_min_ideal*(1-D.on_min_ideal)/(V.in_ripple_required*f.sw)</f>
        <v>5.9101654846335695E-5</v>
      </c>
    </row>
    <row r="228" spans="2:6" x14ac:dyDescent="0.25">
      <c r="B228" t="s">
        <v>484</v>
      </c>
      <c r="C228">
        <f>I.load*0.5*(1-0.5)/(V.in_ripple_required*f.sw)</f>
        <v>1.0638297872340425E-4</v>
      </c>
    </row>
    <row r="229" spans="2:6" x14ac:dyDescent="0.25">
      <c r="B229" s="39" t="s">
        <v>485</v>
      </c>
      <c r="C229" s="50">
        <f>MAX(C227,C228,0.00001)</f>
        <v>1.0638297872340425E-4</v>
      </c>
    </row>
    <row r="230" spans="2:6" x14ac:dyDescent="0.25">
      <c r="B230" s="39" t="s">
        <v>486</v>
      </c>
      <c r="C230">
        <f>I.load*SQRT(D.on_min_ideal*(1-D.on_min_ideal))</f>
        <v>3.7267799624996494</v>
      </c>
    </row>
    <row r="231" spans="2:6" x14ac:dyDescent="0.25">
      <c r="B231" s="39" t="s">
        <v>487</v>
      </c>
      <c r="C231">
        <f>I.load*SQRT(0.5*(1-0.5))</f>
        <v>5</v>
      </c>
    </row>
    <row r="232" spans="2:6" x14ac:dyDescent="0.25">
      <c r="B232" s="39" t="s">
        <v>488</v>
      </c>
      <c r="C232" s="146">
        <f>MAX(C231,C230)</f>
        <v>5</v>
      </c>
    </row>
    <row r="234" spans="2:6" x14ac:dyDescent="0.25">
      <c r="B234" s="39" t="s">
        <v>489</v>
      </c>
      <c r="C234">
        <f>V.in_ripple_required/I.load</f>
        <v>5.0000000000000001E-3</v>
      </c>
    </row>
    <row r="245" spans="19:24" x14ac:dyDescent="0.25">
      <c r="S245" s="56"/>
      <c r="T245" s="56"/>
      <c r="U245" s="56"/>
      <c r="W245" s="59"/>
      <c r="X245" s="56"/>
    </row>
    <row r="246" spans="19:24" x14ac:dyDescent="0.25">
      <c r="S246" s="39"/>
      <c r="T246" s="39"/>
      <c r="U246" s="39"/>
      <c r="W246" s="60"/>
      <c r="X246" s="39"/>
    </row>
    <row r="247" spans="19:24" x14ac:dyDescent="0.25">
      <c r="X247" s="57"/>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DA83-8CC2-49E6-B9A9-22225635CA6D}">
  <sheetPr codeName="Sheet4"/>
  <dimension ref="A1:D769"/>
  <sheetViews>
    <sheetView workbookViewId="0">
      <selection activeCell="F4" sqref="F4"/>
    </sheetView>
  </sheetViews>
  <sheetFormatPr defaultRowHeight="13.2" x14ac:dyDescent="0.25"/>
  <cols>
    <col min="3" max="3" width="27.33203125" bestFit="1" customWidth="1"/>
  </cols>
  <sheetData>
    <row r="1" spans="1:4" x14ac:dyDescent="0.25">
      <c r="A1">
        <v>1</v>
      </c>
    </row>
    <row r="2" spans="1:4" ht="14.4" x14ac:dyDescent="0.3">
      <c r="A2">
        <v>1.02</v>
      </c>
      <c r="C2" s="32" t="s">
        <v>104</v>
      </c>
      <c r="D2" s="32" t="s">
        <v>105</v>
      </c>
    </row>
    <row r="3" spans="1:4" x14ac:dyDescent="0.25">
      <c r="A3">
        <v>1.05</v>
      </c>
      <c r="C3" t="s">
        <v>130</v>
      </c>
      <c r="D3">
        <v>0</v>
      </c>
    </row>
    <row r="4" spans="1:4" x14ac:dyDescent="0.25">
      <c r="A4">
        <v>1.0699999999999998</v>
      </c>
      <c r="C4" t="s">
        <v>132</v>
      </c>
      <c r="D4">
        <v>1</v>
      </c>
    </row>
    <row r="5" spans="1:4" x14ac:dyDescent="0.25">
      <c r="A5">
        <v>1.1000000000000001</v>
      </c>
    </row>
    <row r="6" spans="1:4" ht="14.4" x14ac:dyDescent="0.3">
      <c r="A6">
        <v>1.1300000000000001</v>
      </c>
      <c r="C6" s="34" t="s">
        <v>5</v>
      </c>
      <c r="D6" s="32" t="s">
        <v>105</v>
      </c>
    </row>
    <row r="7" spans="1:4" x14ac:dyDescent="0.25">
      <c r="A7">
        <v>1.1499999999999999</v>
      </c>
      <c r="C7" s="33" t="s">
        <v>16</v>
      </c>
      <c r="D7">
        <v>1</v>
      </c>
    </row>
    <row r="8" spans="1:4" x14ac:dyDescent="0.25">
      <c r="A8">
        <v>1.1800000000000002</v>
      </c>
      <c r="C8" s="33" t="s">
        <v>131</v>
      </c>
      <c r="D8">
        <v>0</v>
      </c>
    </row>
    <row r="9" spans="1:4" x14ac:dyDescent="0.25">
      <c r="A9">
        <v>1.21</v>
      </c>
      <c r="C9" s="33"/>
    </row>
    <row r="10" spans="1:4" x14ac:dyDescent="0.25">
      <c r="A10">
        <v>1.24</v>
      </c>
      <c r="C10" s="55" t="s">
        <v>134</v>
      </c>
      <c r="D10" s="42" t="s">
        <v>105</v>
      </c>
    </row>
    <row r="11" spans="1:4" x14ac:dyDescent="0.25">
      <c r="A11">
        <v>1.27</v>
      </c>
      <c r="C11" s="33" t="s">
        <v>97</v>
      </c>
      <c r="D11">
        <v>1</v>
      </c>
    </row>
    <row r="12" spans="1:4" x14ac:dyDescent="0.25">
      <c r="A12">
        <v>1.3</v>
      </c>
      <c r="C12" s="33" t="s">
        <v>284</v>
      </c>
      <c r="D12">
        <v>0</v>
      </c>
    </row>
    <row r="13" spans="1:4" x14ac:dyDescent="0.25">
      <c r="A13">
        <v>1.33</v>
      </c>
    </row>
    <row r="14" spans="1:4" x14ac:dyDescent="0.25">
      <c r="A14">
        <v>1.3699999999999999</v>
      </c>
    </row>
    <row r="15" spans="1:4" x14ac:dyDescent="0.25">
      <c r="A15">
        <v>1.4</v>
      </c>
    </row>
    <row r="16" spans="1:4" x14ac:dyDescent="0.25">
      <c r="A16">
        <v>1.4300000000000002</v>
      </c>
    </row>
    <row r="17" spans="1:4" ht="14.4" x14ac:dyDescent="0.3">
      <c r="A17">
        <v>1.47</v>
      </c>
      <c r="C17" s="34"/>
      <c r="D17" s="32"/>
    </row>
    <row r="18" spans="1:4" x14ac:dyDescent="0.25">
      <c r="A18">
        <v>1.5</v>
      </c>
      <c r="C18" s="33"/>
    </row>
    <row r="19" spans="1:4" x14ac:dyDescent="0.25">
      <c r="A19">
        <v>1.54</v>
      </c>
      <c r="C19" s="33"/>
    </row>
    <row r="20" spans="1:4" x14ac:dyDescent="0.25">
      <c r="A20">
        <v>1.58</v>
      </c>
    </row>
    <row r="21" spans="1:4" ht="14.4" x14ac:dyDescent="0.3">
      <c r="A21">
        <v>1.6199999999999999</v>
      </c>
      <c r="C21" s="32"/>
      <c r="D21" s="32"/>
    </row>
    <row r="22" spans="1:4" x14ac:dyDescent="0.25">
      <c r="A22">
        <v>1.65</v>
      </c>
    </row>
    <row r="23" spans="1:4" x14ac:dyDescent="0.25">
      <c r="A23">
        <v>1.69</v>
      </c>
    </row>
    <row r="24" spans="1:4" x14ac:dyDescent="0.25">
      <c r="A24">
        <v>1.7399999999999998</v>
      </c>
    </row>
    <row r="25" spans="1:4" ht="14.4" x14ac:dyDescent="0.3">
      <c r="A25">
        <v>1.78</v>
      </c>
      <c r="C25" s="32"/>
      <c r="D25" s="32"/>
    </row>
    <row r="26" spans="1:4" x14ac:dyDescent="0.25">
      <c r="A26">
        <v>1.8199999999999998</v>
      </c>
    </row>
    <row r="27" spans="1:4" x14ac:dyDescent="0.25">
      <c r="A27">
        <v>1.8699999999999999</v>
      </c>
    </row>
    <row r="28" spans="1:4" x14ac:dyDescent="0.25">
      <c r="A28">
        <v>1.9100000000000001</v>
      </c>
    </row>
    <row r="29" spans="1:4" x14ac:dyDescent="0.25">
      <c r="A29">
        <v>1.9600000000000002</v>
      </c>
    </row>
    <row r="30" spans="1:4" x14ac:dyDescent="0.25">
      <c r="A30">
        <v>2</v>
      </c>
    </row>
    <row r="31" spans="1:4" x14ac:dyDescent="0.25">
      <c r="A31">
        <v>2.0499999999999998</v>
      </c>
    </row>
    <row r="32" spans="1:4" x14ac:dyDescent="0.25">
      <c r="A32">
        <v>2.1</v>
      </c>
    </row>
    <row r="33" spans="1:1" x14ac:dyDescent="0.25">
      <c r="A33">
        <v>2.15</v>
      </c>
    </row>
    <row r="34" spans="1:1" x14ac:dyDescent="0.25">
      <c r="A34">
        <v>2.21</v>
      </c>
    </row>
    <row r="35" spans="1:1" x14ac:dyDescent="0.25">
      <c r="A35">
        <v>2.2600000000000002</v>
      </c>
    </row>
    <row r="36" spans="1:1" x14ac:dyDescent="0.25">
      <c r="A36">
        <v>2.3199999999999998</v>
      </c>
    </row>
    <row r="37" spans="1:1" x14ac:dyDescent="0.25">
      <c r="A37">
        <v>2.37</v>
      </c>
    </row>
    <row r="38" spans="1:1" x14ac:dyDescent="0.25">
      <c r="A38">
        <v>2.4300000000000002</v>
      </c>
    </row>
    <row r="39" spans="1:1" x14ac:dyDescent="0.25">
      <c r="A39">
        <v>2.4899999999999998</v>
      </c>
    </row>
    <row r="40" spans="1:1" x14ac:dyDescent="0.25">
      <c r="A40">
        <v>2.5499999999999998</v>
      </c>
    </row>
    <row r="41" spans="1:1" x14ac:dyDescent="0.25">
      <c r="A41">
        <v>2.6100000000000003</v>
      </c>
    </row>
    <row r="42" spans="1:1" x14ac:dyDescent="0.25">
      <c r="A42">
        <v>2.67</v>
      </c>
    </row>
    <row r="43" spans="1:1" x14ac:dyDescent="0.25">
      <c r="A43">
        <v>2.7399999999999998</v>
      </c>
    </row>
    <row r="44" spans="1:1" x14ac:dyDescent="0.25">
      <c r="A44">
        <v>2.8</v>
      </c>
    </row>
    <row r="45" spans="1:1" x14ac:dyDescent="0.25">
      <c r="A45">
        <v>2.87</v>
      </c>
    </row>
    <row r="46" spans="1:1" x14ac:dyDescent="0.25">
      <c r="A46">
        <v>2.94</v>
      </c>
    </row>
    <row r="47" spans="1:1" x14ac:dyDescent="0.25">
      <c r="A47">
        <v>3.0100000000000002</v>
      </c>
    </row>
    <row r="48" spans="1:1" x14ac:dyDescent="0.25">
      <c r="A48">
        <v>3.09</v>
      </c>
    </row>
    <row r="49" spans="1:1" x14ac:dyDescent="0.25">
      <c r="A49">
        <v>3.16</v>
      </c>
    </row>
    <row r="50" spans="1:1" x14ac:dyDescent="0.25">
      <c r="A50">
        <v>3.2399999999999998</v>
      </c>
    </row>
    <row r="51" spans="1:1" x14ac:dyDescent="0.25">
      <c r="A51">
        <v>3.3200000000000003</v>
      </c>
    </row>
    <row r="52" spans="1:1" x14ac:dyDescent="0.25">
      <c r="A52">
        <v>3.4</v>
      </c>
    </row>
    <row r="53" spans="1:1" x14ac:dyDescent="0.25">
      <c r="A53">
        <v>3.4799999999999995</v>
      </c>
    </row>
    <row r="54" spans="1:1" x14ac:dyDescent="0.25">
      <c r="A54">
        <v>3.5700000000000003</v>
      </c>
    </row>
    <row r="55" spans="1:1" x14ac:dyDescent="0.25">
      <c r="A55">
        <v>3.65</v>
      </c>
    </row>
    <row r="56" spans="1:1" x14ac:dyDescent="0.25">
      <c r="A56">
        <v>3.7399999999999998</v>
      </c>
    </row>
    <row r="57" spans="1:1" x14ac:dyDescent="0.25">
      <c r="A57">
        <v>3.8299999999999996</v>
      </c>
    </row>
    <row r="58" spans="1:1" x14ac:dyDescent="0.25">
      <c r="A58">
        <v>3.9200000000000004</v>
      </c>
    </row>
    <row r="59" spans="1:1" x14ac:dyDescent="0.25">
      <c r="A59">
        <v>4.0200000000000005</v>
      </c>
    </row>
    <row r="60" spans="1:1" x14ac:dyDescent="0.25">
      <c r="A60">
        <v>4.12</v>
      </c>
    </row>
    <row r="61" spans="1:1" x14ac:dyDescent="0.25">
      <c r="A61">
        <v>4.2200000000000006</v>
      </c>
    </row>
    <row r="62" spans="1:1" x14ac:dyDescent="0.25">
      <c r="A62">
        <v>4.32</v>
      </c>
    </row>
    <row r="63" spans="1:1" x14ac:dyDescent="0.25">
      <c r="A63">
        <v>4.42</v>
      </c>
    </row>
    <row r="64" spans="1:1" x14ac:dyDescent="0.25">
      <c r="A64">
        <v>4.5299999999999994</v>
      </c>
    </row>
    <row r="65" spans="1:1" x14ac:dyDescent="0.25">
      <c r="A65">
        <v>4.6399999999999997</v>
      </c>
    </row>
    <row r="66" spans="1:1" x14ac:dyDescent="0.25">
      <c r="A66">
        <v>4.75</v>
      </c>
    </row>
    <row r="67" spans="1:1" x14ac:dyDescent="0.25">
      <c r="A67">
        <v>4.87</v>
      </c>
    </row>
    <row r="68" spans="1:1" x14ac:dyDescent="0.25">
      <c r="A68">
        <v>4.99</v>
      </c>
    </row>
    <row r="69" spans="1:1" x14ac:dyDescent="0.25">
      <c r="A69">
        <v>5.1100000000000003</v>
      </c>
    </row>
    <row r="70" spans="1:1" x14ac:dyDescent="0.25">
      <c r="A70">
        <v>5.2299999999999995</v>
      </c>
    </row>
    <row r="71" spans="1:1" x14ac:dyDescent="0.25">
      <c r="A71">
        <v>5.36</v>
      </c>
    </row>
    <row r="72" spans="1:1" x14ac:dyDescent="0.25">
      <c r="A72">
        <v>5.49</v>
      </c>
    </row>
    <row r="73" spans="1:1" x14ac:dyDescent="0.25">
      <c r="A73">
        <v>5.62</v>
      </c>
    </row>
    <row r="74" spans="1:1" x14ac:dyDescent="0.25">
      <c r="A74">
        <v>5.76</v>
      </c>
    </row>
    <row r="75" spans="1:1" x14ac:dyDescent="0.25">
      <c r="A75">
        <v>5.9</v>
      </c>
    </row>
    <row r="76" spans="1:1" x14ac:dyDescent="0.25">
      <c r="A76">
        <v>6.04</v>
      </c>
    </row>
    <row r="77" spans="1:1" x14ac:dyDescent="0.25">
      <c r="A77">
        <v>6.1899999999999995</v>
      </c>
    </row>
    <row r="78" spans="1:1" x14ac:dyDescent="0.25">
      <c r="A78">
        <v>6.34</v>
      </c>
    </row>
    <row r="79" spans="1:1" x14ac:dyDescent="0.25">
      <c r="A79">
        <v>6.49</v>
      </c>
    </row>
    <row r="80" spans="1:1" x14ac:dyDescent="0.25">
      <c r="A80">
        <v>6.65</v>
      </c>
    </row>
    <row r="81" spans="1:1" x14ac:dyDescent="0.25">
      <c r="A81">
        <v>6.81</v>
      </c>
    </row>
    <row r="82" spans="1:1" x14ac:dyDescent="0.25">
      <c r="A82">
        <v>6.9799999999999995</v>
      </c>
    </row>
    <row r="83" spans="1:1" x14ac:dyDescent="0.25">
      <c r="A83">
        <v>7.15</v>
      </c>
    </row>
    <row r="84" spans="1:1" x14ac:dyDescent="0.25">
      <c r="A84">
        <v>7.32</v>
      </c>
    </row>
    <row r="85" spans="1:1" x14ac:dyDescent="0.25">
      <c r="A85">
        <v>7.5</v>
      </c>
    </row>
    <row r="86" spans="1:1" x14ac:dyDescent="0.25">
      <c r="A86">
        <v>7.68</v>
      </c>
    </row>
    <row r="87" spans="1:1" x14ac:dyDescent="0.25">
      <c r="A87">
        <v>7.87</v>
      </c>
    </row>
    <row r="88" spans="1:1" x14ac:dyDescent="0.25">
      <c r="A88">
        <v>8.0599999999999987</v>
      </c>
    </row>
    <row r="89" spans="1:1" x14ac:dyDescent="0.25">
      <c r="A89">
        <v>8.25</v>
      </c>
    </row>
    <row r="90" spans="1:1" x14ac:dyDescent="0.25">
      <c r="A90">
        <v>8.4499999999999993</v>
      </c>
    </row>
    <row r="91" spans="1:1" x14ac:dyDescent="0.25">
      <c r="A91">
        <v>8.66</v>
      </c>
    </row>
    <row r="92" spans="1:1" x14ac:dyDescent="0.25">
      <c r="A92">
        <v>8.870000000000001</v>
      </c>
    </row>
    <row r="93" spans="1:1" x14ac:dyDescent="0.25">
      <c r="A93">
        <v>9.09</v>
      </c>
    </row>
    <row r="94" spans="1:1" x14ac:dyDescent="0.25">
      <c r="A94">
        <v>9.3099999999999987</v>
      </c>
    </row>
    <row r="95" spans="1:1" x14ac:dyDescent="0.25">
      <c r="A95">
        <v>9.5299999999999994</v>
      </c>
    </row>
    <row r="96" spans="1:1" x14ac:dyDescent="0.25">
      <c r="A96">
        <v>9.76</v>
      </c>
    </row>
    <row r="97" spans="1:1" x14ac:dyDescent="0.25">
      <c r="A97">
        <f>A1*10</f>
        <v>10</v>
      </c>
    </row>
    <row r="98" spans="1:1" x14ac:dyDescent="0.25">
      <c r="A98">
        <f t="shared" ref="A98:A161" si="0">A2*10</f>
        <v>10.199999999999999</v>
      </c>
    </row>
    <row r="99" spans="1:1" x14ac:dyDescent="0.25">
      <c r="A99">
        <f t="shared" si="0"/>
        <v>10.5</v>
      </c>
    </row>
    <row r="100" spans="1:1" x14ac:dyDescent="0.25">
      <c r="A100">
        <f t="shared" si="0"/>
        <v>10.7</v>
      </c>
    </row>
    <row r="101" spans="1:1" x14ac:dyDescent="0.25">
      <c r="A101">
        <f t="shared" si="0"/>
        <v>11</v>
      </c>
    </row>
    <row r="102" spans="1:1" x14ac:dyDescent="0.25">
      <c r="A102">
        <f t="shared" si="0"/>
        <v>11.3</v>
      </c>
    </row>
    <row r="103" spans="1:1" x14ac:dyDescent="0.25">
      <c r="A103">
        <f t="shared" si="0"/>
        <v>11.5</v>
      </c>
    </row>
    <row r="104" spans="1:1" x14ac:dyDescent="0.25">
      <c r="A104">
        <f t="shared" si="0"/>
        <v>11.8</v>
      </c>
    </row>
    <row r="105" spans="1:1" x14ac:dyDescent="0.25">
      <c r="A105">
        <f t="shared" si="0"/>
        <v>12.1</v>
      </c>
    </row>
    <row r="106" spans="1:1" x14ac:dyDescent="0.25">
      <c r="A106">
        <f t="shared" si="0"/>
        <v>12.4</v>
      </c>
    </row>
    <row r="107" spans="1:1" x14ac:dyDescent="0.25">
      <c r="A107">
        <f t="shared" si="0"/>
        <v>12.7</v>
      </c>
    </row>
    <row r="108" spans="1:1" x14ac:dyDescent="0.25">
      <c r="A108">
        <f t="shared" si="0"/>
        <v>13</v>
      </c>
    </row>
    <row r="109" spans="1:1" x14ac:dyDescent="0.25">
      <c r="A109">
        <f t="shared" si="0"/>
        <v>13.3</v>
      </c>
    </row>
    <row r="110" spans="1:1" x14ac:dyDescent="0.25">
      <c r="A110">
        <f t="shared" si="0"/>
        <v>13.7</v>
      </c>
    </row>
    <row r="111" spans="1:1" x14ac:dyDescent="0.25">
      <c r="A111">
        <f t="shared" si="0"/>
        <v>14</v>
      </c>
    </row>
    <row r="112" spans="1:1" x14ac:dyDescent="0.25">
      <c r="A112">
        <f t="shared" si="0"/>
        <v>14.3</v>
      </c>
    </row>
    <row r="113" spans="1:1" x14ac:dyDescent="0.25">
      <c r="A113">
        <f t="shared" si="0"/>
        <v>14.7</v>
      </c>
    </row>
    <row r="114" spans="1:1" x14ac:dyDescent="0.25">
      <c r="A114">
        <f t="shared" si="0"/>
        <v>15</v>
      </c>
    </row>
    <row r="115" spans="1:1" x14ac:dyDescent="0.25">
      <c r="A115">
        <f t="shared" si="0"/>
        <v>15.4</v>
      </c>
    </row>
    <row r="116" spans="1:1" x14ac:dyDescent="0.25">
      <c r="A116">
        <f t="shared" si="0"/>
        <v>15.8</v>
      </c>
    </row>
    <row r="117" spans="1:1" x14ac:dyDescent="0.25">
      <c r="A117">
        <f t="shared" si="0"/>
        <v>16.2</v>
      </c>
    </row>
    <row r="118" spans="1:1" x14ac:dyDescent="0.25">
      <c r="A118">
        <f t="shared" si="0"/>
        <v>16.5</v>
      </c>
    </row>
    <row r="119" spans="1:1" x14ac:dyDescent="0.25">
      <c r="A119">
        <f t="shared" si="0"/>
        <v>16.899999999999999</v>
      </c>
    </row>
    <row r="120" spans="1:1" x14ac:dyDescent="0.25">
      <c r="A120">
        <f t="shared" si="0"/>
        <v>17.399999999999999</v>
      </c>
    </row>
    <row r="121" spans="1:1" x14ac:dyDescent="0.25">
      <c r="A121">
        <f t="shared" si="0"/>
        <v>17.8</v>
      </c>
    </row>
    <row r="122" spans="1:1" x14ac:dyDescent="0.25">
      <c r="A122">
        <f t="shared" si="0"/>
        <v>18.2</v>
      </c>
    </row>
    <row r="123" spans="1:1" x14ac:dyDescent="0.25">
      <c r="A123">
        <f t="shared" si="0"/>
        <v>18.7</v>
      </c>
    </row>
    <row r="124" spans="1:1" x14ac:dyDescent="0.25">
      <c r="A124">
        <f t="shared" si="0"/>
        <v>19.100000000000001</v>
      </c>
    </row>
    <row r="125" spans="1:1" x14ac:dyDescent="0.25">
      <c r="A125">
        <f t="shared" si="0"/>
        <v>19.600000000000001</v>
      </c>
    </row>
    <row r="126" spans="1:1" x14ac:dyDescent="0.25">
      <c r="A126">
        <f t="shared" si="0"/>
        <v>20</v>
      </c>
    </row>
    <row r="127" spans="1:1" x14ac:dyDescent="0.25">
      <c r="A127">
        <f t="shared" si="0"/>
        <v>20.5</v>
      </c>
    </row>
    <row r="128" spans="1:1" x14ac:dyDescent="0.25">
      <c r="A128">
        <f t="shared" si="0"/>
        <v>21</v>
      </c>
    </row>
    <row r="129" spans="1:1" x14ac:dyDescent="0.25">
      <c r="A129">
        <f t="shared" si="0"/>
        <v>21.5</v>
      </c>
    </row>
    <row r="130" spans="1:1" x14ac:dyDescent="0.25">
      <c r="A130">
        <f t="shared" si="0"/>
        <v>22.1</v>
      </c>
    </row>
    <row r="131" spans="1:1" x14ac:dyDescent="0.25">
      <c r="A131">
        <f t="shared" si="0"/>
        <v>22.6</v>
      </c>
    </row>
    <row r="132" spans="1:1" x14ac:dyDescent="0.25">
      <c r="A132">
        <f t="shared" si="0"/>
        <v>23.2</v>
      </c>
    </row>
    <row r="133" spans="1:1" x14ac:dyDescent="0.25">
      <c r="A133">
        <f t="shared" si="0"/>
        <v>23.700000000000003</v>
      </c>
    </row>
    <row r="134" spans="1:1" x14ac:dyDescent="0.25">
      <c r="A134">
        <f t="shared" si="0"/>
        <v>24.3</v>
      </c>
    </row>
    <row r="135" spans="1:1" x14ac:dyDescent="0.25">
      <c r="A135">
        <f t="shared" si="0"/>
        <v>24.9</v>
      </c>
    </row>
    <row r="136" spans="1:1" x14ac:dyDescent="0.25">
      <c r="A136">
        <f t="shared" si="0"/>
        <v>25.5</v>
      </c>
    </row>
    <row r="137" spans="1:1" x14ac:dyDescent="0.25">
      <c r="A137">
        <f t="shared" si="0"/>
        <v>26.1</v>
      </c>
    </row>
    <row r="138" spans="1:1" x14ac:dyDescent="0.25">
      <c r="A138">
        <f t="shared" si="0"/>
        <v>26.7</v>
      </c>
    </row>
    <row r="139" spans="1:1" x14ac:dyDescent="0.25">
      <c r="A139">
        <f t="shared" si="0"/>
        <v>27.4</v>
      </c>
    </row>
    <row r="140" spans="1:1" x14ac:dyDescent="0.25">
      <c r="A140">
        <f t="shared" si="0"/>
        <v>28</v>
      </c>
    </row>
    <row r="141" spans="1:1" x14ac:dyDescent="0.25">
      <c r="A141">
        <f t="shared" si="0"/>
        <v>28.700000000000003</v>
      </c>
    </row>
    <row r="142" spans="1:1" x14ac:dyDescent="0.25">
      <c r="A142">
        <f t="shared" si="0"/>
        <v>29.4</v>
      </c>
    </row>
    <row r="143" spans="1:1" x14ac:dyDescent="0.25">
      <c r="A143">
        <f t="shared" si="0"/>
        <v>30.1</v>
      </c>
    </row>
    <row r="144" spans="1:1" x14ac:dyDescent="0.25">
      <c r="A144">
        <f t="shared" si="0"/>
        <v>30.9</v>
      </c>
    </row>
    <row r="145" spans="1:1" x14ac:dyDescent="0.25">
      <c r="A145">
        <f t="shared" si="0"/>
        <v>31.6</v>
      </c>
    </row>
    <row r="146" spans="1:1" x14ac:dyDescent="0.25">
      <c r="A146">
        <f t="shared" si="0"/>
        <v>32.4</v>
      </c>
    </row>
    <row r="147" spans="1:1" x14ac:dyDescent="0.25">
      <c r="A147">
        <f t="shared" si="0"/>
        <v>33.200000000000003</v>
      </c>
    </row>
    <row r="148" spans="1:1" x14ac:dyDescent="0.25">
      <c r="A148">
        <f t="shared" si="0"/>
        <v>34</v>
      </c>
    </row>
    <row r="149" spans="1:1" x14ac:dyDescent="0.25">
      <c r="A149">
        <f t="shared" si="0"/>
        <v>34.799999999999997</v>
      </c>
    </row>
    <row r="150" spans="1:1" x14ac:dyDescent="0.25">
      <c r="A150">
        <f t="shared" si="0"/>
        <v>35.700000000000003</v>
      </c>
    </row>
    <row r="151" spans="1:1" x14ac:dyDescent="0.25">
      <c r="A151">
        <f t="shared" si="0"/>
        <v>36.5</v>
      </c>
    </row>
    <row r="152" spans="1:1" x14ac:dyDescent="0.25">
      <c r="A152">
        <f t="shared" si="0"/>
        <v>37.4</v>
      </c>
    </row>
    <row r="153" spans="1:1" x14ac:dyDescent="0.25">
      <c r="A153">
        <f t="shared" si="0"/>
        <v>38.299999999999997</v>
      </c>
    </row>
    <row r="154" spans="1:1" x14ac:dyDescent="0.25">
      <c r="A154">
        <f t="shared" si="0"/>
        <v>39.200000000000003</v>
      </c>
    </row>
    <row r="155" spans="1:1" x14ac:dyDescent="0.25">
      <c r="A155">
        <f t="shared" si="0"/>
        <v>40.200000000000003</v>
      </c>
    </row>
    <row r="156" spans="1:1" x14ac:dyDescent="0.25">
      <c r="A156">
        <f t="shared" si="0"/>
        <v>41.2</v>
      </c>
    </row>
    <row r="157" spans="1:1" x14ac:dyDescent="0.25">
      <c r="A157">
        <f t="shared" si="0"/>
        <v>42.2</v>
      </c>
    </row>
    <row r="158" spans="1:1" x14ac:dyDescent="0.25">
      <c r="A158">
        <f t="shared" si="0"/>
        <v>43.2</v>
      </c>
    </row>
    <row r="159" spans="1:1" x14ac:dyDescent="0.25">
      <c r="A159">
        <f t="shared" si="0"/>
        <v>44.2</v>
      </c>
    </row>
    <row r="160" spans="1:1" x14ac:dyDescent="0.25">
      <c r="A160">
        <f t="shared" si="0"/>
        <v>45.3</v>
      </c>
    </row>
    <row r="161" spans="1:1" x14ac:dyDescent="0.25">
      <c r="A161">
        <f t="shared" si="0"/>
        <v>46.4</v>
      </c>
    </row>
    <row r="162" spans="1:1" x14ac:dyDescent="0.25">
      <c r="A162">
        <f t="shared" ref="A162:A225" si="1">A66*10</f>
        <v>47.5</v>
      </c>
    </row>
    <row r="163" spans="1:1" x14ac:dyDescent="0.25">
      <c r="A163">
        <f t="shared" si="1"/>
        <v>48.7</v>
      </c>
    </row>
    <row r="164" spans="1:1" x14ac:dyDescent="0.25">
      <c r="A164">
        <f t="shared" si="1"/>
        <v>49.900000000000006</v>
      </c>
    </row>
    <row r="165" spans="1:1" x14ac:dyDescent="0.25">
      <c r="A165">
        <f t="shared" si="1"/>
        <v>51.1</v>
      </c>
    </row>
    <row r="166" spans="1:1" x14ac:dyDescent="0.25">
      <c r="A166">
        <f t="shared" si="1"/>
        <v>52.3</v>
      </c>
    </row>
    <row r="167" spans="1:1" x14ac:dyDescent="0.25">
      <c r="A167">
        <f t="shared" si="1"/>
        <v>53.6</v>
      </c>
    </row>
    <row r="168" spans="1:1" x14ac:dyDescent="0.25">
      <c r="A168">
        <f t="shared" si="1"/>
        <v>54.900000000000006</v>
      </c>
    </row>
    <row r="169" spans="1:1" x14ac:dyDescent="0.25">
      <c r="A169">
        <f t="shared" si="1"/>
        <v>56.2</v>
      </c>
    </row>
    <row r="170" spans="1:1" x14ac:dyDescent="0.25">
      <c r="A170">
        <f t="shared" si="1"/>
        <v>57.599999999999994</v>
      </c>
    </row>
    <row r="171" spans="1:1" x14ac:dyDescent="0.25">
      <c r="A171">
        <f t="shared" si="1"/>
        <v>59</v>
      </c>
    </row>
    <row r="172" spans="1:1" x14ac:dyDescent="0.25">
      <c r="A172">
        <f t="shared" si="1"/>
        <v>60.4</v>
      </c>
    </row>
    <row r="173" spans="1:1" x14ac:dyDescent="0.25">
      <c r="A173">
        <f t="shared" si="1"/>
        <v>61.899999999999991</v>
      </c>
    </row>
    <row r="174" spans="1:1" x14ac:dyDescent="0.25">
      <c r="A174">
        <f t="shared" si="1"/>
        <v>63.4</v>
      </c>
    </row>
    <row r="175" spans="1:1" x14ac:dyDescent="0.25">
      <c r="A175">
        <f t="shared" si="1"/>
        <v>64.900000000000006</v>
      </c>
    </row>
    <row r="176" spans="1:1" x14ac:dyDescent="0.25">
      <c r="A176">
        <f t="shared" si="1"/>
        <v>66.5</v>
      </c>
    </row>
    <row r="177" spans="1:1" x14ac:dyDescent="0.25">
      <c r="A177">
        <f t="shared" si="1"/>
        <v>68.099999999999994</v>
      </c>
    </row>
    <row r="178" spans="1:1" x14ac:dyDescent="0.25">
      <c r="A178">
        <f t="shared" si="1"/>
        <v>69.8</v>
      </c>
    </row>
    <row r="179" spans="1:1" x14ac:dyDescent="0.25">
      <c r="A179">
        <f t="shared" si="1"/>
        <v>71.5</v>
      </c>
    </row>
    <row r="180" spans="1:1" x14ac:dyDescent="0.25">
      <c r="A180">
        <f t="shared" si="1"/>
        <v>73.2</v>
      </c>
    </row>
    <row r="181" spans="1:1" x14ac:dyDescent="0.25">
      <c r="A181">
        <f t="shared" si="1"/>
        <v>75</v>
      </c>
    </row>
    <row r="182" spans="1:1" x14ac:dyDescent="0.25">
      <c r="A182">
        <f t="shared" si="1"/>
        <v>76.8</v>
      </c>
    </row>
    <row r="183" spans="1:1" x14ac:dyDescent="0.25">
      <c r="A183">
        <f t="shared" si="1"/>
        <v>78.7</v>
      </c>
    </row>
    <row r="184" spans="1:1" x14ac:dyDescent="0.25">
      <c r="A184">
        <f t="shared" si="1"/>
        <v>80.599999999999994</v>
      </c>
    </row>
    <row r="185" spans="1:1" x14ac:dyDescent="0.25">
      <c r="A185">
        <f t="shared" si="1"/>
        <v>82.5</v>
      </c>
    </row>
    <row r="186" spans="1:1" x14ac:dyDescent="0.25">
      <c r="A186">
        <f t="shared" si="1"/>
        <v>84.5</v>
      </c>
    </row>
    <row r="187" spans="1:1" x14ac:dyDescent="0.25">
      <c r="A187">
        <f t="shared" si="1"/>
        <v>86.6</v>
      </c>
    </row>
    <row r="188" spans="1:1" x14ac:dyDescent="0.25">
      <c r="A188">
        <f t="shared" si="1"/>
        <v>88.700000000000017</v>
      </c>
    </row>
    <row r="189" spans="1:1" x14ac:dyDescent="0.25">
      <c r="A189">
        <f t="shared" si="1"/>
        <v>90.9</v>
      </c>
    </row>
    <row r="190" spans="1:1" x14ac:dyDescent="0.25">
      <c r="A190">
        <f t="shared" si="1"/>
        <v>93.1</v>
      </c>
    </row>
    <row r="191" spans="1:1" x14ac:dyDescent="0.25">
      <c r="A191">
        <f t="shared" si="1"/>
        <v>95.3</v>
      </c>
    </row>
    <row r="192" spans="1:1" x14ac:dyDescent="0.25">
      <c r="A192">
        <f t="shared" si="1"/>
        <v>97.6</v>
      </c>
    </row>
    <row r="193" spans="1:1" x14ac:dyDescent="0.25">
      <c r="A193">
        <f t="shared" si="1"/>
        <v>100</v>
      </c>
    </row>
    <row r="194" spans="1:1" x14ac:dyDescent="0.25">
      <c r="A194">
        <f t="shared" si="1"/>
        <v>102</v>
      </c>
    </row>
    <row r="195" spans="1:1" x14ac:dyDescent="0.25">
      <c r="A195">
        <f t="shared" si="1"/>
        <v>105</v>
      </c>
    </row>
    <row r="196" spans="1:1" x14ac:dyDescent="0.25">
      <c r="A196">
        <f t="shared" si="1"/>
        <v>107</v>
      </c>
    </row>
    <row r="197" spans="1:1" x14ac:dyDescent="0.25">
      <c r="A197">
        <f t="shared" si="1"/>
        <v>110</v>
      </c>
    </row>
    <row r="198" spans="1:1" x14ac:dyDescent="0.25">
      <c r="A198">
        <f t="shared" si="1"/>
        <v>113</v>
      </c>
    </row>
    <row r="199" spans="1:1" x14ac:dyDescent="0.25">
      <c r="A199">
        <f t="shared" si="1"/>
        <v>115</v>
      </c>
    </row>
    <row r="200" spans="1:1" x14ac:dyDescent="0.25">
      <c r="A200">
        <f t="shared" si="1"/>
        <v>118</v>
      </c>
    </row>
    <row r="201" spans="1:1" x14ac:dyDescent="0.25">
      <c r="A201">
        <f t="shared" si="1"/>
        <v>121</v>
      </c>
    </row>
    <row r="202" spans="1:1" x14ac:dyDescent="0.25">
      <c r="A202">
        <f t="shared" si="1"/>
        <v>124</v>
      </c>
    </row>
    <row r="203" spans="1:1" x14ac:dyDescent="0.25">
      <c r="A203">
        <f t="shared" si="1"/>
        <v>127</v>
      </c>
    </row>
    <row r="204" spans="1:1" x14ac:dyDescent="0.25">
      <c r="A204">
        <f t="shared" si="1"/>
        <v>130</v>
      </c>
    </row>
    <row r="205" spans="1:1" x14ac:dyDescent="0.25">
      <c r="A205">
        <f t="shared" si="1"/>
        <v>133</v>
      </c>
    </row>
    <row r="206" spans="1:1" x14ac:dyDescent="0.25">
      <c r="A206">
        <f t="shared" si="1"/>
        <v>137</v>
      </c>
    </row>
    <row r="207" spans="1:1" x14ac:dyDescent="0.25">
      <c r="A207">
        <f t="shared" si="1"/>
        <v>140</v>
      </c>
    </row>
    <row r="208" spans="1:1" x14ac:dyDescent="0.25">
      <c r="A208">
        <f t="shared" si="1"/>
        <v>143</v>
      </c>
    </row>
    <row r="209" spans="1:1" x14ac:dyDescent="0.25">
      <c r="A209">
        <f t="shared" si="1"/>
        <v>147</v>
      </c>
    </row>
    <row r="210" spans="1:1" x14ac:dyDescent="0.25">
      <c r="A210">
        <f t="shared" si="1"/>
        <v>150</v>
      </c>
    </row>
    <row r="211" spans="1:1" x14ac:dyDescent="0.25">
      <c r="A211">
        <f t="shared" si="1"/>
        <v>154</v>
      </c>
    </row>
    <row r="212" spans="1:1" x14ac:dyDescent="0.25">
      <c r="A212">
        <f t="shared" si="1"/>
        <v>158</v>
      </c>
    </row>
    <row r="213" spans="1:1" x14ac:dyDescent="0.25">
      <c r="A213">
        <f t="shared" si="1"/>
        <v>162</v>
      </c>
    </row>
    <row r="214" spans="1:1" x14ac:dyDescent="0.25">
      <c r="A214">
        <f t="shared" si="1"/>
        <v>165</v>
      </c>
    </row>
    <row r="215" spans="1:1" x14ac:dyDescent="0.25">
      <c r="A215">
        <f t="shared" si="1"/>
        <v>169</v>
      </c>
    </row>
    <row r="216" spans="1:1" x14ac:dyDescent="0.25">
      <c r="A216">
        <f t="shared" si="1"/>
        <v>174</v>
      </c>
    </row>
    <row r="217" spans="1:1" x14ac:dyDescent="0.25">
      <c r="A217">
        <f t="shared" si="1"/>
        <v>178</v>
      </c>
    </row>
    <row r="218" spans="1:1" x14ac:dyDescent="0.25">
      <c r="A218">
        <f t="shared" si="1"/>
        <v>182</v>
      </c>
    </row>
    <row r="219" spans="1:1" x14ac:dyDescent="0.25">
      <c r="A219">
        <f t="shared" si="1"/>
        <v>187</v>
      </c>
    </row>
    <row r="220" spans="1:1" x14ac:dyDescent="0.25">
      <c r="A220">
        <f t="shared" si="1"/>
        <v>191</v>
      </c>
    </row>
    <row r="221" spans="1:1" x14ac:dyDescent="0.25">
      <c r="A221">
        <f t="shared" si="1"/>
        <v>196</v>
      </c>
    </row>
    <row r="222" spans="1:1" x14ac:dyDescent="0.25">
      <c r="A222">
        <f t="shared" si="1"/>
        <v>200</v>
      </c>
    </row>
    <row r="223" spans="1:1" x14ac:dyDescent="0.25">
      <c r="A223">
        <f t="shared" si="1"/>
        <v>205</v>
      </c>
    </row>
    <row r="224" spans="1:1" x14ac:dyDescent="0.25">
      <c r="A224">
        <f t="shared" si="1"/>
        <v>210</v>
      </c>
    </row>
    <row r="225" spans="1:1" x14ac:dyDescent="0.25">
      <c r="A225">
        <f t="shared" si="1"/>
        <v>215</v>
      </c>
    </row>
    <row r="226" spans="1:1" x14ac:dyDescent="0.25">
      <c r="A226">
        <f t="shared" ref="A226:A289" si="2">A130*10</f>
        <v>221</v>
      </c>
    </row>
    <row r="227" spans="1:1" x14ac:dyDescent="0.25">
      <c r="A227">
        <f t="shared" si="2"/>
        <v>226</v>
      </c>
    </row>
    <row r="228" spans="1:1" x14ac:dyDescent="0.25">
      <c r="A228">
        <f t="shared" si="2"/>
        <v>232</v>
      </c>
    </row>
    <row r="229" spans="1:1" x14ac:dyDescent="0.25">
      <c r="A229">
        <f t="shared" si="2"/>
        <v>237.00000000000003</v>
      </c>
    </row>
    <row r="230" spans="1:1" x14ac:dyDescent="0.25">
      <c r="A230">
        <f t="shared" si="2"/>
        <v>243</v>
      </c>
    </row>
    <row r="231" spans="1:1" x14ac:dyDescent="0.25">
      <c r="A231">
        <f t="shared" si="2"/>
        <v>249</v>
      </c>
    </row>
    <row r="232" spans="1:1" x14ac:dyDescent="0.25">
      <c r="A232">
        <f t="shared" si="2"/>
        <v>255</v>
      </c>
    </row>
    <row r="233" spans="1:1" x14ac:dyDescent="0.25">
      <c r="A233">
        <f t="shared" si="2"/>
        <v>261</v>
      </c>
    </row>
    <row r="234" spans="1:1" x14ac:dyDescent="0.25">
      <c r="A234">
        <f t="shared" si="2"/>
        <v>267</v>
      </c>
    </row>
    <row r="235" spans="1:1" x14ac:dyDescent="0.25">
      <c r="A235">
        <f t="shared" si="2"/>
        <v>274</v>
      </c>
    </row>
    <row r="236" spans="1:1" x14ac:dyDescent="0.25">
      <c r="A236">
        <f t="shared" si="2"/>
        <v>280</v>
      </c>
    </row>
    <row r="237" spans="1:1" x14ac:dyDescent="0.25">
      <c r="A237">
        <f t="shared" si="2"/>
        <v>287</v>
      </c>
    </row>
    <row r="238" spans="1:1" x14ac:dyDescent="0.25">
      <c r="A238">
        <f t="shared" si="2"/>
        <v>294</v>
      </c>
    </row>
    <row r="239" spans="1:1" x14ac:dyDescent="0.25">
      <c r="A239">
        <f t="shared" si="2"/>
        <v>301</v>
      </c>
    </row>
    <row r="240" spans="1:1" x14ac:dyDescent="0.25">
      <c r="A240">
        <f t="shared" si="2"/>
        <v>309</v>
      </c>
    </row>
    <row r="241" spans="1:1" x14ac:dyDescent="0.25">
      <c r="A241">
        <f t="shared" si="2"/>
        <v>316</v>
      </c>
    </row>
    <row r="242" spans="1:1" x14ac:dyDescent="0.25">
      <c r="A242">
        <f t="shared" si="2"/>
        <v>324</v>
      </c>
    </row>
    <row r="243" spans="1:1" x14ac:dyDescent="0.25">
      <c r="A243">
        <f t="shared" si="2"/>
        <v>332</v>
      </c>
    </row>
    <row r="244" spans="1:1" x14ac:dyDescent="0.25">
      <c r="A244">
        <f t="shared" si="2"/>
        <v>340</v>
      </c>
    </row>
    <row r="245" spans="1:1" x14ac:dyDescent="0.25">
      <c r="A245">
        <f t="shared" si="2"/>
        <v>348</v>
      </c>
    </row>
    <row r="246" spans="1:1" x14ac:dyDescent="0.25">
      <c r="A246">
        <f t="shared" si="2"/>
        <v>357</v>
      </c>
    </row>
    <row r="247" spans="1:1" x14ac:dyDescent="0.25">
      <c r="A247">
        <f t="shared" si="2"/>
        <v>365</v>
      </c>
    </row>
    <row r="248" spans="1:1" x14ac:dyDescent="0.25">
      <c r="A248">
        <f t="shared" si="2"/>
        <v>374</v>
      </c>
    </row>
    <row r="249" spans="1:1" x14ac:dyDescent="0.25">
      <c r="A249">
        <f t="shared" si="2"/>
        <v>383</v>
      </c>
    </row>
    <row r="250" spans="1:1" x14ac:dyDescent="0.25">
      <c r="A250">
        <f t="shared" si="2"/>
        <v>392</v>
      </c>
    </row>
    <row r="251" spans="1:1" x14ac:dyDescent="0.25">
      <c r="A251">
        <f t="shared" si="2"/>
        <v>402</v>
      </c>
    </row>
    <row r="252" spans="1:1" x14ac:dyDescent="0.25">
      <c r="A252">
        <f t="shared" si="2"/>
        <v>412</v>
      </c>
    </row>
    <row r="253" spans="1:1" x14ac:dyDescent="0.25">
      <c r="A253">
        <f t="shared" si="2"/>
        <v>422</v>
      </c>
    </row>
    <row r="254" spans="1:1" x14ac:dyDescent="0.25">
      <c r="A254">
        <f t="shared" si="2"/>
        <v>432</v>
      </c>
    </row>
    <row r="255" spans="1:1" x14ac:dyDescent="0.25">
      <c r="A255">
        <f t="shared" si="2"/>
        <v>442</v>
      </c>
    </row>
    <row r="256" spans="1:1" x14ac:dyDescent="0.25">
      <c r="A256">
        <f t="shared" si="2"/>
        <v>453</v>
      </c>
    </row>
    <row r="257" spans="1:1" x14ac:dyDescent="0.25">
      <c r="A257">
        <f t="shared" si="2"/>
        <v>464</v>
      </c>
    </row>
    <row r="258" spans="1:1" x14ac:dyDescent="0.25">
      <c r="A258">
        <f t="shared" si="2"/>
        <v>475</v>
      </c>
    </row>
    <row r="259" spans="1:1" x14ac:dyDescent="0.25">
      <c r="A259">
        <f t="shared" si="2"/>
        <v>487</v>
      </c>
    </row>
    <row r="260" spans="1:1" x14ac:dyDescent="0.25">
      <c r="A260">
        <f t="shared" si="2"/>
        <v>499.00000000000006</v>
      </c>
    </row>
    <row r="261" spans="1:1" x14ac:dyDescent="0.25">
      <c r="A261">
        <f t="shared" si="2"/>
        <v>511</v>
      </c>
    </row>
    <row r="262" spans="1:1" x14ac:dyDescent="0.25">
      <c r="A262">
        <f t="shared" si="2"/>
        <v>523</v>
      </c>
    </row>
    <row r="263" spans="1:1" x14ac:dyDescent="0.25">
      <c r="A263">
        <f t="shared" si="2"/>
        <v>536</v>
      </c>
    </row>
    <row r="264" spans="1:1" x14ac:dyDescent="0.25">
      <c r="A264">
        <f t="shared" si="2"/>
        <v>549</v>
      </c>
    </row>
    <row r="265" spans="1:1" x14ac:dyDescent="0.25">
      <c r="A265">
        <f t="shared" si="2"/>
        <v>562</v>
      </c>
    </row>
    <row r="266" spans="1:1" x14ac:dyDescent="0.25">
      <c r="A266">
        <f t="shared" si="2"/>
        <v>576</v>
      </c>
    </row>
    <row r="267" spans="1:1" x14ac:dyDescent="0.25">
      <c r="A267">
        <f t="shared" si="2"/>
        <v>590</v>
      </c>
    </row>
    <row r="268" spans="1:1" x14ac:dyDescent="0.25">
      <c r="A268">
        <f t="shared" si="2"/>
        <v>604</v>
      </c>
    </row>
    <row r="269" spans="1:1" x14ac:dyDescent="0.25">
      <c r="A269">
        <f t="shared" si="2"/>
        <v>618.99999999999989</v>
      </c>
    </row>
    <row r="270" spans="1:1" x14ac:dyDescent="0.25">
      <c r="A270">
        <f t="shared" si="2"/>
        <v>634</v>
      </c>
    </row>
    <row r="271" spans="1:1" x14ac:dyDescent="0.25">
      <c r="A271">
        <f t="shared" si="2"/>
        <v>649</v>
      </c>
    </row>
    <row r="272" spans="1:1" x14ac:dyDescent="0.25">
      <c r="A272">
        <f t="shared" si="2"/>
        <v>665</v>
      </c>
    </row>
    <row r="273" spans="1:1" x14ac:dyDescent="0.25">
      <c r="A273">
        <f t="shared" si="2"/>
        <v>681</v>
      </c>
    </row>
    <row r="274" spans="1:1" x14ac:dyDescent="0.25">
      <c r="A274">
        <f t="shared" si="2"/>
        <v>698</v>
      </c>
    </row>
    <row r="275" spans="1:1" x14ac:dyDescent="0.25">
      <c r="A275">
        <f t="shared" si="2"/>
        <v>715</v>
      </c>
    </row>
    <row r="276" spans="1:1" x14ac:dyDescent="0.25">
      <c r="A276">
        <f t="shared" si="2"/>
        <v>732</v>
      </c>
    </row>
    <row r="277" spans="1:1" x14ac:dyDescent="0.25">
      <c r="A277">
        <f t="shared" si="2"/>
        <v>750</v>
      </c>
    </row>
    <row r="278" spans="1:1" x14ac:dyDescent="0.25">
      <c r="A278">
        <f t="shared" si="2"/>
        <v>768</v>
      </c>
    </row>
    <row r="279" spans="1:1" x14ac:dyDescent="0.25">
      <c r="A279">
        <f t="shared" si="2"/>
        <v>787</v>
      </c>
    </row>
    <row r="280" spans="1:1" x14ac:dyDescent="0.25">
      <c r="A280">
        <f t="shared" si="2"/>
        <v>806</v>
      </c>
    </row>
    <row r="281" spans="1:1" x14ac:dyDescent="0.25">
      <c r="A281">
        <f t="shared" si="2"/>
        <v>825</v>
      </c>
    </row>
    <row r="282" spans="1:1" x14ac:dyDescent="0.25">
      <c r="A282">
        <f t="shared" si="2"/>
        <v>845</v>
      </c>
    </row>
    <row r="283" spans="1:1" x14ac:dyDescent="0.25">
      <c r="A283">
        <f t="shared" si="2"/>
        <v>866</v>
      </c>
    </row>
    <row r="284" spans="1:1" x14ac:dyDescent="0.25">
      <c r="A284">
        <f t="shared" si="2"/>
        <v>887.00000000000023</v>
      </c>
    </row>
    <row r="285" spans="1:1" x14ac:dyDescent="0.25">
      <c r="A285">
        <f t="shared" si="2"/>
        <v>909</v>
      </c>
    </row>
    <row r="286" spans="1:1" x14ac:dyDescent="0.25">
      <c r="A286">
        <f t="shared" si="2"/>
        <v>931</v>
      </c>
    </row>
    <row r="287" spans="1:1" x14ac:dyDescent="0.25">
      <c r="A287">
        <f t="shared" si="2"/>
        <v>953</v>
      </c>
    </row>
    <row r="288" spans="1:1" x14ac:dyDescent="0.25">
      <c r="A288">
        <f t="shared" si="2"/>
        <v>976</v>
      </c>
    </row>
    <row r="289" spans="1:1" x14ac:dyDescent="0.25">
      <c r="A289">
        <f t="shared" si="2"/>
        <v>1000</v>
      </c>
    </row>
    <row r="290" spans="1:1" x14ac:dyDescent="0.25">
      <c r="A290">
        <f t="shared" ref="A290:A353" si="3">A194*10</f>
        <v>1020</v>
      </c>
    </row>
    <row r="291" spans="1:1" x14ac:dyDescent="0.25">
      <c r="A291">
        <f t="shared" si="3"/>
        <v>1050</v>
      </c>
    </row>
    <row r="292" spans="1:1" x14ac:dyDescent="0.25">
      <c r="A292">
        <f t="shared" si="3"/>
        <v>1070</v>
      </c>
    </row>
    <row r="293" spans="1:1" x14ac:dyDescent="0.25">
      <c r="A293">
        <f t="shared" si="3"/>
        <v>1100</v>
      </c>
    </row>
    <row r="294" spans="1:1" x14ac:dyDescent="0.25">
      <c r="A294">
        <f t="shared" si="3"/>
        <v>1130</v>
      </c>
    </row>
    <row r="295" spans="1:1" x14ac:dyDescent="0.25">
      <c r="A295">
        <f t="shared" si="3"/>
        <v>1150</v>
      </c>
    </row>
    <row r="296" spans="1:1" x14ac:dyDescent="0.25">
      <c r="A296">
        <f t="shared" si="3"/>
        <v>1180</v>
      </c>
    </row>
    <row r="297" spans="1:1" x14ac:dyDescent="0.25">
      <c r="A297">
        <f t="shared" si="3"/>
        <v>1210</v>
      </c>
    </row>
    <row r="298" spans="1:1" x14ac:dyDescent="0.25">
      <c r="A298">
        <f t="shared" si="3"/>
        <v>1240</v>
      </c>
    </row>
    <row r="299" spans="1:1" x14ac:dyDescent="0.25">
      <c r="A299">
        <f t="shared" si="3"/>
        <v>1270</v>
      </c>
    </row>
    <row r="300" spans="1:1" x14ac:dyDescent="0.25">
      <c r="A300">
        <f t="shared" si="3"/>
        <v>1300</v>
      </c>
    </row>
    <row r="301" spans="1:1" x14ac:dyDescent="0.25">
      <c r="A301">
        <f t="shared" si="3"/>
        <v>1330</v>
      </c>
    </row>
    <row r="302" spans="1:1" x14ac:dyDescent="0.25">
      <c r="A302">
        <f t="shared" si="3"/>
        <v>1370</v>
      </c>
    </row>
    <row r="303" spans="1:1" x14ac:dyDescent="0.25">
      <c r="A303">
        <f t="shared" si="3"/>
        <v>1400</v>
      </c>
    </row>
    <row r="304" spans="1:1" x14ac:dyDescent="0.25">
      <c r="A304">
        <f t="shared" si="3"/>
        <v>1430</v>
      </c>
    </row>
    <row r="305" spans="1:1" x14ac:dyDescent="0.25">
      <c r="A305">
        <f t="shared" si="3"/>
        <v>1470</v>
      </c>
    </row>
    <row r="306" spans="1:1" x14ac:dyDescent="0.25">
      <c r="A306">
        <f t="shared" si="3"/>
        <v>1500</v>
      </c>
    </row>
    <row r="307" spans="1:1" x14ac:dyDescent="0.25">
      <c r="A307">
        <f t="shared" si="3"/>
        <v>1540</v>
      </c>
    </row>
    <row r="308" spans="1:1" x14ac:dyDescent="0.25">
      <c r="A308">
        <f t="shared" si="3"/>
        <v>1580</v>
      </c>
    </row>
    <row r="309" spans="1:1" x14ac:dyDescent="0.25">
      <c r="A309">
        <f t="shared" si="3"/>
        <v>1620</v>
      </c>
    </row>
    <row r="310" spans="1:1" x14ac:dyDescent="0.25">
      <c r="A310">
        <f t="shared" si="3"/>
        <v>1650</v>
      </c>
    </row>
    <row r="311" spans="1:1" x14ac:dyDescent="0.25">
      <c r="A311">
        <f t="shared" si="3"/>
        <v>1690</v>
      </c>
    </row>
    <row r="312" spans="1:1" x14ac:dyDescent="0.25">
      <c r="A312">
        <f t="shared" si="3"/>
        <v>1740</v>
      </c>
    </row>
    <row r="313" spans="1:1" x14ac:dyDescent="0.25">
      <c r="A313">
        <f t="shared" si="3"/>
        <v>1780</v>
      </c>
    </row>
    <row r="314" spans="1:1" x14ac:dyDescent="0.25">
      <c r="A314">
        <f t="shared" si="3"/>
        <v>1820</v>
      </c>
    </row>
    <row r="315" spans="1:1" x14ac:dyDescent="0.25">
      <c r="A315">
        <f t="shared" si="3"/>
        <v>1870</v>
      </c>
    </row>
    <row r="316" spans="1:1" x14ac:dyDescent="0.25">
      <c r="A316">
        <f t="shared" si="3"/>
        <v>1910</v>
      </c>
    </row>
    <row r="317" spans="1:1" x14ac:dyDescent="0.25">
      <c r="A317">
        <f t="shared" si="3"/>
        <v>1960</v>
      </c>
    </row>
    <row r="318" spans="1:1" x14ac:dyDescent="0.25">
      <c r="A318">
        <f t="shared" si="3"/>
        <v>2000</v>
      </c>
    </row>
    <row r="319" spans="1:1" x14ac:dyDescent="0.25">
      <c r="A319">
        <f t="shared" si="3"/>
        <v>2050</v>
      </c>
    </row>
    <row r="320" spans="1:1" x14ac:dyDescent="0.25">
      <c r="A320">
        <f t="shared" si="3"/>
        <v>2100</v>
      </c>
    </row>
    <row r="321" spans="1:1" x14ac:dyDescent="0.25">
      <c r="A321">
        <f t="shared" si="3"/>
        <v>2150</v>
      </c>
    </row>
    <row r="322" spans="1:1" x14ac:dyDescent="0.25">
      <c r="A322">
        <f t="shared" si="3"/>
        <v>2210</v>
      </c>
    </row>
    <row r="323" spans="1:1" x14ac:dyDescent="0.25">
      <c r="A323">
        <f t="shared" si="3"/>
        <v>2260</v>
      </c>
    </row>
    <row r="324" spans="1:1" x14ac:dyDescent="0.25">
      <c r="A324">
        <f t="shared" si="3"/>
        <v>2320</v>
      </c>
    </row>
    <row r="325" spans="1:1" x14ac:dyDescent="0.25">
      <c r="A325">
        <f t="shared" si="3"/>
        <v>2370.0000000000005</v>
      </c>
    </row>
    <row r="326" spans="1:1" x14ac:dyDescent="0.25">
      <c r="A326">
        <f t="shared" si="3"/>
        <v>2430</v>
      </c>
    </row>
    <row r="327" spans="1:1" x14ac:dyDescent="0.25">
      <c r="A327">
        <f t="shared" si="3"/>
        <v>2490</v>
      </c>
    </row>
    <row r="328" spans="1:1" x14ac:dyDescent="0.25">
      <c r="A328">
        <f t="shared" si="3"/>
        <v>2550</v>
      </c>
    </row>
    <row r="329" spans="1:1" x14ac:dyDescent="0.25">
      <c r="A329">
        <f t="shared" si="3"/>
        <v>2610</v>
      </c>
    </row>
    <row r="330" spans="1:1" x14ac:dyDescent="0.25">
      <c r="A330">
        <f t="shared" si="3"/>
        <v>2670</v>
      </c>
    </row>
    <row r="331" spans="1:1" x14ac:dyDescent="0.25">
      <c r="A331">
        <f t="shared" si="3"/>
        <v>2740</v>
      </c>
    </row>
    <row r="332" spans="1:1" x14ac:dyDescent="0.25">
      <c r="A332">
        <f t="shared" si="3"/>
        <v>2800</v>
      </c>
    </row>
    <row r="333" spans="1:1" x14ac:dyDescent="0.25">
      <c r="A333">
        <f t="shared" si="3"/>
        <v>2870</v>
      </c>
    </row>
    <row r="334" spans="1:1" x14ac:dyDescent="0.25">
      <c r="A334">
        <f t="shared" si="3"/>
        <v>2940</v>
      </c>
    </row>
    <row r="335" spans="1:1" x14ac:dyDescent="0.25">
      <c r="A335">
        <f t="shared" si="3"/>
        <v>3010</v>
      </c>
    </row>
    <row r="336" spans="1:1" x14ac:dyDescent="0.25">
      <c r="A336">
        <f t="shared" si="3"/>
        <v>3090</v>
      </c>
    </row>
    <row r="337" spans="1:1" x14ac:dyDescent="0.25">
      <c r="A337">
        <f t="shared" si="3"/>
        <v>3160</v>
      </c>
    </row>
    <row r="338" spans="1:1" x14ac:dyDescent="0.25">
      <c r="A338">
        <f t="shared" si="3"/>
        <v>3240</v>
      </c>
    </row>
    <row r="339" spans="1:1" x14ac:dyDescent="0.25">
      <c r="A339">
        <f t="shared" si="3"/>
        <v>3320</v>
      </c>
    </row>
    <row r="340" spans="1:1" x14ac:dyDescent="0.25">
      <c r="A340">
        <f t="shared" si="3"/>
        <v>3400</v>
      </c>
    </row>
    <row r="341" spans="1:1" x14ac:dyDescent="0.25">
      <c r="A341">
        <f t="shared" si="3"/>
        <v>3480</v>
      </c>
    </row>
    <row r="342" spans="1:1" x14ac:dyDescent="0.25">
      <c r="A342">
        <f t="shared" si="3"/>
        <v>3570</v>
      </c>
    </row>
    <row r="343" spans="1:1" x14ac:dyDescent="0.25">
      <c r="A343">
        <f t="shared" si="3"/>
        <v>3650</v>
      </c>
    </row>
    <row r="344" spans="1:1" x14ac:dyDescent="0.25">
      <c r="A344">
        <f t="shared" si="3"/>
        <v>3740</v>
      </c>
    </row>
    <row r="345" spans="1:1" x14ac:dyDescent="0.25">
      <c r="A345">
        <f t="shared" si="3"/>
        <v>3830</v>
      </c>
    </row>
    <row r="346" spans="1:1" x14ac:dyDescent="0.25">
      <c r="A346">
        <f t="shared" si="3"/>
        <v>3920</v>
      </c>
    </row>
    <row r="347" spans="1:1" x14ac:dyDescent="0.25">
      <c r="A347">
        <f t="shared" si="3"/>
        <v>4020</v>
      </c>
    </row>
    <row r="348" spans="1:1" x14ac:dyDescent="0.25">
      <c r="A348">
        <f t="shared" si="3"/>
        <v>4120</v>
      </c>
    </row>
    <row r="349" spans="1:1" x14ac:dyDescent="0.25">
      <c r="A349">
        <f t="shared" si="3"/>
        <v>4220</v>
      </c>
    </row>
    <row r="350" spans="1:1" x14ac:dyDescent="0.25">
      <c r="A350">
        <f t="shared" si="3"/>
        <v>4320</v>
      </c>
    </row>
    <row r="351" spans="1:1" x14ac:dyDescent="0.25">
      <c r="A351">
        <f t="shared" si="3"/>
        <v>4420</v>
      </c>
    </row>
    <row r="352" spans="1:1" x14ac:dyDescent="0.25">
      <c r="A352">
        <f t="shared" si="3"/>
        <v>4530</v>
      </c>
    </row>
    <row r="353" spans="1:1" x14ac:dyDescent="0.25">
      <c r="A353">
        <f t="shared" si="3"/>
        <v>4640</v>
      </c>
    </row>
    <row r="354" spans="1:1" x14ac:dyDescent="0.25">
      <c r="A354">
        <f t="shared" ref="A354:A417" si="4">A258*10</f>
        <v>4750</v>
      </c>
    </row>
    <row r="355" spans="1:1" x14ac:dyDescent="0.25">
      <c r="A355">
        <f t="shared" si="4"/>
        <v>4870</v>
      </c>
    </row>
    <row r="356" spans="1:1" x14ac:dyDescent="0.25">
      <c r="A356">
        <f t="shared" si="4"/>
        <v>4990.0000000000009</v>
      </c>
    </row>
    <row r="357" spans="1:1" x14ac:dyDescent="0.25">
      <c r="A357">
        <f t="shared" si="4"/>
        <v>5110</v>
      </c>
    </row>
    <row r="358" spans="1:1" x14ac:dyDescent="0.25">
      <c r="A358">
        <f t="shared" si="4"/>
        <v>5230</v>
      </c>
    </row>
    <row r="359" spans="1:1" x14ac:dyDescent="0.25">
      <c r="A359">
        <f t="shared" si="4"/>
        <v>5360</v>
      </c>
    </row>
    <row r="360" spans="1:1" x14ac:dyDescent="0.25">
      <c r="A360">
        <f t="shared" si="4"/>
        <v>5490</v>
      </c>
    </row>
    <row r="361" spans="1:1" x14ac:dyDescent="0.25">
      <c r="A361">
        <f t="shared" si="4"/>
        <v>5620</v>
      </c>
    </row>
    <row r="362" spans="1:1" x14ac:dyDescent="0.25">
      <c r="A362">
        <f t="shared" si="4"/>
        <v>5760</v>
      </c>
    </row>
    <row r="363" spans="1:1" x14ac:dyDescent="0.25">
      <c r="A363">
        <f t="shared" si="4"/>
        <v>5900</v>
      </c>
    </row>
    <row r="364" spans="1:1" x14ac:dyDescent="0.25">
      <c r="A364">
        <f t="shared" si="4"/>
        <v>6040</v>
      </c>
    </row>
    <row r="365" spans="1:1" x14ac:dyDescent="0.25">
      <c r="A365">
        <f t="shared" si="4"/>
        <v>6189.9999999999991</v>
      </c>
    </row>
    <row r="366" spans="1:1" x14ac:dyDescent="0.25">
      <c r="A366">
        <f t="shared" si="4"/>
        <v>6340</v>
      </c>
    </row>
    <row r="367" spans="1:1" x14ac:dyDescent="0.25">
      <c r="A367">
        <f t="shared" si="4"/>
        <v>6490</v>
      </c>
    </row>
    <row r="368" spans="1:1" x14ac:dyDescent="0.25">
      <c r="A368">
        <f t="shared" si="4"/>
        <v>6650</v>
      </c>
    </row>
    <row r="369" spans="1:1" x14ac:dyDescent="0.25">
      <c r="A369">
        <f t="shared" si="4"/>
        <v>6810</v>
      </c>
    </row>
    <row r="370" spans="1:1" x14ac:dyDescent="0.25">
      <c r="A370">
        <f t="shared" si="4"/>
        <v>6980</v>
      </c>
    </row>
    <row r="371" spans="1:1" x14ac:dyDescent="0.25">
      <c r="A371">
        <f t="shared" si="4"/>
        <v>7150</v>
      </c>
    </row>
    <row r="372" spans="1:1" x14ac:dyDescent="0.25">
      <c r="A372">
        <f t="shared" si="4"/>
        <v>7320</v>
      </c>
    </row>
    <row r="373" spans="1:1" x14ac:dyDescent="0.25">
      <c r="A373">
        <f t="shared" si="4"/>
        <v>7500</v>
      </c>
    </row>
    <row r="374" spans="1:1" x14ac:dyDescent="0.25">
      <c r="A374">
        <f t="shared" si="4"/>
        <v>7680</v>
      </c>
    </row>
    <row r="375" spans="1:1" x14ac:dyDescent="0.25">
      <c r="A375">
        <f t="shared" si="4"/>
        <v>7870</v>
      </c>
    </row>
    <row r="376" spans="1:1" x14ac:dyDescent="0.25">
      <c r="A376">
        <f t="shared" si="4"/>
        <v>8060</v>
      </c>
    </row>
    <row r="377" spans="1:1" x14ac:dyDescent="0.25">
      <c r="A377">
        <f t="shared" si="4"/>
        <v>8250</v>
      </c>
    </row>
    <row r="378" spans="1:1" x14ac:dyDescent="0.25">
      <c r="A378">
        <f t="shared" si="4"/>
        <v>8450</v>
      </c>
    </row>
    <row r="379" spans="1:1" x14ac:dyDescent="0.25">
      <c r="A379">
        <f t="shared" si="4"/>
        <v>8660</v>
      </c>
    </row>
    <row r="380" spans="1:1" x14ac:dyDescent="0.25">
      <c r="A380">
        <f t="shared" si="4"/>
        <v>8870.0000000000018</v>
      </c>
    </row>
    <row r="381" spans="1:1" x14ac:dyDescent="0.25">
      <c r="A381">
        <f t="shared" si="4"/>
        <v>9090</v>
      </c>
    </row>
    <row r="382" spans="1:1" x14ac:dyDescent="0.25">
      <c r="A382">
        <f t="shared" si="4"/>
        <v>9310</v>
      </c>
    </row>
    <row r="383" spans="1:1" x14ac:dyDescent="0.25">
      <c r="A383">
        <f t="shared" si="4"/>
        <v>9530</v>
      </c>
    </row>
    <row r="384" spans="1:1" x14ac:dyDescent="0.25">
      <c r="A384">
        <f t="shared" si="4"/>
        <v>9760</v>
      </c>
    </row>
    <row r="385" spans="1:1" x14ac:dyDescent="0.25">
      <c r="A385">
        <f t="shared" si="4"/>
        <v>10000</v>
      </c>
    </row>
    <row r="386" spans="1:1" x14ac:dyDescent="0.25">
      <c r="A386">
        <f t="shared" si="4"/>
        <v>10200</v>
      </c>
    </row>
    <row r="387" spans="1:1" x14ac:dyDescent="0.25">
      <c r="A387">
        <f t="shared" si="4"/>
        <v>10500</v>
      </c>
    </row>
    <row r="388" spans="1:1" x14ac:dyDescent="0.25">
      <c r="A388">
        <f t="shared" si="4"/>
        <v>10700</v>
      </c>
    </row>
    <row r="389" spans="1:1" x14ac:dyDescent="0.25">
      <c r="A389">
        <f t="shared" si="4"/>
        <v>11000</v>
      </c>
    </row>
    <row r="390" spans="1:1" x14ac:dyDescent="0.25">
      <c r="A390">
        <f t="shared" si="4"/>
        <v>11300</v>
      </c>
    </row>
    <row r="391" spans="1:1" x14ac:dyDescent="0.25">
      <c r="A391">
        <f t="shared" si="4"/>
        <v>11500</v>
      </c>
    </row>
    <row r="392" spans="1:1" x14ac:dyDescent="0.25">
      <c r="A392">
        <f t="shared" si="4"/>
        <v>11800</v>
      </c>
    </row>
    <row r="393" spans="1:1" x14ac:dyDescent="0.25">
      <c r="A393">
        <f t="shared" si="4"/>
        <v>12100</v>
      </c>
    </row>
    <row r="394" spans="1:1" x14ac:dyDescent="0.25">
      <c r="A394">
        <f t="shared" si="4"/>
        <v>12400</v>
      </c>
    </row>
    <row r="395" spans="1:1" x14ac:dyDescent="0.25">
      <c r="A395">
        <f t="shared" si="4"/>
        <v>12700</v>
      </c>
    </row>
    <row r="396" spans="1:1" x14ac:dyDescent="0.25">
      <c r="A396">
        <f t="shared" si="4"/>
        <v>13000</v>
      </c>
    </row>
    <row r="397" spans="1:1" x14ac:dyDescent="0.25">
      <c r="A397">
        <f t="shared" si="4"/>
        <v>13300</v>
      </c>
    </row>
    <row r="398" spans="1:1" x14ac:dyDescent="0.25">
      <c r="A398">
        <f t="shared" si="4"/>
        <v>13700</v>
      </c>
    </row>
    <row r="399" spans="1:1" x14ac:dyDescent="0.25">
      <c r="A399">
        <f t="shared" si="4"/>
        <v>14000</v>
      </c>
    </row>
    <row r="400" spans="1:1" x14ac:dyDescent="0.25">
      <c r="A400">
        <f t="shared" si="4"/>
        <v>14300</v>
      </c>
    </row>
    <row r="401" spans="1:1" x14ac:dyDescent="0.25">
      <c r="A401">
        <f t="shared" si="4"/>
        <v>14700</v>
      </c>
    </row>
    <row r="402" spans="1:1" x14ac:dyDescent="0.25">
      <c r="A402">
        <f t="shared" si="4"/>
        <v>15000</v>
      </c>
    </row>
    <row r="403" spans="1:1" x14ac:dyDescent="0.25">
      <c r="A403">
        <f t="shared" si="4"/>
        <v>15400</v>
      </c>
    </row>
    <row r="404" spans="1:1" x14ac:dyDescent="0.25">
      <c r="A404">
        <f t="shared" si="4"/>
        <v>15800</v>
      </c>
    </row>
    <row r="405" spans="1:1" x14ac:dyDescent="0.25">
      <c r="A405">
        <f t="shared" si="4"/>
        <v>16200</v>
      </c>
    </row>
    <row r="406" spans="1:1" x14ac:dyDescent="0.25">
      <c r="A406">
        <f t="shared" si="4"/>
        <v>16500</v>
      </c>
    </row>
    <row r="407" spans="1:1" x14ac:dyDescent="0.25">
      <c r="A407">
        <f t="shared" si="4"/>
        <v>16900</v>
      </c>
    </row>
    <row r="408" spans="1:1" x14ac:dyDescent="0.25">
      <c r="A408">
        <f t="shared" si="4"/>
        <v>17400</v>
      </c>
    </row>
    <row r="409" spans="1:1" x14ac:dyDescent="0.25">
      <c r="A409">
        <f t="shared" si="4"/>
        <v>17800</v>
      </c>
    </row>
    <row r="410" spans="1:1" x14ac:dyDescent="0.25">
      <c r="A410">
        <f t="shared" si="4"/>
        <v>18200</v>
      </c>
    </row>
    <row r="411" spans="1:1" x14ac:dyDescent="0.25">
      <c r="A411">
        <f t="shared" si="4"/>
        <v>18700</v>
      </c>
    </row>
    <row r="412" spans="1:1" x14ac:dyDescent="0.25">
      <c r="A412">
        <f t="shared" si="4"/>
        <v>19100</v>
      </c>
    </row>
    <row r="413" spans="1:1" x14ac:dyDescent="0.25">
      <c r="A413">
        <f t="shared" si="4"/>
        <v>19600</v>
      </c>
    </row>
    <row r="414" spans="1:1" x14ac:dyDescent="0.25">
      <c r="A414">
        <f t="shared" si="4"/>
        <v>20000</v>
      </c>
    </row>
    <row r="415" spans="1:1" x14ac:dyDescent="0.25">
      <c r="A415">
        <f t="shared" si="4"/>
        <v>20500</v>
      </c>
    </row>
    <row r="416" spans="1:1" x14ac:dyDescent="0.25">
      <c r="A416">
        <f t="shared" si="4"/>
        <v>21000</v>
      </c>
    </row>
    <row r="417" spans="1:1" x14ac:dyDescent="0.25">
      <c r="A417">
        <f t="shared" si="4"/>
        <v>21500</v>
      </c>
    </row>
    <row r="418" spans="1:1" x14ac:dyDescent="0.25">
      <c r="A418">
        <f t="shared" ref="A418:A481" si="5">A322*10</f>
        <v>22100</v>
      </c>
    </row>
    <row r="419" spans="1:1" x14ac:dyDescent="0.25">
      <c r="A419">
        <f t="shared" si="5"/>
        <v>22600</v>
      </c>
    </row>
    <row r="420" spans="1:1" x14ac:dyDescent="0.25">
      <c r="A420">
        <f t="shared" si="5"/>
        <v>23200</v>
      </c>
    </row>
    <row r="421" spans="1:1" x14ac:dyDescent="0.25">
      <c r="A421">
        <f t="shared" si="5"/>
        <v>23700.000000000004</v>
      </c>
    </row>
    <row r="422" spans="1:1" x14ac:dyDescent="0.25">
      <c r="A422">
        <f t="shared" si="5"/>
        <v>24300</v>
      </c>
    </row>
    <row r="423" spans="1:1" x14ac:dyDescent="0.25">
      <c r="A423">
        <f t="shared" si="5"/>
        <v>24900</v>
      </c>
    </row>
    <row r="424" spans="1:1" x14ac:dyDescent="0.25">
      <c r="A424">
        <f t="shared" si="5"/>
        <v>25500</v>
      </c>
    </row>
    <row r="425" spans="1:1" x14ac:dyDescent="0.25">
      <c r="A425">
        <f t="shared" si="5"/>
        <v>26100</v>
      </c>
    </row>
    <row r="426" spans="1:1" x14ac:dyDescent="0.25">
      <c r="A426">
        <f t="shared" si="5"/>
        <v>26700</v>
      </c>
    </row>
    <row r="427" spans="1:1" x14ac:dyDescent="0.25">
      <c r="A427">
        <f t="shared" si="5"/>
        <v>27400</v>
      </c>
    </row>
    <row r="428" spans="1:1" x14ac:dyDescent="0.25">
      <c r="A428">
        <f t="shared" si="5"/>
        <v>28000</v>
      </c>
    </row>
    <row r="429" spans="1:1" x14ac:dyDescent="0.25">
      <c r="A429">
        <f t="shared" si="5"/>
        <v>28700</v>
      </c>
    </row>
    <row r="430" spans="1:1" x14ac:dyDescent="0.25">
      <c r="A430">
        <f t="shared" si="5"/>
        <v>29400</v>
      </c>
    </row>
    <row r="431" spans="1:1" x14ac:dyDescent="0.25">
      <c r="A431">
        <f t="shared" si="5"/>
        <v>30100</v>
      </c>
    </row>
    <row r="432" spans="1:1" x14ac:dyDescent="0.25">
      <c r="A432">
        <f t="shared" si="5"/>
        <v>30900</v>
      </c>
    </row>
    <row r="433" spans="1:1" x14ac:dyDescent="0.25">
      <c r="A433">
        <f t="shared" si="5"/>
        <v>31600</v>
      </c>
    </row>
    <row r="434" spans="1:1" x14ac:dyDescent="0.25">
      <c r="A434">
        <f t="shared" si="5"/>
        <v>32400</v>
      </c>
    </row>
    <row r="435" spans="1:1" x14ac:dyDescent="0.25">
      <c r="A435">
        <f t="shared" si="5"/>
        <v>33200</v>
      </c>
    </row>
    <row r="436" spans="1:1" x14ac:dyDescent="0.25">
      <c r="A436">
        <f t="shared" si="5"/>
        <v>34000</v>
      </c>
    </row>
    <row r="437" spans="1:1" x14ac:dyDescent="0.25">
      <c r="A437">
        <f t="shared" si="5"/>
        <v>34800</v>
      </c>
    </row>
    <row r="438" spans="1:1" x14ac:dyDescent="0.25">
      <c r="A438">
        <f t="shared" si="5"/>
        <v>35700</v>
      </c>
    </row>
    <row r="439" spans="1:1" x14ac:dyDescent="0.25">
      <c r="A439">
        <f t="shared" si="5"/>
        <v>36500</v>
      </c>
    </row>
    <row r="440" spans="1:1" x14ac:dyDescent="0.25">
      <c r="A440">
        <f t="shared" si="5"/>
        <v>37400</v>
      </c>
    </row>
    <row r="441" spans="1:1" x14ac:dyDescent="0.25">
      <c r="A441">
        <f t="shared" si="5"/>
        <v>38300</v>
      </c>
    </row>
    <row r="442" spans="1:1" x14ac:dyDescent="0.25">
      <c r="A442">
        <f t="shared" si="5"/>
        <v>39200</v>
      </c>
    </row>
    <row r="443" spans="1:1" x14ac:dyDescent="0.25">
      <c r="A443">
        <f t="shared" si="5"/>
        <v>40200</v>
      </c>
    </row>
    <row r="444" spans="1:1" x14ac:dyDescent="0.25">
      <c r="A444">
        <f t="shared" si="5"/>
        <v>41200</v>
      </c>
    </row>
    <row r="445" spans="1:1" x14ac:dyDescent="0.25">
      <c r="A445">
        <f t="shared" si="5"/>
        <v>42200</v>
      </c>
    </row>
    <row r="446" spans="1:1" x14ac:dyDescent="0.25">
      <c r="A446">
        <f t="shared" si="5"/>
        <v>43200</v>
      </c>
    </row>
    <row r="447" spans="1:1" x14ac:dyDescent="0.25">
      <c r="A447">
        <f t="shared" si="5"/>
        <v>44200</v>
      </c>
    </row>
    <row r="448" spans="1:1" x14ac:dyDescent="0.25">
      <c r="A448">
        <f t="shared" si="5"/>
        <v>45300</v>
      </c>
    </row>
    <row r="449" spans="1:1" x14ac:dyDescent="0.25">
      <c r="A449">
        <f t="shared" si="5"/>
        <v>46400</v>
      </c>
    </row>
    <row r="450" spans="1:1" x14ac:dyDescent="0.25">
      <c r="A450">
        <f t="shared" si="5"/>
        <v>47500</v>
      </c>
    </row>
    <row r="451" spans="1:1" x14ac:dyDescent="0.25">
      <c r="A451">
        <f t="shared" si="5"/>
        <v>48700</v>
      </c>
    </row>
    <row r="452" spans="1:1" x14ac:dyDescent="0.25">
      <c r="A452">
        <f t="shared" si="5"/>
        <v>49900.000000000007</v>
      </c>
    </row>
    <row r="453" spans="1:1" x14ac:dyDescent="0.25">
      <c r="A453">
        <f t="shared" si="5"/>
        <v>51100</v>
      </c>
    </row>
    <row r="454" spans="1:1" x14ac:dyDescent="0.25">
      <c r="A454">
        <f t="shared" si="5"/>
        <v>52300</v>
      </c>
    </row>
    <row r="455" spans="1:1" x14ac:dyDescent="0.25">
      <c r="A455">
        <f t="shared" si="5"/>
        <v>53600</v>
      </c>
    </row>
    <row r="456" spans="1:1" x14ac:dyDescent="0.25">
      <c r="A456">
        <f t="shared" si="5"/>
        <v>54900</v>
      </c>
    </row>
    <row r="457" spans="1:1" x14ac:dyDescent="0.25">
      <c r="A457">
        <f t="shared" si="5"/>
        <v>56200</v>
      </c>
    </row>
    <row r="458" spans="1:1" x14ac:dyDescent="0.25">
      <c r="A458">
        <f t="shared" si="5"/>
        <v>57600</v>
      </c>
    </row>
    <row r="459" spans="1:1" x14ac:dyDescent="0.25">
      <c r="A459">
        <f t="shared" si="5"/>
        <v>59000</v>
      </c>
    </row>
    <row r="460" spans="1:1" x14ac:dyDescent="0.25">
      <c r="A460">
        <f t="shared" si="5"/>
        <v>60400</v>
      </c>
    </row>
    <row r="461" spans="1:1" x14ac:dyDescent="0.25">
      <c r="A461">
        <f t="shared" si="5"/>
        <v>61899.999999999993</v>
      </c>
    </row>
    <row r="462" spans="1:1" x14ac:dyDescent="0.25">
      <c r="A462">
        <f t="shared" si="5"/>
        <v>63400</v>
      </c>
    </row>
    <row r="463" spans="1:1" x14ac:dyDescent="0.25">
      <c r="A463">
        <f t="shared" si="5"/>
        <v>64900</v>
      </c>
    </row>
    <row r="464" spans="1:1" x14ac:dyDescent="0.25">
      <c r="A464">
        <f t="shared" si="5"/>
        <v>66500</v>
      </c>
    </row>
    <row r="465" spans="1:1" x14ac:dyDescent="0.25">
      <c r="A465">
        <f t="shared" si="5"/>
        <v>68100</v>
      </c>
    </row>
    <row r="466" spans="1:1" x14ac:dyDescent="0.25">
      <c r="A466">
        <f t="shared" si="5"/>
        <v>69800</v>
      </c>
    </row>
    <row r="467" spans="1:1" x14ac:dyDescent="0.25">
      <c r="A467">
        <f t="shared" si="5"/>
        <v>71500</v>
      </c>
    </row>
    <row r="468" spans="1:1" x14ac:dyDescent="0.25">
      <c r="A468">
        <f t="shared" si="5"/>
        <v>73200</v>
      </c>
    </row>
    <row r="469" spans="1:1" x14ac:dyDescent="0.25">
      <c r="A469">
        <f t="shared" si="5"/>
        <v>75000</v>
      </c>
    </row>
    <row r="470" spans="1:1" x14ac:dyDescent="0.25">
      <c r="A470">
        <f t="shared" si="5"/>
        <v>76800</v>
      </c>
    </row>
    <row r="471" spans="1:1" x14ac:dyDescent="0.25">
      <c r="A471">
        <f t="shared" si="5"/>
        <v>78700</v>
      </c>
    </row>
    <row r="472" spans="1:1" x14ac:dyDescent="0.25">
      <c r="A472">
        <f t="shared" si="5"/>
        <v>80600</v>
      </c>
    </row>
    <row r="473" spans="1:1" x14ac:dyDescent="0.25">
      <c r="A473">
        <f t="shared" si="5"/>
        <v>82500</v>
      </c>
    </row>
    <row r="474" spans="1:1" x14ac:dyDescent="0.25">
      <c r="A474">
        <f t="shared" si="5"/>
        <v>84500</v>
      </c>
    </row>
    <row r="475" spans="1:1" x14ac:dyDescent="0.25">
      <c r="A475">
        <f t="shared" si="5"/>
        <v>86600</v>
      </c>
    </row>
    <row r="476" spans="1:1" x14ac:dyDescent="0.25">
      <c r="A476">
        <f t="shared" si="5"/>
        <v>88700.000000000015</v>
      </c>
    </row>
    <row r="477" spans="1:1" x14ac:dyDescent="0.25">
      <c r="A477">
        <f t="shared" si="5"/>
        <v>90900</v>
      </c>
    </row>
    <row r="478" spans="1:1" x14ac:dyDescent="0.25">
      <c r="A478">
        <f t="shared" si="5"/>
        <v>93100</v>
      </c>
    </row>
    <row r="479" spans="1:1" x14ac:dyDescent="0.25">
      <c r="A479">
        <f t="shared" si="5"/>
        <v>95300</v>
      </c>
    </row>
    <row r="480" spans="1:1" x14ac:dyDescent="0.25">
      <c r="A480">
        <f t="shared" si="5"/>
        <v>97600</v>
      </c>
    </row>
    <row r="481" spans="1:1" x14ac:dyDescent="0.25">
      <c r="A481">
        <f t="shared" si="5"/>
        <v>100000</v>
      </c>
    </row>
    <row r="482" spans="1:1" x14ac:dyDescent="0.25">
      <c r="A482">
        <f t="shared" ref="A482:A545" si="6">A386*10</f>
        <v>102000</v>
      </c>
    </row>
    <row r="483" spans="1:1" x14ac:dyDescent="0.25">
      <c r="A483">
        <f t="shared" si="6"/>
        <v>105000</v>
      </c>
    </row>
    <row r="484" spans="1:1" x14ac:dyDescent="0.25">
      <c r="A484">
        <f t="shared" si="6"/>
        <v>107000</v>
      </c>
    </row>
    <row r="485" spans="1:1" x14ac:dyDescent="0.25">
      <c r="A485">
        <f t="shared" si="6"/>
        <v>110000</v>
      </c>
    </row>
    <row r="486" spans="1:1" x14ac:dyDescent="0.25">
      <c r="A486">
        <f t="shared" si="6"/>
        <v>113000</v>
      </c>
    </row>
    <row r="487" spans="1:1" x14ac:dyDescent="0.25">
      <c r="A487">
        <f t="shared" si="6"/>
        <v>115000</v>
      </c>
    </row>
    <row r="488" spans="1:1" x14ac:dyDescent="0.25">
      <c r="A488">
        <f t="shared" si="6"/>
        <v>118000</v>
      </c>
    </row>
    <row r="489" spans="1:1" x14ac:dyDescent="0.25">
      <c r="A489">
        <f t="shared" si="6"/>
        <v>121000</v>
      </c>
    </row>
    <row r="490" spans="1:1" x14ac:dyDescent="0.25">
      <c r="A490">
        <f t="shared" si="6"/>
        <v>124000</v>
      </c>
    </row>
    <row r="491" spans="1:1" x14ac:dyDescent="0.25">
      <c r="A491">
        <f t="shared" si="6"/>
        <v>127000</v>
      </c>
    </row>
    <row r="492" spans="1:1" x14ac:dyDescent="0.25">
      <c r="A492">
        <f t="shared" si="6"/>
        <v>130000</v>
      </c>
    </row>
    <row r="493" spans="1:1" x14ac:dyDescent="0.25">
      <c r="A493">
        <f t="shared" si="6"/>
        <v>133000</v>
      </c>
    </row>
    <row r="494" spans="1:1" x14ac:dyDescent="0.25">
      <c r="A494">
        <f t="shared" si="6"/>
        <v>137000</v>
      </c>
    </row>
    <row r="495" spans="1:1" x14ac:dyDescent="0.25">
      <c r="A495">
        <f t="shared" si="6"/>
        <v>140000</v>
      </c>
    </row>
    <row r="496" spans="1:1" x14ac:dyDescent="0.25">
      <c r="A496">
        <f t="shared" si="6"/>
        <v>143000</v>
      </c>
    </row>
    <row r="497" spans="1:1" x14ac:dyDescent="0.25">
      <c r="A497">
        <f t="shared" si="6"/>
        <v>147000</v>
      </c>
    </row>
    <row r="498" spans="1:1" x14ac:dyDescent="0.25">
      <c r="A498">
        <f t="shared" si="6"/>
        <v>150000</v>
      </c>
    </row>
    <row r="499" spans="1:1" x14ac:dyDescent="0.25">
      <c r="A499">
        <f t="shared" si="6"/>
        <v>154000</v>
      </c>
    </row>
    <row r="500" spans="1:1" x14ac:dyDescent="0.25">
      <c r="A500">
        <f t="shared" si="6"/>
        <v>158000</v>
      </c>
    </row>
    <row r="501" spans="1:1" x14ac:dyDescent="0.25">
      <c r="A501">
        <f t="shared" si="6"/>
        <v>162000</v>
      </c>
    </row>
    <row r="502" spans="1:1" x14ac:dyDescent="0.25">
      <c r="A502">
        <f t="shared" si="6"/>
        <v>165000</v>
      </c>
    </row>
    <row r="503" spans="1:1" x14ac:dyDescent="0.25">
      <c r="A503">
        <f t="shared" si="6"/>
        <v>169000</v>
      </c>
    </row>
    <row r="504" spans="1:1" x14ac:dyDescent="0.25">
      <c r="A504">
        <f t="shared" si="6"/>
        <v>174000</v>
      </c>
    </row>
    <row r="505" spans="1:1" x14ac:dyDescent="0.25">
      <c r="A505">
        <f t="shared" si="6"/>
        <v>178000</v>
      </c>
    </row>
    <row r="506" spans="1:1" x14ac:dyDescent="0.25">
      <c r="A506">
        <f t="shared" si="6"/>
        <v>182000</v>
      </c>
    </row>
    <row r="507" spans="1:1" x14ac:dyDescent="0.25">
      <c r="A507">
        <f t="shared" si="6"/>
        <v>187000</v>
      </c>
    </row>
    <row r="508" spans="1:1" x14ac:dyDescent="0.25">
      <c r="A508">
        <f t="shared" si="6"/>
        <v>191000</v>
      </c>
    </row>
    <row r="509" spans="1:1" x14ac:dyDescent="0.25">
      <c r="A509">
        <f t="shared" si="6"/>
        <v>196000</v>
      </c>
    </row>
    <row r="510" spans="1:1" x14ac:dyDescent="0.25">
      <c r="A510">
        <f t="shared" si="6"/>
        <v>200000</v>
      </c>
    </row>
    <row r="511" spans="1:1" x14ac:dyDescent="0.25">
      <c r="A511">
        <f t="shared" si="6"/>
        <v>205000</v>
      </c>
    </row>
    <row r="512" spans="1:1" x14ac:dyDescent="0.25">
      <c r="A512">
        <f t="shared" si="6"/>
        <v>210000</v>
      </c>
    </row>
    <row r="513" spans="1:1" x14ac:dyDescent="0.25">
      <c r="A513">
        <f t="shared" si="6"/>
        <v>215000</v>
      </c>
    </row>
    <row r="514" spans="1:1" x14ac:dyDescent="0.25">
      <c r="A514">
        <f t="shared" si="6"/>
        <v>221000</v>
      </c>
    </row>
    <row r="515" spans="1:1" x14ac:dyDescent="0.25">
      <c r="A515">
        <f t="shared" si="6"/>
        <v>226000</v>
      </c>
    </row>
    <row r="516" spans="1:1" x14ac:dyDescent="0.25">
      <c r="A516">
        <f t="shared" si="6"/>
        <v>232000</v>
      </c>
    </row>
    <row r="517" spans="1:1" x14ac:dyDescent="0.25">
      <c r="A517">
        <f t="shared" si="6"/>
        <v>237000.00000000003</v>
      </c>
    </row>
    <row r="518" spans="1:1" x14ac:dyDescent="0.25">
      <c r="A518">
        <f t="shared" si="6"/>
        <v>243000</v>
      </c>
    </row>
    <row r="519" spans="1:1" x14ac:dyDescent="0.25">
      <c r="A519">
        <f t="shared" si="6"/>
        <v>249000</v>
      </c>
    </row>
    <row r="520" spans="1:1" x14ac:dyDescent="0.25">
      <c r="A520">
        <f t="shared" si="6"/>
        <v>255000</v>
      </c>
    </row>
    <row r="521" spans="1:1" x14ac:dyDescent="0.25">
      <c r="A521">
        <f t="shared" si="6"/>
        <v>261000</v>
      </c>
    </row>
    <row r="522" spans="1:1" x14ac:dyDescent="0.25">
      <c r="A522">
        <f t="shared" si="6"/>
        <v>267000</v>
      </c>
    </row>
    <row r="523" spans="1:1" x14ac:dyDescent="0.25">
      <c r="A523">
        <f t="shared" si="6"/>
        <v>274000</v>
      </c>
    </row>
    <row r="524" spans="1:1" x14ac:dyDescent="0.25">
      <c r="A524">
        <f t="shared" si="6"/>
        <v>280000</v>
      </c>
    </row>
    <row r="525" spans="1:1" x14ac:dyDescent="0.25">
      <c r="A525">
        <f t="shared" si="6"/>
        <v>287000</v>
      </c>
    </row>
    <row r="526" spans="1:1" x14ac:dyDescent="0.25">
      <c r="A526">
        <f t="shared" si="6"/>
        <v>294000</v>
      </c>
    </row>
    <row r="527" spans="1:1" x14ac:dyDescent="0.25">
      <c r="A527">
        <f t="shared" si="6"/>
        <v>301000</v>
      </c>
    </row>
    <row r="528" spans="1:1" x14ac:dyDescent="0.25">
      <c r="A528">
        <f t="shared" si="6"/>
        <v>309000</v>
      </c>
    </row>
    <row r="529" spans="1:1" x14ac:dyDescent="0.25">
      <c r="A529">
        <f t="shared" si="6"/>
        <v>316000</v>
      </c>
    </row>
    <row r="530" spans="1:1" x14ac:dyDescent="0.25">
      <c r="A530">
        <f t="shared" si="6"/>
        <v>324000</v>
      </c>
    </row>
    <row r="531" spans="1:1" x14ac:dyDescent="0.25">
      <c r="A531">
        <f t="shared" si="6"/>
        <v>332000</v>
      </c>
    </row>
    <row r="532" spans="1:1" x14ac:dyDescent="0.25">
      <c r="A532">
        <f t="shared" si="6"/>
        <v>340000</v>
      </c>
    </row>
    <row r="533" spans="1:1" x14ac:dyDescent="0.25">
      <c r="A533">
        <f t="shared" si="6"/>
        <v>348000</v>
      </c>
    </row>
    <row r="534" spans="1:1" x14ac:dyDescent="0.25">
      <c r="A534">
        <f t="shared" si="6"/>
        <v>357000</v>
      </c>
    </row>
    <row r="535" spans="1:1" x14ac:dyDescent="0.25">
      <c r="A535">
        <f t="shared" si="6"/>
        <v>365000</v>
      </c>
    </row>
    <row r="536" spans="1:1" x14ac:dyDescent="0.25">
      <c r="A536">
        <f t="shared" si="6"/>
        <v>374000</v>
      </c>
    </row>
    <row r="537" spans="1:1" x14ac:dyDescent="0.25">
      <c r="A537">
        <f t="shared" si="6"/>
        <v>383000</v>
      </c>
    </row>
    <row r="538" spans="1:1" x14ac:dyDescent="0.25">
      <c r="A538">
        <f t="shared" si="6"/>
        <v>392000</v>
      </c>
    </row>
    <row r="539" spans="1:1" x14ac:dyDescent="0.25">
      <c r="A539">
        <f t="shared" si="6"/>
        <v>402000</v>
      </c>
    </row>
    <row r="540" spans="1:1" x14ac:dyDescent="0.25">
      <c r="A540">
        <f t="shared" si="6"/>
        <v>412000</v>
      </c>
    </row>
    <row r="541" spans="1:1" x14ac:dyDescent="0.25">
      <c r="A541">
        <f t="shared" si="6"/>
        <v>422000</v>
      </c>
    </row>
    <row r="542" spans="1:1" x14ac:dyDescent="0.25">
      <c r="A542">
        <f t="shared" si="6"/>
        <v>432000</v>
      </c>
    </row>
    <row r="543" spans="1:1" x14ac:dyDescent="0.25">
      <c r="A543">
        <f t="shared" si="6"/>
        <v>442000</v>
      </c>
    </row>
    <row r="544" spans="1:1" x14ac:dyDescent="0.25">
      <c r="A544">
        <f t="shared" si="6"/>
        <v>453000</v>
      </c>
    </row>
    <row r="545" spans="1:1" x14ac:dyDescent="0.25">
      <c r="A545">
        <f t="shared" si="6"/>
        <v>464000</v>
      </c>
    </row>
    <row r="546" spans="1:1" x14ac:dyDescent="0.25">
      <c r="A546">
        <f t="shared" ref="A546:A609" si="7">A450*10</f>
        <v>475000</v>
      </c>
    </row>
    <row r="547" spans="1:1" x14ac:dyDescent="0.25">
      <c r="A547">
        <f t="shared" si="7"/>
        <v>487000</v>
      </c>
    </row>
    <row r="548" spans="1:1" x14ac:dyDescent="0.25">
      <c r="A548">
        <f t="shared" si="7"/>
        <v>499000.00000000006</v>
      </c>
    </row>
    <row r="549" spans="1:1" x14ac:dyDescent="0.25">
      <c r="A549">
        <f t="shared" si="7"/>
        <v>511000</v>
      </c>
    </row>
    <row r="550" spans="1:1" x14ac:dyDescent="0.25">
      <c r="A550">
        <f t="shared" si="7"/>
        <v>523000</v>
      </c>
    </row>
    <row r="551" spans="1:1" x14ac:dyDescent="0.25">
      <c r="A551">
        <f t="shared" si="7"/>
        <v>536000</v>
      </c>
    </row>
    <row r="552" spans="1:1" x14ac:dyDescent="0.25">
      <c r="A552">
        <f t="shared" si="7"/>
        <v>549000</v>
      </c>
    </row>
    <row r="553" spans="1:1" x14ac:dyDescent="0.25">
      <c r="A553">
        <f t="shared" si="7"/>
        <v>562000</v>
      </c>
    </row>
    <row r="554" spans="1:1" x14ac:dyDescent="0.25">
      <c r="A554">
        <f t="shared" si="7"/>
        <v>576000</v>
      </c>
    </row>
    <row r="555" spans="1:1" x14ac:dyDescent="0.25">
      <c r="A555">
        <f t="shared" si="7"/>
        <v>590000</v>
      </c>
    </row>
    <row r="556" spans="1:1" x14ac:dyDescent="0.25">
      <c r="A556">
        <f t="shared" si="7"/>
        <v>604000</v>
      </c>
    </row>
    <row r="557" spans="1:1" x14ac:dyDescent="0.25">
      <c r="A557">
        <f t="shared" si="7"/>
        <v>618999.99999999988</v>
      </c>
    </row>
    <row r="558" spans="1:1" x14ac:dyDescent="0.25">
      <c r="A558">
        <f t="shared" si="7"/>
        <v>634000</v>
      </c>
    </row>
    <row r="559" spans="1:1" x14ac:dyDescent="0.25">
      <c r="A559">
        <f t="shared" si="7"/>
        <v>649000</v>
      </c>
    </row>
    <row r="560" spans="1:1" x14ac:dyDescent="0.25">
      <c r="A560">
        <f t="shared" si="7"/>
        <v>665000</v>
      </c>
    </row>
    <row r="561" spans="1:1" x14ac:dyDescent="0.25">
      <c r="A561">
        <f t="shared" si="7"/>
        <v>681000</v>
      </c>
    </row>
    <row r="562" spans="1:1" x14ac:dyDescent="0.25">
      <c r="A562">
        <f t="shared" si="7"/>
        <v>698000</v>
      </c>
    </row>
    <row r="563" spans="1:1" x14ac:dyDescent="0.25">
      <c r="A563">
        <f t="shared" si="7"/>
        <v>715000</v>
      </c>
    </row>
    <row r="564" spans="1:1" x14ac:dyDescent="0.25">
      <c r="A564">
        <f t="shared" si="7"/>
        <v>732000</v>
      </c>
    </row>
    <row r="565" spans="1:1" x14ac:dyDescent="0.25">
      <c r="A565">
        <f t="shared" si="7"/>
        <v>750000</v>
      </c>
    </row>
    <row r="566" spans="1:1" x14ac:dyDescent="0.25">
      <c r="A566">
        <f t="shared" si="7"/>
        <v>768000</v>
      </c>
    </row>
    <row r="567" spans="1:1" x14ac:dyDescent="0.25">
      <c r="A567">
        <f t="shared" si="7"/>
        <v>787000</v>
      </c>
    </row>
    <row r="568" spans="1:1" x14ac:dyDescent="0.25">
      <c r="A568">
        <f t="shared" si="7"/>
        <v>806000</v>
      </c>
    </row>
    <row r="569" spans="1:1" x14ac:dyDescent="0.25">
      <c r="A569">
        <f t="shared" si="7"/>
        <v>825000</v>
      </c>
    </row>
    <row r="570" spans="1:1" x14ac:dyDescent="0.25">
      <c r="A570">
        <f t="shared" si="7"/>
        <v>845000</v>
      </c>
    </row>
    <row r="571" spans="1:1" x14ac:dyDescent="0.25">
      <c r="A571">
        <f t="shared" si="7"/>
        <v>866000</v>
      </c>
    </row>
    <row r="572" spans="1:1" x14ac:dyDescent="0.25">
      <c r="A572">
        <f t="shared" si="7"/>
        <v>887000.00000000012</v>
      </c>
    </row>
    <row r="573" spans="1:1" x14ac:dyDescent="0.25">
      <c r="A573">
        <f t="shared" si="7"/>
        <v>909000</v>
      </c>
    </row>
    <row r="574" spans="1:1" x14ac:dyDescent="0.25">
      <c r="A574">
        <f t="shared" si="7"/>
        <v>931000</v>
      </c>
    </row>
    <row r="575" spans="1:1" x14ac:dyDescent="0.25">
      <c r="A575">
        <f t="shared" si="7"/>
        <v>953000</v>
      </c>
    </row>
    <row r="576" spans="1:1" x14ac:dyDescent="0.25">
      <c r="A576">
        <f t="shared" si="7"/>
        <v>976000</v>
      </c>
    </row>
    <row r="577" spans="1:1" x14ac:dyDescent="0.25">
      <c r="A577">
        <f t="shared" si="7"/>
        <v>1000000</v>
      </c>
    </row>
    <row r="578" spans="1:1" x14ac:dyDescent="0.25">
      <c r="A578">
        <f t="shared" si="7"/>
        <v>1020000</v>
      </c>
    </row>
    <row r="579" spans="1:1" x14ac:dyDescent="0.25">
      <c r="A579">
        <f t="shared" si="7"/>
        <v>1050000</v>
      </c>
    </row>
    <row r="580" spans="1:1" x14ac:dyDescent="0.25">
      <c r="A580">
        <f t="shared" si="7"/>
        <v>1070000</v>
      </c>
    </row>
    <row r="581" spans="1:1" x14ac:dyDescent="0.25">
      <c r="A581">
        <f t="shared" si="7"/>
        <v>1100000</v>
      </c>
    </row>
    <row r="582" spans="1:1" x14ac:dyDescent="0.25">
      <c r="A582">
        <f t="shared" si="7"/>
        <v>1130000</v>
      </c>
    </row>
    <row r="583" spans="1:1" x14ac:dyDescent="0.25">
      <c r="A583">
        <f t="shared" si="7"/>
        <v>1150000</v>
      </c>
    </row>
    <row r="584" spans="1:1" x14ac:dyDescent="0.25">
      <c r="A584">
        <f t="shared" si="7"/>
        <v>1180000</v>
      </c>
    </row>
    <row r="585" spans="1:1" x14ac:dyDescent="0.25">
      <c r="A585">
        <f t="shared" si="7"/>
        <v>1210000</v>
      </c>
    </row>
    <row r="586" spans="1:1" x14ac:dyDescent="0.25">
      <c r="A586">
        <f t="shared" si="7"/>
        <v>1240000</v>
      </c>
    </row>
    <row r="587" spans="1:1" x14ac:dyDescent="0.25">
      <c r="A587">
        <f t="shared" si="7"/>
        <v>1270000</v>
      </c>
    </row>
    <row r="588" spans="1:1" x14ac:dyDescent="0.25">
      <c r="A588">
        <f t="shared" si="7"/>
        <v>1300000</v>
      </c>
    </row>
    <row r="589" spans="1:1" x14ac:dyDescent="0.25">
      <c r="A589">
        <f t="shared" si="7"/>
        <v>1330000</v>
      </c>
    </row>
    <row r="590" spans="1:1" x14ac:dyDescent="0.25">
      <c r="A590">
        <f t="shared" si="7"/>
        <v>1370000</v>
      </c>
    </row>
    <row r="591" spans="1:1" x14ac:dyDescent="0.25">
      <c r="A591">
        <f t="shared" si="7"/>
        <v>1400000</v>
      </c>
    </row>
    <row r="592" spans="1:1" x14ac:dyDescent="0.25">
      <c r="A592">
        <f t="shared" si="7"/>
        <v>1430000</v>
      </c>
    </row>
    <row r="593" spans="1:1" x14ac:dyDescent="0.25">
      <c r="A593">
        <f t="shared" si="7"/>
        <v>1470000</v>
      </c>
    </row>
    <row r="594" spans="1:1" x14ac:dyDescent="0.25">
      <c r="A594">
        <f t="shared" si="7"/>
        <v>1500000</v>
      </c>
    </row>
    <row r="595" spans="1:1" x14ac:dyDescent="0.25">
      <c r="A595">
        <f t="shared" si="7"/>
        <v>1540000</v>
      </c>
    </row>
    <row r="596" spans="1:1" x14ac:dyDescent="0.25">
      <c r="A596">
        <f t="shared" si="7"/>
        <v>1580000</v>
      </c>
    </row>
    <row r="597" spans="1:1" x14ac:dyDescent="0.25">
      <c r="A597">
        <f t="shared" si="7"/>
        <v>1620000</v>
      </c>
    </row>
    <row r="598" spans="1:1" x14ac:dyDescent="0.25">
      <c r="A598">
        <f t="shared" si="7"/>
        <v>1650000</v>
      </c>
    </row>
    <row r="599" spans="1:1" x14ac:dyDescent="0.25">
      <c r="A599">
        <f t="shared" si="7"/>
        <v>1690000</v>
      </c>
    </row>
    <row r="600" spans="1:1" x14ac:dyDescent="0.25">
      <c r="A600">
        <f t="shared" si="7"/>
        <v>1740000</v>
      </c>
    </row>
    <row r="601" spans="1:1" x14ac:dyDescent="0.25">
      <c r="A601">
        <f t="shared" si="7"/>
        <v>1780000</v>
      </c>
    </row>
    <row r="602" spans="1:1" x14ac:dyDescent="0.25">
      <c r="A602">
        <f t="shared" si="7"/>
        <v>1820000</v>
      </c>
    </row>
    <row r="603" spans="1:1" x14ac:dyDescent="0.25">
      <c r="A603">
        <f t="shared" si="7"/>
        <v>1870000</v>
      </c>
    </row>
    <row r="604" spans="1:1" x14ac:dyDescent="0.25">
      <c r="A604">
        <f t="shared" si="7"/>
        <v>1910000</v>
      </c>
    </row>
    <row r="605" spans="1:1" x14ac:dyDescent="0.25">
      <c r="A605">
        <f t="shared" si="7"/>
        <v>1960000</v>
      </c>
    </row>
    <row r="606" spans="1:1" x14ac:dyDescent="0.25">
      <c r="A606">
        <f t="shared" si="7"/>
        <v>2000000</v>
      </c>
    </row>
    <row r="607" spans="1:1" x14ac:dyDescent="0.25">
      <c r="A607">
        <f t="shared" si="7"/>
        <v>2050000</v>
      </c>
    </row>
    <row r="608" spans="1:1" x14ac:dyDescent="0.25">
      <c r="A608">
        <f t="shared" si="7"/>
        <v>2100000</v>
      </c>
    </row>
    <row r="609" spans="1:1" x14ac:dyDescent="0.25">
      <c r="A609">
        <f t="shared" si="7"/>
        <v>2150000</v>
      </c>
    </row>
    <row r="610" spans="1:1" x14ac:dyDescent="0.25">
      <c r="A610">
        <f t="shared" ref="A610:A673" si="8">A514*10</f>
        <v>2210000</v>
      </c>
    </row>
    <row r="611" spans="1:1" x14ac:dyDescent="0.25">
      <c r="A611">
        <f t="shared" si="8"/>
        <v>2260000</v>
      </c>
    </row>
    <row r="612" spans="1:1" x14ac:dyDescent="0.25">
      <c r="A612">
        <f t="shared" si="8"/>
        <v>2320000</v>
      </c>
    </row>
    <row r="613" spans="1:1" x14ac:dyDescent="0.25">
      <c r="A613">
        <f t="shared" si="8"/>
        <v>2370000.0000000005</v>
      </c>
    </row>
    <row r="614" spans="1:1" x14ac:dyDescent="0.25">
      <c r="A614">
        <f t="shared" si="8"/>
        <v>2430000</v>
      </c>
    </row>
    <row r="615" spans="1:1" x14ac:dyDescent="0.25">
      <c r="A615">
        <f t="shared" si="8"/>
        <v>2490000</v>
      </c>
    </row>
    <row r="616" spans="1:1" x14ac:dyDescent="0.25">
      <c r="A616">
        <f t="shared" si="8"/>
        <v>2550000</v>
      </c>
    </row>
    <row r="617" spans="1:1" x14ac:dyDescent="0.25">
      <c r="A617">
        <f t="shared" si="8"/>
        <v>2610000</v>
      </c>
    </row>
    <row r="618" spans="1:1" x14ac:dyDescent="0.25">
      <c r="A618">
        <f t="shared" si="8"/>
        <v>2670000</v>
      </c>
    </row>
    <row r="619" spans="1:1" x14ac:dyDescent="0.25">
      <c r="A619">
        <f t="shared" si="8"/>
        <v>2740000</v>
      </c>
    </row>
    <row r="620" spans="1:1" x14ac:dyDescent="0.25">
      <c r="A620">
        <f t="shared" si="8"/>
        <v>2800000</v>
      </c>
    </row>
    <row r="621" spans="1:1" x14ac:dyDescent="0.25">
      <c r="A621">
        <f t="shared" si="8"/>
        <v>2870000</v>
      </c>
    </row>
    <row r="622" spans="1:1" x14ac:dyDescent="0.25">
      <c r="A622">
        <f t="shared" si="8"/>
        <v>2940000</v>
      </c>
    </row>
    <row r="623" spans="1:1" x14ac:dyDescent="0.25">
      <c r="A623">
        <f t="shared" si="8"/>
        <v>3010000</v>
      </c>
    </row>
    <row r="624" spans="1:1" x14ac:dyDescent="0.25">
      <c r="A624">
        <f t="shared" si="8"/>
        <v>3090000</v>
      </c>
    </row>
    <row r="625" spans="1:1" x14ac:dyDescent="0.25">
      <c r="A625">
        <f t="shared" si="8"/>
        <v>3160000</v>
      </c>
    </row>
    <row r="626" spans="1:1" x14ac:dyDescent="0.25">
      <c r="A626">
        <f t="shared" si="8"/>
        <v>3240000</v>
      </c>
    </row>
    <row r="627" spans="1:1" x14ac:dyDescent="0.25">
      <c r="A627">
        <f t="shared" si="8"/>
        <v>3320000</v>
      </c>
    </row>
    <row r="628" spans="1:1" x14ac:dyDescent="0.25">
      <c r="A628">
        <f t="shared" si="8"/>
        <v>3400000</v>
      </c>
    </row>
    <row r="629" spans="1:1" x14ac:dyDescent="0.25">
      <c r="A629">
        <f t="shared" si="8"/>
        <v>3480000</v>
      </c>
    </row>
    <row r="630" spans="1:1" x14ac:dyDescent="0.25">
      <c r="A630">
        <f t="shared" si="8"/>
        <v>3570000</v>
      </c>
    </row>
    <row r="631" spans="1:1" x14ac:dyDescent="0.25">
      <c r="A631">
        <f t="shared" si="8"/>
        <v>3650000</v>
      </c>
    </row>
    <row r="632" spans="1:1" x14ac:dyDescent="0.25">
      <c r="A632">
        <f t="shared" si="8"/>
        <v>3740000</v>
      </c>
    </row>
    <row r="633" spans="1:1" x14ac:dyDescent="0.25">
      <c r="A633">
        <f t="shared" si="8"/>
        <v>3830000</v>
      </c>
    </row>
    <row r="634" spans="1:1" x14ac:dyDescent="0.25">
      <c r="A634">
        <f t="shared" si="8"/>
        <v>3920000</v>
      </c>
    </row>
    <row r="635" spans="1:1" x14ac:dyDescent="0.25">
      <c r="A635">
        <f t="shared" si="8"/>
        <v>4020000</v>
      </c>
    </row>
    <row r="636" spans="1:1" x14ac:dyDescent="0.25">
      <c r="A636">
        <f t="shared" si="8"/>
        <v>4120000</v>
      </c>
    </row>
    <row r="637" spans="1:1" x14ac:dyDescent="0.25">
      <c r="A637">
        <f t="shared" si="8"/>
        <v>4220000</v>
      </c>
    </row>
    <row r="638" spans="1:1" x14ac:dyDescent="0.25">
      <c r="A638">
        <f t="shared" si="8"/>
        <v>4320000</v>
      </c>
    </row>
    <row r="639" spans="1:1" x14ac:dyDescent="0.25">
      <c r="A639">
        <f t="shared" si="8"/>
        <v>4420000</v>
      </c>
    </row>
    <row r="640" spans="1:1" x14ac:dyDescent="0.25">
      <c r="A640">
        <f t="shared" si="8"/>
        <v>4530000</v>
      </c>
    </row>
    <row r="641" spans="1:1" x14ac:dyDescent="0.25">
      <c r="A641">
        <f t="shared" si="8"/>
        <v>4640000</v>
      </c>
    </row>
    <row r="642" spans="1:1" x14ac:dyDescent="0.25">
      <c r="A642">
        <f t="shared" si="8"/>
        <v>4750000</v>
      </c>
    </row>
    <row r="643" spans="1:1" x14ac:dyDescent="0.25">
      <c r="A643">
        <f t="shared" si="8"/>
        <v>4870000</v>
      </c>
    </row>
    <row r="644" spans="1:1" x14ac:dyDescent="0.25">
      <c r="A644">
        <f t="shared" si="8"/>
        <v>4990000.0000000009</v>
      </c>
    </row>
    <row r="645" spans="1:1" x14ac:dyDescent="0.25">
      <c r="A645">
        <f t="shared" si="8"/>
        <v>5110000</v>
      </c>
    </row>
    <row r="646" spans="1:1" x14ac:dyDescent="0.25">
      <c r="A646">
        <f t="shared" si="8"/>
        <v>5230000</v>
      </c>
    </row>
    <row r="647" spans="1:1" x14ac:dyDescent="0.25">
      <c r="A647">
        <f t="shared" si="8"/>
        <v>5360000</v>
      </c>
    </row>
    <row r="648" spans="1:1" x14ac:dyDescent="0.25">
      <c r="A648">
        <f t="shared" si="8"/>
        <v>5490000</v>
      </c>
    </row>
    <row r="649" spans="1:1" x14ac:dyDescent="0.25">
      <c r="A649">
        <f t="shared" si="8"/>
        <v>5620000</v>
      </c>
    </row>
    <row r="650" spans="1:1" x14ac:dyDescent="0.25">
      <c r="A650">
        <f t="shared" si="8"/>
        <v>5760000</v>
      </c>
    </row>
    <row r="651" spans="1:1" x14ac:dyDescent="0.25">
      <c r="A651">
        <f t="shared" si="8"/>
        <v>5900000</v>
      </c>
    </row>
    <row r="652" spans="1:1" x14ac:dyDescent="0.25">
      <c r="A652">
        <f t="shared" si="8"/>
        <v>6040000</v>
      </c>
    </row>
    <row r="653" spans="1:1" x14ac:dyDescent="0.25">
      <c r="A653">
        <f t="shared" si="8"/>
        <v>6189999.9999999991</v>
      </c>
    </row>
    <row r="654" spans="1:1" x14ac:dyDescent="0.25">
      <c r="A654">
        <f t="shared" si="8"/>
        <v>6340000</v>
      </c>
    </row>
    <row r="655" spans="1:1" x14ac:dyDescent="0.25">
      <c r="A655">
        <f t="shared" si="8"/>
        <v>6490000</v>
      </c>
    </row>
    <row r="656" spans="1:1" x14ac:dyDescent="0.25">
      <c r="A656">
        <f t="shared" si="8"/>
        <v>6650000</v>
      </c>
    </row>
    <row r="657" spans="1:1" x14ac:dyDescent="0.25">
      <c r="A657">
        <f t="shared" si="8"/>
        <v>6810000</v>
      </c>
    </row>
    <row r="658" spans="1:1" x14ac:dyDescent="0.25">
      <c r="A658">
        <f t="shared" si="8"/>
        <v>6980000</v>
      </c>
    </row>
    <row r="659" spans="1:1" x14ac:dyDescent="0.25">
      <c r="A659">
        <f t="shared" si="8"/>
        <v>7150000</v>
      </c>
    </row>
    <row r="660" spans="1:1" x14ac:dyDescent="0.25">
      <c r="A660">
        <f t="shared" si="8"/>
        <v>7320000</v>
      </c>
    </row>
    <row r="661" spans="1:1" x14ac:dyDescent="0.25">
      <c r="A661">
        <f t="shared" si="8"/>
        <v>7500000</v>
      </c>
    </row>
    <row r="662" spans="1:1" x14ac:dyDescent="0.25">
      <c r="A662">
        <f t="shared" si="8"/>
        <v>7680000</v>
      </c>
    </row>
    <row r="663" spans="1:1" x14ac:dyDescent="0.25">
      <c r="A663">
        <f t="shared" si="8"/>
        <v>7870000</v>
      </c>
    </row>
    <row r="664" spans="1:1" x14ac:dyDescent="0.25">
      <c r="A664">
        <f t="shared" si="8"/>
        <v>8060000</v>
      </c>
    </row>
    <row r="665" spans="1:1" x14ac:dyDescent="0.25">
      <c r="A665">
        <f t="shared" si="8"/>
        <v>8250000</v>
      </c>
    </row>
    <row r="666" spans="1:1" x14ac:dyDescent="0.25">
      <c r="A666">
        <f t="shared" si="8"/>
        <v>8450000</v>
      </c>
    </row>
    <row r="667" spans="1:1" x14ac:dyDescent="0.25">
      <c r="A667">
        <f t="shared" si="8"/>
        <v>8660000</v>
      </c>
    </row>
    <row r="668" spans="1:1" x14ac:dyDescent="0.25">
      <c r="A668">
        <f t="shared" si="8"/>
        <v>8870000.0000000019</v>
      </c>
    </row>
    <row r="669" spans="1:1" x14ac:dyDescent="0.25">
      <c r="A669">
        <f t="shared" si="8"/>
        <v>9090000</v>
      </c>
    </row>
    <row r="670" spans="1:1" x14ac:dyDescent="0.25">
      <c r="A670">
        <f t="shared" si="8"/>
        <v>9310000</v>
      </c>
    </row>
    <row r="671" spans="1:1" x14ac:dyDescent="0.25">
      <c r="A671">
        <f t="shared" si="8"/>
        <v>9530000</v>
      </c>
    </row>
    <row r="672" spans="1:1" x14ac:dyDescent="0.25">
      <c r="A672">
        <f t="shared" si="8"/>
        <v>9760000</v>
      </c>
    </row>
    <row r="673" spans="1:1" x14ac:dyDescent="0.25">
      <c r="A673">
        <f t="shared" si="8"/>
        <v>10000000</v>
      </c>
    </row>
    <row r="674" spans="1:1" x14ac:dyDescent="0.25">
      <c r="A674">
        <f t="shared" ref="A674:A737" si="9">A578*10</f>
        <v>10200000</v>
      </c>
    </row>
    <row r="675" spans="1:1" x14ac:dyDescent="0.25">
      <c r="A675">
        <f t="shared" si="9"/>
        <v>10500000</v>
      </c>
    </row>
    <row r="676" spans="1:1" x14ac:dyDescent="0.25">
      <c r="A676">
        <f t="shared" si="9"/>
        <v>10700000</v>
      </c>
    </row>
    <row r="677" spans="1:1" x14ac:dyDescent="0.25">
      <c r="A677">
        <f t="shared" si="9"/>
        <v>11000000</v>
      </c>
    </row>
    <row r="678" spans="1:1" x14ac:dyDescent="0.25">
      <c r="A678">
        <f t="shared" si="9"/>
        <v>11300000</v>
      </c>
    </row>
    <row r="679" spans="1:1" x14ac:dyDescent="0.25">
      <c r="A679">
        <f t="shared" si="9"/>
        <v>11500000</v>
      </c>
    </row>
    <row r="680" spans="1:1" x14ac:dyDescent="0.25">
      <c r="A680">
        <f t="shared" si="9"/>
        <v>11800000</v>
      </c>
    </row>
    <row r="681" spans="1:1" x14ac:dyDescent="0.25">
      <c r="A681">
        <f t="shared" si="9"/>
        <v>12100000</v>
      </c>
    </row>
    <row r="682" spans="1:1" x14ac:dyDescent="0.25">
      <c r="A682">
        <f t="shared" si="9"/>
        <v>12400000</v>
      </c>
    </row>
    <row r="683" spans="1:1" x14ac:dyDescent="0.25">
      <c r="A683">
        <f t="shared" si="9"/>
        <v>12700000</v>
      </c>
    </row>
    <row r="684" spans="1:1" x14ac:dyDescent="0.25">
      <c r="A684">
        <f t="shared" si="9"/>
        <v>13000000</v>
      </c>
    </row>
    <row r="685" spans="1:1" x14ac:dyDescent="0.25">
      <c r="A685">
        <f t="shared" si="9"/>
        <v>13300000</v>
      </c>
    </row>
    <row r="686" spans="1:1" x14ac:dyDescent="0.25">
      <c r="A686">
        <f t="shared" si="9"/>
        <v>13700000</v>
      </c>
    </row>
    <row r="687" spans="1:1" x14ac:dyDescent="0.25">
      <c r="A687">
        <f t="shared" si="9"/>
        <v>14000000</v>
      </c>
    </row>
    <row r="688" spans="1:1" x14ac:dyDescent="0.25">
      <c r="A688">
        <f t="shared" si="9"/>
        <v>14300000</v>
      </c>
    </row>
    <row r="689" spans="1:1" x14ac:dyDescent="0.25">
      <c r="A689">
        <f t="shared" si="9"/>
        <v>14700000</v>
      </c>
    </row>
    <row r="690" spans="1:1" x14ac:dyDescent="0.25">
      <c r="A690">
        <f t="shared" si="9"/>
        <v>15000000</v>
      </c>
    </row>
    <row r="691" spans="1:1" x14ac:dyDescent="0.25">
      <c r="A691">
        <f t="shared" si="9"/>
        <v>15400000</v>
      </c>
    </row>
    <row r="692" spans="1:1" x14ac:dyDescent="0.25">
      <c r="A692">
        <f t="shared" si="9"/>
        <v>15800000</v>
      </c>
    </row>
    <row r="693" spans="1:1" x14ac:dyDescent="0.25">
      <c r="A693">
        <f t="shared" si="9"/>
        <v>16200000</v>
      </c>
    </row>
    <row r="694" spans="1:1" x14ac:dyDescent="0.25">
      <c r="A694">
        <f t="shared" si="9"/>
        <v>16500000</v>
      </c>
    </row>
    <row r="695" spans="1:1" x14ac:dyDescent="0.25">
      <c r="A695">
        <f t="shared" si="9"/>
        <v>16900000</v>
      </c>
    </row>
    <row r="696" spans="1:1" x14ac:dyDescent="0.25">
      <c r="A696">
        <f t="shared" si="9"/>
        <v>17400000</v>
      </c>
    </row>
    <row r="697" spans="1:1" x14ac:dyDescent="0.25">
      <c r="A697">
        <f t="shared" si="9"/>
        <v>17800000</v>
      </c>
    </row>
    <row r="698" spans="1:1" x14ac:dyDescent="0.25">
      <c r="A698">
        <f t="shared" si="9"/>
        <v>18200000</v>
      </c>
    </row>
    <row r="699" spans="1:1" x14ac:dyDescent="0.25">
      <c r="A699">
        <f t="shared" si="9"/>
        <v>18700000</v>
      </c>
    </row>
    <row r="700" spans="1:1" x14ac:dyDescent="0.25">
      <c r="A700">
        <f t="shared" si="9"/>
        <v>19100000</v>
      </c>
    </row>
    <row r="701" spans="1:1" x14ac:dyDescent="0.25">
      <c r="A701">
        <f t="shared" si="9"/>
        <v>19600000</v>
      </c>
    </row>
    <row r="702" spans="1:1" x14ac:dyDescent="0.25">
      <c r="A702">
        <f t="shared" si="9"/>
        <v>20000000</v>
      </c>
    </row>
    <row r="703" spans="1:1" x14ac:dyDescent="0.25">
      <c r="A703">
        <f t="shared" si="9"/>
        <v>20500000</v>
      </c>
    </row>
    <row r="704" spans="1:1" x14ac:dyDescent="0.25">
      <c r="A704">
        <f t="shared" si="9"/>
        <v>21000000</v>
      </c>
    </row>
    <row r="705" spans="1:1" x14ac:dyDescent="0.25">
      <c r="A705">
        <f t="shared" si="9"/>
        <v>21500000</v>
      </c>
    </row>
    <row r="706" spans="1:1" x14ac:dyDescent="0.25">
      <c r="A706">
        <f t="shared" si="9"/>
        <v>22100000</v>
      </c>
    </row>
    <row r="707" spans="1:1" x14ac:dyDescent="0.25">
      <c r="A707">
        <f t="shared" si="9"/>
        <v>22600000</v>
      </c>
    </row>
    <row r="708" spans="1:1" x14ac:dyDescent="0.25">
      <c r="A708">
        <f t="shared" si="9"/>
        <v>23200000</v>
      </c>
    </row>
    <row r="709" spans="1:1" x14ac:dyDescent="0.25">
      <c r="A709">
        <f t="shared" si="9"/>
        <v>23700000.000000004</v>
      </c>
    </row>
    <row r="710" spans="1:1" x14ac:dyDescent="0.25">
      <c r="A710">
        <f t="shared" si="9"/>
        <v>24300000</v>
      </c>
    </row>
    <row r="711" spans="1:1" x14ac:dyDescent="0.25">
      <c r="A711">
        <f t="shared" si="9"/>
        <v>24900000</v>
      </c>
    </row>
    <row r="712" spans="1:1" x14ac:dyDescent="0.25">
      <c r="A712">
        <f t="shared" si="9"/>
        <v>25500000</v>
      </c>
    </row>
    <row r="713" spans="1:1" x14ac:dyDescent="0.25">
      <c r="A713">
        <f t="shared" si="9"/>
        <v>26100000</v>
      </c>
    </row>
    <row r="714" spans="1:1" x14ac:dyDescent="0.25">
      <c r="A714">
        <f t="shared" si="9"/>
        <v>26700000</v>
      </c>
    </row>
    <row r="715" spans="1:1" x14ac:dyDescent="0.25">
      <c r="A715">
        <f t="shared" si="9"/>
        <v>27400000</v>
      </c>
    </row>
    <row r="716" spans="1:1" x14ac:dyDescent="0.25">
      <c r="A716">
        <f t="shared" si="9"/>
        <v>28000000</v>
      </c>
    </row>
    <row r="717" spans="1:1" x14ac:dyDescent="0.25">
      <c r="A717">
        <f t="shared" si="9"/>
        <v>28700000</v>
      </c>
    </row>
    <row r="718" spans="1:1" x14ac:dyDescent="0.25">
      <c r="A718">
        <f t="shared" si="9"/>
        <v>29400000</v>
      </c>
    </row>
    <row r="719" spans="1:1" x14ac:dyDescent="0.25">
      <c r="A719">
        <f t="shared" si="9"/>
        <v>30100000</v>
      </c>
    </row>
    <row r="720" spans="1:1" x14ac:dyDescent="0.25">
      <c r="A720">
        <f t="shared" si="9"/>
        <v>30900000</v>
      </c>
    </row>
    <row r="721" spans="1:1" x14ac:dyDescent="0.25">
      <c r="A721">
        <f t="shared" si="9"/>
        <v>31600000</v>
      </c>
    </row>
    <row r="722" spans="1:1" x14ac:dyDescent="0.25">
      <c r="A722">
        <f t="shared" si="9"/>
        <v>32400000</v>
      </c>
    </row>
    <row r="723" spans="1:1" x14ac:dyDescent="0.25">
      <c r="A723">
        <f t="shared" si="9"/>
        <v>33200000</v>
      </c>
    </row>
    <row r="724" spans="1:1" x14ac:dyDescent="0.25">
      <c r="A724">
        <f t="shared" si="9"/>
        <v>34000000</v>
      </c>
    </row>
    <row r="725" spans="1:1" x14ac:dyDescent="0.25">
      <c r="A725">
        <f t="shared" si="9"/>
        <v>34800000</v>
      </c>
    </row>
    <row r="726" spans="1:1" x14ac:dyDescent="0.25">
      <c r="A726">
        <f t="shared" si="9"/>
        <v>35700000</v>
      </c>
    </row>
    <row r="727" spans="1:1" x14ac:dyDescent="0.25">
      <c r="A727">
        <f t="shared" si="9"/>
        <v>36500000</v>
      </c>
    </row>
    <row r="728" spans="1:1" x14ac:dyDescent="0.25">
      <c r="A728">
        <f t="shared" si="9"/>
        <v>37400000</v>
      </c>
    </row>
    <row r="729" spans="1:1" x14ac:dyDescent="0.25">
      <c r="A729">
        <f t="shared" si="9"/>
        <v>38300000</v>
      </c>
    </row>
    <row r="730" spans="1:1" x14ac:dyDescent="0.25">
      <c r="A730">
        <f t="shared" si="9"/>
        <v>39200000</v>
      </c>
    </row>
    <row r="731" spans="1:1" x14ac:dyDescent="0.25">
      <c r="A731">
        <f t="shared" si="9"/>
        <v>40200000</v>
      </c>
    </row>
    <row r="732" spans="1:1" x14ac:dyDescent="0.25">
      <c r="A732">
        <f t="shared" si="9"/>
        <v>41200000</v>
      </c>
    </row>
    <row r="733" spans="1:1" x14ac:dyDescent="0.25">
      <c r="A733">
        <f t="shared" si="9"/>
        <v>42200000</v>
      </c>
    </row>
    <row r="734" spans="1:1" x14ac:dyDescent="0.25">
      <c r="A734">
        <f t="shared" si="9"/>
        <v>43200000</v>
      </c>
    </row>
    <row r="735" spans="1:1" x14ac:dyDescent="0.25">
      <c r="A735">
        <f t="shared" si="9"/>
        <v>44200000</v>
      </c>
    </row>
    <row r="736" spans="1:1" x14ac:dyDescent="0.25">
      <c r="A736">
        <f t="shared" si="9"/>
        <v>45300000</v>
      </c>
    </row>
    <row r="737" spans="1:1" x14ac:dyDescent="0.25">
      <c r="A737">
        <f t="shared" si="9"/>
        <v>46400000</v>
      </c>
    </row>
    <row r="738" spans="1:1" x14ac:dyDescent="0.25">
      <c r="A738">
        <f t="shared" ref="A738:A769" si="10">A642*10</f>
        <v>47500000</v>
      </c>
    </row>
    <row r="739" spans="1:1" x14ac:dyDescent="0.25">
      <c r="A739">
        <f t="shared" si="10"/>
        <v>48700000</v>
      </c>
    </row>
    <row r="740" spans="1:1" x14ac:dyDescent="0.25">
      <c r="A740">
        <f t="shared" si="10"/>
        <v>49900000.000000007</v>
      </c>
    </row>
    <row r="741" spans="1:1" x14ac:dyDescent="0.25">
      <c r="A741">
        <f t="shared" si="10"/>
        <v>51100000</v>
      </c>
    </row>
    <row r="742" spans="1:1" x14ac:dyDescent="0.25">
      <c r="A742">
        <f t="shared" si="10"/>
        <v>52300000</v>
      </c>
    </row>
    <row r="743" spans="1:1" x14ac:dyDescent="0.25">
      <c r="A743">
        <f t="shared" si="10"/>
        <v>53600000</v>
      </c>
    </row>
    <row r="744" spans="1:1" x14ac:dyDescent="0.25">
      <c r="A744">
        <f t="shared" si="10"/>
        <v>54900000</v>
      </c>
    </row>
    <row r="745" spans="1:1" x14ac:dyDescent="0.25">
      <c r="A745">
        <f t="shared" si="10"/>
        <v>56200000</v>
      </c>
    </row>
    <row r="746" spans="1:1" x14ac:dyDescent="0.25">
      <c r="A746">
        <f t="shared" si="10"/>
        <v>57600000</v>
      </c>
    </row>
    <row r="747" spans="1:1" x14ac:dyDescent="0.25">
      <c r="A747">
        <f t="shared" si="10"/>
        <v>59000000</v>
      </c>
    </row>
    <row r="748" spans="1:1" x14ac:dyDescent="0.25">
      <c r="A748">
        <f t="shared" si="10"/>
        <v>60400000</v>
      </c>
    </row>
    <row r="749" spans="1:1" x14ac:dyDescent="0.25">
      <c r="A749">
        <f t="shared" si="10"/>
        <v>61899999.999999993</v>
      </c>
    </row>
    <row r="750" spans="1:1" x14ac:dyDescent="0.25">
      <c r="A750">
        <f t="shared" si="10"/>
        <v>63400000</v>
      </c>
    </row>
    <row r="751" spans="1:1" x14ac:dyDescent="0.25">
      <c r="A751">
        <f t="shared" si="10"/>
        <v>64900000</v>
      </c>
    </row>
    <row r="752" spans="1:1" x14ac:dyDescent="0.25">
      <c r="A752">
        <f t="shared" si="10"/>
        <v>66500000</v>
      </c>
    </row>
    <row r="753" spans="1:1" x14ac:dyDescent="0.25">
      <c r="A753">
        <f t="shared" si="10"/>
        <v>68100000</v>
      </c>
    </row>
    <row r="754" spans="1:1" x14ac:dyDescent="0.25">
      <c r="A754">
        <f t="shared" si="10"/>
        <v>69800000</v>
      </c>
    </row>
    <row r="755" spans="1:1" x14ac:dyDescent="0.25">
      <c r="A755">
        <f t="shared" si="10"/>
        <v>71500000</v>
      </c>
    </row>
    <row r="756" spans="1:1" x14ac:dyDescent="0.25">
      <c r="A756">
        <f t="shared" si="10"/>
        <v>73200000</v>
      </c>
    </row>
    <row r="757" spans="1:1" x14ac:dyDescent="0.25">
      <c r="A757">
        <f t="shared" si="10"/>
        <v>75000000</v>
      </c>
    </row>
    <row r="758" spans="1:1" x14ac:dyDescent="0.25">
      <c r="A758">
        <f t="shared" si="10"/>
        <v>76800000</v>
      </c>
    </row>
    <row r="759" spans="1:1" x14ac:dyDescent="0.25">
      <c r="A759">
        <f t="shared" si="10"/>
        <v>78700000</v>
      </c>
    </row>
    <row r="760" spans="1:1" x14ac:dyDescent="0.25">
      <c r="A760">
        <f t="shared" si="10"/>
        <v>80600000</v>
      </c>
    </row>
    <row r="761" spans="1:1" x14ac:dyDescent="0.25">
      <c r="A761">
        <f t="shared" si="10"/>
        <v>82500000</v>
      </c>
    </row>
    <row r="762" spans="1:1" x14ac:dyDescent="0.25">
      <c r="A762">
        <f t="shared" si="10"/>
        <v>84500000</v>
      </c>
    </row>
    <row r="763" spans="1:1" x14ac:dyDescent="0.25">
      <c r="A763">
        <f t="shared" si="10"/>
        <v>86600000</v>
      </c>
    </row>
    <row r="764" spans="1:1" x14ac:dyDescent="0.25">
      <c r="A764">
        <f t="shared" si="10"/>
        <v>88700000.000000015</v>
      </c>
    </row>
    <row r="765" spans="1:1" x14ac:dyDescent="0.25">
      <c r="A765">
        <f t="shared" si="10"/>
        <v>90900000</v>
      </c>
    </row>
    <row r="766" spans="1:1" x14ac:dyDescent="0.25">
      <c r="A766">
        <f t="shared" si="10"/>
        <v>93100000</v>
      </c>
    </row>
    <row r="767" spans="1:1" x14ac:dyDescent="0.25">
      <c r="A767">
        <f t="shared" si="10"/>
        <v>95300000</v>
      </c>
    </row>
    <row r="768" spans="1:1" x14ac:dyDescent="0.25">
      <c r="A768">
        <f t="shared" si="10"/>
        <v>97600000</v>
      </c>
    </row>
    <row r="769" spans="1:1" x14ac:dyDescent="0.25">
      <c r="A769">
        <f t="shared" si="10"/>
        <v>100000000</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E5B23-6B9C-4B9E-919D-870D0C3BD4D5}">
  <sheetPr codeName="Sheet5"/>
  <dimension ref="A1:C8"/>
  <sheetViews>
    <sheetView topLeftCell="A3" zoomScale="85" zoomScaleNormal="85" workbookViewId="0">
      <selection activeCell="A9" sqref="A9"/>
    </sheetView>
  </sheetViews>
  <sheetFormatPr defaultRowHeight="13.2" x14ac:dyDescent="0.25"/>
  <cols>
    <col min="1" max="1" width="106.44140625" customWidth="1"/>
    <col min="2" max="2" width="14.44140625" bestFit="1" customWidth="1"/>
  </cols>
  <sheetData>
    <row r="1" spans="1:3" ht="401.4" customHeight="1" x14ac:dyDescent="0.25">
      <c r="A1" s="1"/>
      <c r="B1" s="1" t="s">
        <v>385</v>
      </c>
      <c r="C1" s="1"/>
    </row>
    <row r="2" spans="1:3" ht="349.2" customHeight="1" x14ac:dyDescent="0.25">
      <c r="A2" s="1"/>
      <c r="B2" s="1" t="s">
        <v>440</v>
      </c>
      <c r="C2" s="1"/>
    </row>
    <row r="3" spans="1:3" ht="136.19999999999999" customHeight="1" x14ac:dyDescent="0.25">
      <c r="A3" s="156" t="s">
        <v>513</v>
      </c>
      <c r="B3" s="1" t="s">
        <v>512</v>
      </c>
      <c r="C3" s="1"/>
    </row>
    <row r="4" spans="1:3" x14ac:dyDescent="0.25">
      <c r="A4" s="1"/>
      <c r="B4" s="1"/>
      <c r="C4" s="1"/>
    </row>
    <row r="5" spans="1:3" x14ac:dyDescent="0.25">
      <c r="A5" s="1"/>
      <c r="B5" s="1"/>
      <c r="C5" s="1"/>
    </row>
    <row r="6" spans="1:3" x14ac:dyDescent="0.25">
      <c r="A6" s="1"/>
      <c r="B6" s="1"/>
      <c r="C6" s="1"/>
    </row>
    <row r="7" spans="1:3" x14ac:dyDescent="0.25">
      <c r="A7" s="1"/>
      <c r="B7" s="1"/>
      <c r="C7" s="1"/>
    </row>
    <row r="8" spans="1:3" x14ac:dyDescent="0.25">
      <c r="A8" s="1"/>
      <c r="B8" s="1"/>
      <c r="C8" s="1"/>
    </row>
  </sheetData>
  <pageMargins left="0.7" right="0.7" top="0.75" bottom="0.75" header="0.3" footer="0.3"/>
  <pageSetup orientation="portrait" r:id="rId1"/>
  <drawing r:id="rId2"/>
  <legacyDrawing r:id="rId3"/>
  <oleObjects>
    <mc:AlternateContent xmlns:mc="http://schemas.openxmlformats.org/markup-compatibility/2006">
      <mc:Choice Requires="x14">
        <oleObject progId="Visio.Drawing.15" shapeId="6145" r:id="rId4">
          <objectPr defaultSize="0" r:id="rId5">
            <anchor moveWithCells="1">
              <from>
                <xdr:col>0</xdr:col>
                <xdr:colOff>60960</xdr:colOff>
                <xdr:row>0</xdr:row>
                <xdr:rowOff>76200</xdr:rowOff>
              </from>
              <to>
                <xdr:col>0</xdr:col>
                <xdr:colOff>7200900</xdr:colOff>
                <xdr:row>0</xdr:row>
                <xdr:rowOff>4945380</xdr:rowOff>
              </to>
            </anchor>
          </objectPr>
        </oleObject>
      </mc:Choice>
      <mc:Fallback>
        <oleObject progId="Visio.Drawing.15" shapeId="6145" r:id="rId4"/>
      </mc:Fallback>
    </mc:AlternateContent>
    <mc:AlternateContent xmlns:mc="http://schemas.openxmlformats.org/markup-compatibility/2006">
      <mc:Choice Requires="x14">
        <oleObject progId="Visio.Drawing.15" shapeId="6147" r:id="rId6">
          <objectPr defaultSize="0" autoPict="0" r:id="rId7">
            <anchor moveWithCells="1">
              <from>
                <xdr:col>0</xdr:col>
                <xdr:colOff>68580</xdr:colOff>
                <xdr:row>1</xdr:row>
                <xdr:rowOff>60960</xdr:rowOff>
              </from>
              <to>
                <xdr:col>0</xdr:col>
                <xdr:colOff>7185660</xdr:colOff>
                <xdr:row>1</xdr:row>
                <xdr:rowOff>4351020</xdr:rowOff>
              </to>
            </anchor>
          </objectPr>
        </oleObject>
      </mc:Choice>
      <mc:Fallback>
        <oleObject progId="Visio.Drawing.15" shapeId="6147" r:id="rId6"/>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8D266-1C9E-4CB4-9BDB-66E0A9FBB5C9}">
  <sheetPr codeName="Sheet6"/>
  <dimension ref="A1:CF139"/>
  <sheetViews>
    <sheetView zoomScale="85" zoomScaleNormal="85" workbookViewId="0">
      <selection activeCell="A10" sqref="A10"/>
    </sheetView>
  </sheetViews>
  <sheetFormatPr defaultRowHeight="13.2" x14ac:dyDescent="0.25"/>
  <cols>
    <col min="1" max="1" width="113.33203125" customWidth="1"/>
    <col min="2" max="2" width="14.5546875" bestFit="1" customWidth="1"/>
    <col min="3" max="3" width="10" bestFit="1" customWidth="1"/>
    <col min="4" max="4" width="12" bestFit="1" customWidth="1"/>
    <col min="5" max="5" width="8.33203125" bestFit="1" customWidth="1"/>
    <col min="6" max="6" width="14.33203125" bestFit="1" customWidth="1"/>
    <col min="7" max="7" width="13.88671875" customWidth="1"/>
    <col min="8" max="8" width="14.109375" customWidth="1"/>
    <col min="9" max="9" width="20.44140625" bestFit="1" customWidth="1"/>
    <col min="10" max="10" width="22.44140625" bestFit="1" customWidth="1"/>
    <col min="11" max="11" width="19.5546875" customWidth="1"/>
    <col min="12" max="12" width="13" customWidth="1"/>
    <col min="13" max="13" width="19.5546875" customWidth="1"/>
    <col min="14" max="14" width="14.5546875" bestFit="1" customWidth="1"/>
    <col min="15" max="15" width="16.5546875" bestFit="1" customWidth="1"/>
    <col min="16" max="16" width="16.21875" customWidth="1"/>
    <col min="17" max="17" width="18" customWidth="1"/>
    <col min="18" max="18" width="15.33203125" customWidth="1"/>
    <col min="19" max="19" width="15" customWidth="1"/>
    <col min="20" max="20" width="17.109375" bestFit="1" customWidth="1"/>
    <col min="21" max="21" width="17.109375" customWidth="1"/>
    <col min="22" max="22" width="17.77734375" customWidth="1"/>
    <col min="23" max="25" width="16" customWidth="1"/>
    <col min="27" max="27" width="22" customWidth="1"/>
    <col min="28" max="28" width="22.77734375" bestFit="1" customWidth="1"/>
    <col min="29" max="29" width="19.109375" bestFit="1" customWidth="1"/>
    <col min="30" max="30" width="21.109375" bestFit="1" customWidth="1"/>
    <col min="31" max="31" width="19.88671875" customWidth="1"/>
    <col min="32" max="32" width="20.5546875" customWidth="1"/>
    <col min="35" max="35" width="11.44140625" bestFit="1" customWidth="1"/>
    <col min="36" max="36" width="9.5546875" bestFit="1" customWidth="1"/>
    <col min="37" max="37" width="11.33203125" customWidth="1"/>
    <col min="38" max="38" width="9.5546875" bestFit="1" customWidth="1"/>
    <col min="39" max="39" width="11.44140625" bestFit="1" customWidth="1"/>
    <col min="40" max="40" width="12.21875" customWidth="1"/>
    <col min="41" max="42" width="13.109375" bestFit="1" customWidth="1"/>
    <col min="43" max="43" width="14.33203125" bestFit="1" customWidth="1"/>
    <col min="44" max="44" width="11.44140625" bestFit="1" customWidth="1"/>
    <col min="49" max="49" width="15.77734375" bestFit="1" customWidth="1"/>
    <col min="50" max="50" width="15.44140625" customWidth="1"/>
    <col min="51" max="51" width="14.88671875" customWidth="1"/>
    <col min="52" max="52" width="15.5546875" bestFit="1" customWidth="1"/>
    <col min="53" max="54" width="17.109375" customWidth="1"/>
    <col min="55" max="55" width="18.77734375" customWidth="1"/>
    <col min="56" max="56" width="23.6640625" customWidth="1"/>
    <col min="57" max="57" width="20.88671875" customWidth="1"/>
    <col min="58" max="58" width="22" customWidth="1"/>
    <col min="59" max="59" width="22.6640625" customWidth="1"/>
    <col min="60" max="60" width="21.77734375" customWidth="1"/>
    <col min="61" max="61" width="19.21875" customWidth="1"/>
    <col min="64" max="64" width="10.77734375" bestFit="1" customWidth="1"/>
    <col min="66" max="66" width="14.88671875" bestFit="1" customWidth="1"/>
    <col min="68" max="68" width="10.44140625" bestFit="1" customWidth="1"/>
    <col min="73" max="73" width="12.21875" customWidth="1"/>
    <col min="83" max="83" width="112.77734375" customWidth="1"/>
  </cols>
  <sheetData>
    <row r="1" spans="1:84" ht="372.6" customHeight="1" x14ac:dyDescent="0.25">
      <c r="A1" s="1"/>
      <c r="B1" s="1"/>
      <c r="CD1" s="1"/>
      <c r="CE1" s="1"/>
      <c r="CF1" s="1"/>
    </row>
    <row r="2" spans="1:84" ht="16.2" customHeight="1" x14ac:dyDescent="0.25">
      <c r="A2" s="1" t="s">
        <v>433</v>
      </c>
      <c r="B2" s="1"/>
      <c r="CD2" s="1"/>
      <c r="CE2" s="1" t="s">
        <v>439</v>
      </c>
      <c r="CF2" s="1"/>
    </row>
    <row r="3" spans="1:84" ht="17.399999999999999" x14ac:dyDescent="0.3">
      <c r="AJ3" s="134" t="str">
        <f>"Phase Margin = "&amp;ROUND(AJ8,0)&amp;" °"</f>
        <v>Phase Margin = 65 °</v>
      </c>
      <c r="AK3" s="46"/>
      <c r="AM3" s="46"/>
      <c r="AO3" s="135" t="str">
        <f>"Gain Margin = "&amp;-1*ROUND(AL8,1)&amp;" dB"</f>
        <v>Gain Margin = 13.7 dB</v>
      </c>
      <c r="BM3" s="134" t="str">
        <f>"Phase Margin = "&amp;ROUND(BM8,0)&amp;" °"</f>
        <v>Phase Margin = 79 °</v>
      </c>
      <c r="BN3" s="46"/>
      <c r="BP3" s="46"/>
      <c r="BR3" s="135" t="str">
        <f>"Gain Margin = "&amp;-1*ROUND(BO8,1)&amp;" dB"</f>
        <v>Gain Margin = 21.1 dB</v>
      </c>
    </row>
    <row r="5" spans="1:84" ht="13.8" thickBot="1" x14ac:dyDescent="0.3"/>
    <row r="6" spans="1:84" ht="27.6" x14ac:dyDescent="0.35">
      <c r="AI6" s="133" t="s">
        <v>438</v>
      </c>
      <c r="AJ6" s="39" t="s">
        <v>430</v>
      </c>
      <c r="AK6" s="39" t="s">
        <v>431</v>
      </c>
      <c r="AL6" s="127" t="s">
        <v>224</v>
      </c>
      <c r="AM6" s="132" t="s">
        <v>434</v>
      </c>
      <c r="AN6" s="129"/>
      <c r="AO6" s="133" t="s">
        <v>435</v>
      </c>
      <c r="AP6" s="132" t="s">
        <v>437</v>
      </c>
      <c r="AQ6" s="129"/>
      <c r="AR6" s="132" t="s">
        <v>436</v>
      </c>
      <c r="AS6" s="129"/>
      <c r="BL6" s="133" t="s">
        <v>438</v>
      </c>
      <c r="BM6" s="39" t="s">
        <v>430</v>
      </c>
      <c r="BN6" s="39" t="s">
        <v>431</v>
      </c>
      <c r="BO6" s="127" t="s">
        <v>224</v>
      </c>
      <c r="BP6" s="132" t="s">
        <v>456</v>
      </c>
      <c r="BQ6" s="129"/>
      <c r="BR6" s="133" t="s">
        <v>435</v>
      </c>
      <c r="BS6" s="132" t="s">
        <v>437</v>
      </c>
      <c r="BT6" s="129"/>
      <c r="BU6" s="132" t="s">
        <v>436</v>
      </c>
      <c r="BV6" s="129"/>
      <c r="BX6" s="153" t="s">
        <v>490</v>
      </c>
    </row>
    <row r="7" spans="1:84" ht="13.8" thickBot="1" x14ac:dyDescent="0.3">
      <c r="D7" s="56"/>
      <c r="E7" s="56"/>
      <c r="F7" s="56"/>
      <c r="G7" s="58"/>
      <c r="H7" s="59"/>
      <c r="I7" s="56"/>
      <c r="AH7" t="s">
        <v>428</v>
      </c>
      <c r="AI7">
        <v>0</v>
      </c>
      <c r="AJ7" s="125">
        <f>AI8</f>
        <v>26048.264258975963</v>
      </c>
      <c r="AK7">
        <v>-180</v>
      </c>
      <c r="AL7" s="47">
        <f>AK8</f>
        <v>86227.225332862727</v>
      </c>
      <c r="AM7" s="130">
        <v>-45</v>
      </c>
      <c r="AN7" s="131">
        <v>-45</v>
      </c>
      <c r="AO7">
        <v>-45</v>
      </c>
      <c r="AP7" s="130">
        <v>-45</v>
      </c>
      <c r="AQ7" s="131">
        <v>-45</v>
      </c>
      <c r="AR7" s="130">
        <v>-45</v>
      </c>
      <c r="AS7" s="131">
        <v>-45</v>
      </c>
      <c r="BK7" t="s">
        <v>428</v>
      </c>
      <c r="BL7">
        <v>0</v>
      </c>
      <c r="BM7" s="125">
        <f>BL8</f>
        <v>17651.729541195858</v>
      </c>
      <c r="BN7">
        <v>-180</v>
      </c>
      <c r="BO7" s="47">
        <f>BN8</f>
        <v>115901.41880769352</v>
      </c>
      <c r="BP7" s="130">
        <v>-45</v>
      </c>
      <c r="BQ7" s="131">
        <v>-45</v>
      </c>
      <c r="BR7">
        <v>-45</v>
      </c>
      <c r="BS7" s="130">
        <v>-45</v>
      </c>
      <c r="BT7" s="131">
        <v>-45</v>
      </c>
      <c r="BU7" s="130">
        <v>-45</v>
      </c>
      <c r="BV7" s="131">
        <v>-45</v>
      </c>
      <c r="BX7">
        <f>f.p_imon</f>
        <v>2382.5595239992208</v>
      </c>
    </row>
    <row r="8" spans="1:84" x14ac:dyDescent="0.25">
      <c r="D8" s="39"/>
      <c r="E8" s="39"/>
      <c r="F8" s="39"/>
      <c r="G8" s="58"/>
      <c r="H8" s="60"/>
      <c r="I8" s="39"/>
      <c r="AH8" t="s">
        <v>429</v>
      </c>
      <c r="AI8" s="126">
        <f>_xlfn.AGGREGATE(15,6,(AI12:AI138)/(AI12:AI138&lt;&gt;0),1)</f>
        <v>26048.264258975963</v>
      </c>
      <c r="AJ8" s="126">
        <f>180+_xlfn.AGGREGATE(15,6,(AJ12:AJ138)/(AJ12:AJ138&lt;&gt;0),1)</f>
        <v>65.256285243441212</v>
      </c>
      <c r="AK8" s="126">
        <f>_xlfn.AGGREGATE(15,6,(AK12:AK138)/(AK12:AK138&lt;&gt;0),1)</f>
        <v>86227.225332862727</v>
      </c>
      <c r="AL8" s="126">
        <f>_xlfn.AGGREGATE(15,6,(AL12:AL138)/(AL12:AL138&lt;&gt;0),1)</f>
        <v>-13.656766588111783</v>
      </c>
      <c r="AM8" s="126">
        <f>_xlfn.AGGREGATE(15,6,(AM12:AM138)/(AM12:AM138&lt;&gt;0),1)</f>
        <v>70549.972846740216</v>
      </c>
      <c r="AN8" s="126">
        <f>_xlfn.AGGREGATE(14,6,(AN12:AN138)/(AN12:AN138&lt;&gt;0),1)</f>
        <v>-10.822006907657606</v>
      </c>
      <c r="AO8" s="126" t="e">
        <f>_xlfn.AGGREGATE(15,6,(AO12:AO138)/(AO12:AO138&lt;&gt;0),1)</f>
        <v>#NUM!</v>
      </c>
      <c r="AP8" s="126">
        <f>f.z_err</f>
        <v>2812.1737998612584</v>
      </c>
      <c r="AQ8" s="126">
        <f>_xlfn.AGGREGATE(15,6,(AQ12:AQ138)/(AQ12:AQ138&lt;&gt;0),1)</f>
        <v>16.52358692548755</v>
      </c>
      <c r="AR8" s="126" t="e">
        <f>_xlfn.AGGREGATE(15,6,(AR12:AR138)/(AR12:AR138&lt;&gt;0),1)</f>
        <v>#NUM!</v>
      </c>
      <c r="AS8" s="126" t="e">
        <f>_xlfn.AGGREGATE(14,6,(AS12:AS138)/(AS12:AS138&lt;&gt;0),1)</f>
        <v>#NUM!</v>
      </c>
      <c r="BK8" t="s">
        <v>429</v>
      </c>
      <c r="BL8" s="126">
        <f>_xlfn.AGGREGATE(15,6,(BL12:BL138)/(BL12:BL138&lt;&gt;0),1)</f>
        <v>17651.729541195858</v>
      </c>
      <c r="BM8" s="126">
        <f>180+_xlfn.AGGREGATE(15,6,(BM12:BM138)/(BM12:BM138&lt;&gt;0),1)</f>
        <v>78.741014516848225</v>
      </c>
      <c r="BN8" s="126">
        <f>_xlfn.AGGREGATE(15,6,(BN12:BN138)/(BN12:BN138&lt;&gt;0),1)</f>
        <v>115901.41880769352</v>
      </c>
      <c r="BO8" s="126">
        <f>_xlfn.AGGREGATE(15,6,(BO12:BO138)/(BO12:BO138&lt;&gt;0),1)</f>
        <v>-21.06086426257885</v>
      </c>
      <c r="BP8" s="126">
        <f>_xlfn.AGGREGATE(15,6,(BP12:BP138)/(BP12:BP138&lt;&gt;0),1)</f>
        <v>74632.902099741943</v>
      </c>
      <c r="BQ8" s="126">
        <f>_xlfn.AGGREGATE(15,6,(BQ12:BQ138)/(BQ12:BQ138&lt;&gt;0),1)</f>
        <v>-14.750396470915668</v>
      </c>
      <c r="BR8" s="126" t="e">
        <f>_xlfn.AGGREGATE(15,6,(BR12:BR138)/(BR12:BR138&lt;&gt;0),1)</f>
        <v>#NUM!</v>
      </c>
      <c r="BS8" s="126">
        <f>f.z_err</f>
        <v>2812.1737998612584</v>
      </c>
      <c r="BT8" s="126">
        <f>_xlfn.AGGREGATE(14,6,(BT12:BT138)/(BT12:BT138&lt;&gt;0),1)</f>
        <v>15.022633950350494</v>
      </c>
      <c r="BU8" s="126" t="e">
        <f>_xlfn.AGGREGATE(15,6,(BU12:BU138)/(BU12:BU138&lt;&gt;0),1)</f>
        <v>#NUM!</v>
      </c>
      <c r="BV8" s="126" t="e">
        <f>_xlfn.AGGREGATE(14,6,(BV12:BV138)/(BV12:BV138&lt;&gt;0),1)</f>
        <v>#NUM!</v>
      </c>
      <c r="BX8" s="126">
        <f>_xlfn.AGGREGATE(15,6,(BX12:BX138)/(BX12:BX138&lt;&gt;0),1)</f>
        <v>15.680965764573516</v>
      </c>
    </row>
    <row r="9" spans="1:84" x14ac:dyDescent="0.25">
      <c r="G9" s="58"/>
      <c r="H9" s="58"/>
      <c r="I9" s="57"/>
      <c r="AI9" t="s">
        <v>386</v>
      </c>
      <c r="AJ9" t="s">
        <v>430</v>
      </c>
      <c r="AK9" t="s">
        <v>386</v>
      </c>
      <c r="AL9" t="s">
        <v>224</v>
      </c>
      <c r="AM9" t="s">
        <v>386</v>
      </c>
      <c r="AN9" t="s">
        <v>432</v>
      </c>
      <c r="AO9" t="s">
        <v>386</v>
      </c>
      <c r="AP9" t="s">
        <v>386</v>
      </c>
      <c r="AQ9" t="s">
        <v>432</v>
      </c>
      <c r="AR9" t="s">
        <v>386</v>
      </c>
      <c r="AS9" t="s">
        <v>432</v>
      </c>
      <c r="BL9" t="s">
        <v>386</v>
      </c>
      <c r="BM9" t="s">
        <v>430</v>
      </c>
      <c r="BN9" t="s">
        <v>386</v>
      </c>
      <c r="BO9" t="s">
        <v>224</v>
      </c>
      <c r="BP9" t="s">
        <v>386</v>
      </c>
      <c r="BQ9" t="s">
        <v>432</v>
      </c>
      <c r="BR9" t="s">
        <v>386</v>
      </c>
      <c r="BS9" t="s">
        <v>386</v>
      </c>
      <c r="BT9" t="s">
        <v>432</v>
      </c>
      <c r="BU9" t="s">
        <v>386</v>
      </c>
      <c r="BV9" t="s">
        <v>432</v>
      </c>
    </row>
    <row r="10" spans="1:84" x14ac:dyDescent="0.25">
      <c r="G10" s="58"/>
      <c r="H10" s="58"/>
      <c r="AA10" s="138" t="s">
        <v>447</v>
      </c>
      <c r="AB10" s="46"/>
      <c r="AC10" s="46"/>
      <c r="AD10" s="46"/>
      <c r="AE10" s="46"/>
      <c r="AF10" s="46"/>
      <c r="BD10" s="138" t="s">
        <v>450</v>
      </c>
      <c r="BE10" s="46"/>
      <c r="BF10" s="46"/>
      <c r="BG10" s="46"/>
      <c r="BH10" s="46"/>
      <c r="BI10" s="46"/>
    </row>
    <row r="11" spans="1:84" x14ac:dyDescent="0.25">
      <c r="E11" s="116" t="s">
        <v>293</v>
      </c>
      <c r="F11" s="117" t="s">
        <v>386</v>
      </c>
      <c r="G11" s="97" t="s">
        <v>387</v>
      </c>
      <c r="H11" s="98" t="s">
        <v>388</v>
      </c>
      <c r="I11" s="97" t="s">
        <v>400</v>
      </c>
      <c r="J11" s="98" t="s">
        <v>401</v>
      </c>
      <c r="K11" s="116" t="s">
        <v>402</v>
      </c>
      <c r="L11" s="116" t="s">
        <v>411</v>
      </c>
      <c r="M11" s="116" t="s">
        <v>403</v>
      </c>
      <c r="N11" s="97" t="s">
        <v>404</v>
      </c>
      <c r="O11" s="98" t="s">
        <v>405</v>
      </c>
      <c r="P11" s="116" t="s">
        <v>406</v>
      </c>
      <c r="Q11" s="116" t="s">
        <v>407</v>
      </c>
      <c r="R11" s="116" t="s">
        <v>418</v>
      </c>
      <c r="S11" s="116" t="s">
        <v>421</v>
      </c>
      <c r="T11" s="116" t="s">
        <v>408</v>
      </c>
      <c r="U11" s="136" t="s">
        <v>542</v>
      </c>
      <c r="V11" s="97" t="s">
        <v>412</v>
      </c>
      <c r="W11" s="98" t="s">
        <v>413</v>
      </c>
      <c r="X11" s="154" t="s">
        <v>492</v>
      </c>
      <c r="Y11" s="154" t="s">
        <v>493</v>
      </c>
      <c r="AA11" s="121" t="s">
        <v>422</v>
      </c>
      <c r="AB11" s="122" t="s">
        <v>423</v>
      </c>
      <c r="AC11" s="121" t="s">
        <v>424</v>
      </c>
      <c r="AD11" s="122" t="s">
        <v>425</v>
      </c>
      <c r="AE11" s="124" t="s">
        <v>426</v>
      </c>
      <c r="AF11" s="122" t="s">
        <v>427</v>
      </c>
      <c r="AW11" s="116" t="s">
        <v>443</v>
      </c>
      <c r="AX11" s="116" t="s">
        <v>444</v>
      </c>
      <c r="AY11" s="116" t="s">
        <v>445</v>
      </c>
      <c r="AZ11" s="97" t="s">
        <v>448</v>
      </c>
      <c r="BA11" s="98" t="s">
        <v>449</v>
      </c>
      <c r="BB11" s="140" t="s">
        <v>454</v>
      </c>
      <c r="BC11" s="98" t="s">
        <v>455</v>
      </c>
      <c r="BD11" s="121" t="s">
        <v>422</v>
      </c>
      <c r="BE11" s="122" t="s">
        <v>423</v>
      </c>
      <c r="BF11" s="121" t="s">
        <v>451</v>
      </c>
      <c r="BG11" s="122" t="s">
        <v>452</v>
      </c>
      <c r="BH11" s="124" t="s">
        <v>426</v>
      </c>
      <c r="BI11" s="122" t="s">
        <v>427</v>
      </c>
    </row>
    <row r="12" spans="1:84" x14ac:dyDescent="0.25">
      <c r="C12" t="s">
        <v>391</v>
      </c>
      <c r="D12" s="57">
        <f>V.slope_typ*f.sw</f>
        <v>211500</v>
      </c>
      <c r="E12">
        <v>1</v>
      </c>
      <c r="F12">
        <v>1</v>
      </c>
      <c r="G12" s="58">
        <f t="shared" ref="G12:G43" si="0">20*LOG(IMABS(IMDIV(1,IMSUM(0,IMSUM(COMPLEX(0,2*PI*F12/Wsh),COMPLEX(1-(F12/fsw_sh)^2,0))))))</f>
        <v>-4.9247335823552587E-10</v>
      </c>
      <c r="H12" s="58">
        <f>180/PI*IMARGUMENT(IMDIV(1,IMSUM(0,IMSUM(COMPLEX(0,2*PI*F12/Wsh),COMPLEX(1-(F12/fsw_sh)^2,0)))))</f>
        <v>-7.0081914891390962E-4</v>
      </c>
      <c r="I12">
        <f>20*LOG(IMABS(IMPRODUCT(A_COMP2VOUT,IMDIV(COMPLEX(1, 2*PI*F12/Wesr_zero),COMPLEX(1, 2*PI*F12/Wload_pole)))))</f>
        <v>16.221668641109282</v>
      </c>
      <c r="J12">
        <f t="shared" ref="J12:J43" si="1">180/PI*(IMARGUMENT(IMPRODUCT(A_COMP2VOUT,IMDIV(COMPLEX(1, 2*PI*F12/Wesr_zero),COMPLEX(1, 2*PI*F12/Wload_pole)))))</f>
        <v>-7.5768446392133447E-3</v>
      </c>
      <c r="K12" t="str">
        <f t="shared" ref="K12:K43" si="2">IMDIV(IMPRODUCT(COMPLEX(R.fbb,0),IMDIV(COMPLEX(1,0),COMPLEX(0,2*PI*F12*C.fbb))),IMSUM(COMPLEX(R.fbb,0),IMDIV(COMPLEX(1,0),COMPLEX(0,2*PI*F12*C.fbb))) )</f>
        <v>37499.9999991673-0.176714549996076i</v>
      </c>
      <c r="L12" t="str">
        <f t="shared" ref="L12:L43" si="3">IMSUM(COMPLEX(R.ff,0),IMDIV(COMPLEX(1,0),COMPLEX(0,2*PI*F12*C.ff)))</f>
        <v>100000000-159154976203.148i</v>
      </c>
      <c r="M12" t="str">
        <f t="shared" ref="M12:M43" si="4">IMDIV(IMPRODUCT(COMPLEX(R.fbt,0),L12),IMSUM(COMPLEX(R.fbt,0),L12))</f>
        <v>149999.99991104-0.1413715840212i</v>
      </c>
      <c r="N12">
        <f>20*LOG(IMABS(IMDIV(K12,IMSUM(K12,M12))))</f>
        <v>-13.979400082669686</v>
      </c>
      <c r="O12">
        <f t="shared" ref="O12:O43" si="5">180/PI*IMARGUMENT((IMDIV(K12,IMSUM(K12,M12))))</f>
        <v>-1.7280001705861011E-4</v>
      </c>
      <c r="P12" t="str">
        <f t="shared" ref="P12:P43" si="6">IMDIV(COMPLEX(1,0),COMPLEX(0,2*PI*F12*C.hf))</f>
        <v>-35422874.7391827i</v>
      </c>
      <c r="Q12" t="str">
        <f t="shared" ref="Q12:Q43" si="7">IMSUM(R.comp,0,IMDIV(COMPLEX(1,0),COMPLEX(0,2*PI*F12*C.comp)))</f>
        <v>7350-20669477.4289803i</v>
      </c>
      <c r="R12" t="str">
        <f>IMDIV(IMPRODUCT(P12,Q12),IMSUM(P12,Q12))</f>
        <v>2931.21472966936-13052979.6511391i</v>
      </c>
      <c r="S12" t="str">
        <f t="shared" ref="S12:S43" si="8">IMDIV(IMPRODUCT(COMPLEX(R.eaout,0),IMDIV(1,COMPLEX(0,2*PI*F12*C.eaout))),IMSUM(COMPLEX(R.eaout,0),IMDIV(1,COMPLEX(0,2*PI*F12*C.eaout))))</f>
        <v>99999842.0866447-125663.481560266i</v>
      </c>
      <c r="T12" t="str">
        <f>IMDIV(IMPRODUCT(R12,S12),IMSUM(R12,S12))</f>
        <v>1677504.01227082-12831534.5977682i</v>
      </c>
      <c r="U12" t="str">
        <f>IMDIV(COMPLEX(1,0),IMSUM(COMPLEX(1,0),COMPLEX(0,F12/200000)))</f>
        <v>0.999999999975-0.000004999999999875i</v>
      </c>
      <c r="V12">
        <f t="shared" ref="V12:V43" si="9">20*LOG(IMABS(IMPRODUCT(IMPRODUCT(COMPLEX(GM,0),T12),U12)))</f>
        <v>82.239170512893054</v>
      </c>
      <c r="W12">
        <f t="shared" ref="W12:W43" si="10">180/PI*IMARGUMENT((IMPRODUCT(IMPRODUCT(COMPLEX(GM,0),T12),U12)))</f>
        <v>-82.552099954134974</v>
      </c>
      <c r="X12">
        <f>20*LOG(IMABS(U12))</f>
        <v>-1.0857362945991318E-10</v>
      </c>
      <c r="Y12">
        <f t="shared" ref="Y12:Y43" si="11">180/PI*IMARGUMENT((U12))</f>
        <v>-2.8647895716327903E-4</v>
      </c>
      <c r="AA12" s="123">
        <f>G12+I12</f>
        <v>16.221668640616809</v>
      </c>
      <c r="AB12" s="123">
        <f>H12+J12</f>
        <v>-8.2776637881272538E-3</v>
      </c>
      <c r="AC12">
        <f>N12+V12</f>
        <v>68.259770430223369</v>
      </c>
      <c r="AD12">
        <f>O12+W12</f>
        <v>-82.552272754152028</v>
      </c>
      <c r="AE12" s="123">
        <f>AA12+AC12</f>
        <v>84.481439070840182</v>
      </c>
      <c r="AF12" s="123">
        <f>AB12+AD12</f>
        <v>-82.560550417940149</v>
      </c>
      <c r="AI12" s="123">
        <f>IF(AND(AE13&lt;$AI$7,AE12&gt;=$AI$7),(($AI$7-AE12)/(AE13-AE12)*(F13-F12)+F12),0)</f>
        <v>0</v>
      </c>
      <c r="AJ12" s="123">
        <f>IF(AND(F13&gt;$AJ$7,F12&lt;=$AJ$7),(($AJ$7-F12)/(F13-F12)*(AF13-AF12)+AF12),0)</f>
        <v>0</v>
      </c>
      <c r="AK12" s="123">
        <f>IF(AND(AF13&lt;$AK$7,AF12&gt;=$AK$7),(($AK$7-AF12)/(AF13-AF12)*(F13-F12)+F12),0)</f>
        <v>0</v>
      </c>
      <c r="AL12" s="123">
        <f>IF(AND(F13&gt;$AL$7,F12&lt;=$AL$7),(($AL$7-F12)/(F13-F12)*(AE13-AE12)+AE12),0)</f>
        <v>0</v>
      </c>
      <c r="AM12" s="123">
        <f>IF(AND(AB13&lt;$AM$7,AB12&gt;=$AM$7),(($AM$7-AB12)/(AB13-AB12)*(F13-F12)+F12),0)</f>
        <v>0</v>
      </c>
      <c r="AN12" s="123">
        <f>IF(AND(AB13&lt;$AN$7,AB12&gt;=$AN$7),(($AN$7-AB12)/(AB13-AB12)*(AE13-AE12)+AE12),0)</f>
        <v>0</v>
      </c>
      <c r="AO12" s="123">
        <f>IF(AND(J13&gt;$AO$7,J12&lt;=$AO$7),(($AO$7-J12)/(J13-J12)*(F13-F12)+F12),0)</f>
        <v>0</v>
      </c>
      <c r="AP12" s="123"/>
      <c r="AQ12" s="123">
        <f>IF(AND(F12&lt;$AP$8,F13&gt;=$AP$8),($AP$8-F12)/(F13-F12)*(AE13-AE12)+AE12,0)</f>
        <v>0</v>
      </c>
      <c r="AR12" s="123">
        <f>IF(AND(AD13&lt;$AR$7,AD12&gt;=$AR$7),(($AR$7-AD12)/(AD13-AD12)*(F13-F12)+F12),0)</f>
        <v>0</v>
      </c>
      <c r="AS12" s="123">
        <f>IF(AND(AD13&lt;$AS$7,AD12&gt;=$AS$7),(($AS$7-AD12)/(AD13-AD12)*(AE13-AE12)+AE12),0)</f>
        <v>0</v>
      </c>
      <c r="AW12" t="str">
        <f t="shared" ref="AW12:AW43" si="12">COMPLEX(R.imon,0)</f>
        <v>8000</v>
      </c>
      <c r="AX12" t="str">
        <f t="shared" ref="AX12:AX43" si="13">IMSUM(R.imonhf,0,IMDIV(COMPLEX(1,0),COMPLEX(0,2*PI*F12*C.imon)))</f>
        <v>3952-19060476.1919938i</v>
      </c>
      <c r="AY12" t="str">
        <f>IMDIV(IMPRODUCT(AW12,AX12),IMSUM(AW12,AX12))</f>
        <v>7999.99789451138-3.35773220933917i</v>
      </c>
      <c r="AZ12">
        <f t="shared" ref="AZ12:AZ43" si="14">20*LOG(IMABS(IMDIV(IMPRODUCT(IMPRODUCT(COMPLEX(-1,0),COMPLEX(GM.imon,0)),AY12),COMPLEX(A.s_typ,0))))</f>
        <v>4.0823981321750127</v>
      </c>
      <c r="BA12">
        <f t="shared" ref="BA12:BA43" si="15">180/PI*(IMARGUMENT(IMDIV(IMPRODUCT(IMPRODUCT(COMPLEX(1,0),COMPLEX(GM.imon,0)),AY12),COMPLEX(A.s_typ,0))))</f>
        <v>-2.4047995461309559E-2</v>
      </c>
      <c r="BB12">
        <f t="shared" ref="BB12:BB43" si="16">20*LOG(IMABS(IMPRODUCT(A_COMP2CS,IMPRODUCT(IMDIV(COMPLEX(1, 2*PI*F12/Wesr_zero),COMPLEX(1, 2*PI*F12/Wload_pole)),IMDIV(COMPLEX(1, 2*PI*F12/WloadZ),COMPLEX(1, 2*PI*F12/Wesr_zero))))))</f>
        <v>-1.8401305203791041</v>
      </c>
      <c r="BC12">
        <f t="shared" ref="BC12:BC43" si="17">180/PI*(IMARGUMENT(IMPRODUCT(A_COMP2CS,IMPRODUCT(IMDIV(COMPLEX(1, 2*PI*F12/Wesr_zero),COMPLEX(1, 2*PI*F12/Wload_pole)),IMDIV(COMPLEX(1, 2*PI*F12/WloadZ),COMPLEX(1, 2*PI*F12/Wesr_zero))))))</f>
        <v>4.5911541189195687E-3</v>
      </c>
      <c r="BD12" s="123">
        <f>G12+BB12</f>
        <v>-1.8401305208715775</v>
      </c>
      <c r="BE12" s="123">
        <f>H12+BC12</f>
        <v>3.8903349700056592E-3</v>
      </c>
      <c r="BF12">
        <f>AZ12+V12</f>
        <v>86.321568645068069</v>
      </c>
      <c r="BG12">
        <f>BA12+W12</f>
        <v>-82.57614794959629</v>
      </c>
      <c r="BH12" s="123">
        <f>BD12+BF12</f>
        <v>84.481438124196487</v>
      </c>
      <c r="BI12" s="123">
        <f>BE12+BG12</f>
        <v>-82.572257614626281</v>
      </c>
      <c r="BL12" s="123">
        <f>IF(AND(BH13&lt;$BL$7,BH12&gt;=$BL$7),(($BL$7-BH12)/(BH13-BH12)*(F13-F12)+F12),0)</f>
        <v>0</v>
      </c>
      <c r="BM12" s="123">
        <f>IF(AND(F13&gt;$BM$7,F12&lt;=$BM$7),(($BM$7-F12)/(F13-F12)*(BI13-BI12)+BI12),0)</f>
        <v>0</v>
      </c>
      <c r="BN12" s="123">
        <f>IF(AND(BI13&lt;$BN$7,BI12&gt;=$BN$7),(($BN$7-BI12)/(BI13-BI12)*(F13-F12)+F12),0)</f>
        <v>0</v>
      </c>
      <c r="BO12" s="123">
        <f>IF(AND(F13&gt;$BO$7,F12&lt;=$BO$7),(($BO$7-F12)/(F13-F12)*(BH13-BH12)+BH12),0)</f>
        <v>0</v>
      </c>
      <c r="BP12" s="123">
        <f>IF(AND(BE13&lt;$BP$7,BE12&gt;=$BP$7),(($BP$7-BE12)/(BE13-BE12)*(F13-F12)+F12),0)</f>
        <v>0</v>
      </c>
      <c r="BQ12" s="123">
        <f>IF(AND(BE13&lt;$BQ$7,BE12&gt;=$BQ$7),(($BQ$7-BE12)/(BE13-BE12)*(BH13-BH12)+BH12),0)</f>
        <v>0</v>
      </c>
      <c r="BR12" s="123">
        <f>IF(AND(AO13&gt;$BR$7,AO12&lt;=$BR$7),(($BR$7-AO12)/(AO13-AO12)*(F13-F12)+F12),0)</f>
        <v>0</v>
      </c>
      <c r="BS12" s="123"/>
      <c r="BT12" s="123">
        <f>IF(AND(F12&lt;$BS$8,F13&gt;=$AP$8),($AP$8-F12)/(F13-AI12)*(BH13-BH12)+BH12,0)</f>
        <v>0</v>
      </c>
      <c r="BU12" s="123">
        <f>IF(AND(AD13&lt;$BU$7,AD12&gt;=$BU$7),(($BU$7-AD12)/(AD13-AD12)*(F13-F12)+F12),0)</f>
        <v>0</v>
      </c>
      <c r="BV12" s="123">
        <f>IF(BU12=0,0,BH12)</f>
        <v>0</v>
      </c>
      <c r="BX12" s="123">
        <f>IF(AND(F13&gt;$BX$7,F12&lt;=$BX$7),(($BX$7-F12)/(F13-F12)*(BH13-BH12)+BH12),0)</f>
        <v>0</v>
      </c>
      <c r="BY12" s="123"/>
    </row>
    <row r="13" spans="1:84" x14ac:dyDescent="0.25">
      <c r="C13" t="s">
        <v>392</v>
      </c>
      <c r="D13" s="57">
        <f>(V.supply_typ-V.load)/L.out*R.s*A.s_typ</f>
        <v>303030.3030303031</v>
      </c>
      <c r="E13">
        <v>2</v>
      </c>
      <c r="F13">
        <v>1.5</v>
      </c>
      <c r="G13" s="58">
        <f t="shared" si="0"/>
        <v>-1.1080730117707991E-9</v>
      </c>
      <c r="H13" s="58">
        <f t="shared" ref="H13:H43" si="18">180/PI*IMARGUMENT(IMDIV(1,IMSUM(0,IMSUM(COMPLEX(0,2*PI*F13/Wsh),COMPLEX(1-(F13/fsw_sh)^2,0)))))</f>
        <v>-1.0512287233291251E-3</v>
      </c>
      <c r="I13">
        <f t="shared" ref="I13:I43" si="19">20*LOG(IMABS(IMPRODUCT(A_COMP2VOUT,IMDIV(COMPLEX(1, 2*PI*F13/Wesr_zero),COMPLEX(1, 2*PI*F13/Wload_pole)))))</f>
        <v>16.221668248471168</v>
      </c>
      <c r="J13">
        <f t="shared" si="1"/>
        <v>-1.1365265875700572E-2</v>
      </c>
      <c r="K13" t="str">
        <f t="shared" si="2"/>
        <v>37499.9999981263-0.265071824986755i</v>
      </c>
      <c r="L13" t="str">
        <f t="shared" si="3"/>
        <v>100000000-106103317468.765i</v>
      </c>
      <c r="M13" t="str">
        <f t="shared" si="4"/>
        <v>149999.999799841-0.212057271072085i</v>
      </c>
      <c r="N13">
        <f t="shared" ref="N13:N76" si="20">20*LOG(IMABS(IMDIV(K13,IMSUM(K13,M13))))</f>
        <v>-13.979400077606378</v>
      </c>
      <c r="O13">
        <f t="shared" si="5"/>
        <v>-2.5920005757264545E-4</v>
      </c>
      <c r="P13" t="str">
        <f t="shared" si="6"/>
        <v>-23615249.8261218i</v>
      </c>
      <c r="Q13" t="str">
        <f t="shared" si="7"/>
        <v>7350-13779651.6193202i</v>
      </c>
      <c r="R13" t="str">
        <f t="shared" ref="R13:R76" si="21">IMDIV(IMPRODUCT(P13,Q13),IMSUM(P13,Q13))</f>
        <v>2931.21466675858-8701986.7541665i</v>
      </c>
      <c r="S13" t="str">
        <f t="shared" si="8"/>
        <v>99999644.6956518-188494.850267221i</v>
      </c>
      <c r="T13" t="str">
        <f t="shared" ref="T13:T76" si="22">IMDIV(IMPRODUCT(R13,S13),IMSUM(R13,S13))</f>
        <v>754174.435376205-8634689.19952531i</v>
      </c>
      <c r="U13" t="str">
        <f t="shared" ref="U13:U76" si="23">IMDIV(COMPLEX(1,0),IMSUM(COMPLEX(1,0),COMPLEX(0,F13/200000)))</f>
        <v>0.99999999994375-7.49999999957813E-06i</v>
      </c>
      <c r="V13">
        <f t="shared" si="9"/>
        <v>78.757939462964245</v>
      </c>
      <c r="W13">
        <f t="shared" si="10"/>
        <v>-85.00876441484391</v>
      </c>
      <c r="X13">
        <f t="shared" ref="X13:X76" si="24">20*LOG(IMABS(U13))</f>
        <v>-2.4429018412297988E-10</v>
      </c>
      <c r="Y13">
        <f t="shared" si="11"/>
        <v>-4.2971843574044253E-4</v>
      </c>
      <c r="AA13" s="123">
        <f t="shared" ref="AA13:AA76" si="25">G13+I13</f>
        <v>16.221668247363095</v>
      </c>
      <c r="AB13" s="123">
        <f t="shared" ref="AB13:AB76" si="26">H13+J13</f>
        <v>-1.2416494599029698E-2</v>
      </c>
      <c r="AC13">
        <f t="shared" ref="AC13:AC76" si="27">N13+V13</f>
        <v>64.778539385357874</v>
      </c>
      <c r="AD13">
        <f t="shared" ref="AD13:AD76" si="28">O13+W13</f>
        <v>-85.00902361490148</v>
      </c>
      <c r="AE13" s="123">
        <f t="shared" ref="AE13:AE76" si="29">AA13+AC13</f>
        <v>81.000207632720972</v>
      </c>
      <c r="AF13" s="123">
        <f t="shared" ref="AF13:AF76" si="30">AB13+AD13</f>
        <v>-85.021440109500503</v>
      </c>
      <c r="AI13" s="123">
        <f t="shared" ref="AI13:AI76" si="31">IF(AND(AE14&lt;$AI$7,AE13&gt;=$AI$7),(($AI$7-AE13)/(AE14-AE13)*(F14-F13)+F13),0)</f>
        <v>0</v>
      </c>
      <c r="AJ13" s="123">
        <f t="shared" ref="AJ13:AJ76" si="32">IF(AND(F14&gt;$AJ$7,F13&lt;=$AJ$7),(($AJ$7-F13)/(F14-F13)*(AF14-AF13)+AF13),0)</f>
        <v>0</v>
      </c>
      <c r="AK13" s="123">
        <f t="shared" ref="AK13:AK76" si="33">IF(AND(AF14&lt;$AK$7,AF13&gt;=$AK$7),(($AK$7-AF13)/(AF14-AF13)*(F14-F13)+F13),0)</f>
        <v>0</v>
      </c>
      <c r="AL13" s="123">
        <f t="shared" ref="AL13:AL76" si="34">IF(AND(F14&gt;$AL$7,F13&lt;=$AL$7),(($AL$7-F13)/(F14-F13)*(AE14-AE13)+AE13),0)</f>
        <v>0</v>
      </c>
      <c r="AM13" s="123">
        <f t="shared" ref="AM13:AM76" si="35">IF(AND(AB14&lt;$AM$7,AB13&gt;=$AM$7),(($AM$7-AB13)/(AB14-AB13)*(F14-F13)+F13),0)</f>
        <v>0</v>
      </c>
      <c r="AN13" s="123">
        <f t="shared" ref="AN13:AN76" si="36">IF(AND(AB14&lt;$AN$7,AB13&gt;=$AN$7),(($AN$7-AB13)/(AB14-AB13)*(AE14-AE13)+AE13),0)</f>
        <v>0</v>
      </c>
      <c r="AO13" s="123">
        <f t="shared" ref="AO13:AO76" si="37">IF(AND(J14&gt;$AO$7,J13&lt;=$AO$7),(($AO$7-J13)/(J14-J13)*(F14-F13)+F13),0)</f>
        <v>0</v>
      </c>
      <c r="AP13" s="123"/>
      <c r="AQ13" s="123">
        <f t="shared" ref="AQ13:AQ76" si="38">IF(AND(F13&lt;$AP$8,F14&gt;=$AP$8),($AP$8-F13)/(F14-F13)*(AE14-AE13)+AE13,0)</f>
        <v>0</v>
      </c>
      <c r="AR13" s="123">
        <f t="shared" ref="AR13:AR76" si="39">IF(AND(AD14&lt;$AR$7,AD13&gt;=$AR$7),(($AR$7-AD13)/(AD14-AD13)*(F14-F13)+F13),0)</f>
        <v>0</v>
      </c>
      <c r="AS13" s="123">
        <f t="shared" ref="AS13:AS76" si="40">IF(AND(AD14&lt;$AS$7,AD13&gt;=$AS$7),(($AS$7-AD13)/(AD14-AD13)*(AE14-AE13)+AE13),0)</f>
        <v>0</v>
      </c>
      <c r="AW13" t="str">
        <f t="shared" si="12"/>
        <v>8000</v>
      </c>
      <c r="AX13" t="str">
        <f t="shared" si="13"/>
        <v>3952-12706984.1279958i</v>
      </c>
      <c r="AY13" t="str">
        <f t="shared" ref="AY13:AY76" si="41">IMDIV(IMPRODUCT(AW13,AX13),IMSUM(AW13,AX13))</f>
        <v>7999.99526265294-5.03659583852194i</v>
      </c>
      <c r="AZ13">
        <f t="shared" si="14"/>
        <v>4.0823962309965554</v>
      </c>
      <c r="BA13">
        <f t="shared" si="15"/>
        <v>-3.6071984681925011E-2</v>
      </c>
      <c r="BB13">
        <f t="shared" si="16"/>
        <v>-1.8401301900793865</v>
      </c>
      <c r="BC13">
        <f t="shared" si="17"/>
        <v>6.8867299329988356E-3</v>
      </c>
      <c r="BD13" s="123">
        <f t="shared" ref="BD13:BD76" si="42">G13+BB13</f>
        <v>-1.8401301911874595</v>
      </c>
      <c r="BE13" s="123">
        <f t="shared" ref="BE13:BE76" si="43">H13+BC13</f>
        <v>5.8355012096697103E-3</v>
      </c>
      <c r="BF13">
        <f t="shared" ref="BF13:BF76" si="44">AZ13+V13</f>
        <v>82.840335693960796</v>
      </c>
      <c r="BG13">
        <f t="shared" ref="BG13:BG76" si="45">BA13+W13</f>
        <v>-85.044836399525835</v>
      </c>
      <c r="BH13" s="123">
        <f t="shared" ref="BH13:BH76" si="46">BD13+BF13</f>
        <v>81.000205502773341</v>
      </c>
      <c r="BI13" s="123">
        <f t="shared" ref="BI13:BI76" si="47">BE13+BG13</f>
        <v>-85.039000898316161</v>
      </c>
      <c r="BL13" s="123">
        <f t="shared" ref="BL13:BL76" si="48">IF(AND(BH14&lt;$BL$7,BH13&gt;=$BL$7),(($BL$7-BH13)/(BH14-BH13)*(F14-F13)+F13),0)</f>
        <v>0</v>
      </c>
      <c r="BM13" s="123">
        <f t="shared" ref="BM13:BM76" si="49">IF(AND(F14&gt;$BM$7,F13&lt;=$BM$7),(($BM$7-F13)/(F14-F13)*(BI14-BI13)+BI13),0)</f>
        <v>0</v>
      </c>
      <c r="BN13" s="123">
        <f t="shared" ref="BN13:BN76" si="50">IF(AND(BI14&lt;$BN$7,BI13&gt;=$BN$7),(($BN$7-BI13)/(BI14-BI13)*(F14-F13)+F13),0)</f>
        <v>0</v>
      </c>
      <c r="BO13" s="123">
        <f t="shared" ref="BO13:BO76" si="51">IF(AND(F14&gt;$BO$7,F13&lt;=$BO$7),(($BO$7-F13)/(F14-F13)*(BH14-BH13)+BH13),0)</f>
        <v>0</v>
      </c>
      <c r="BP13" s="123">
        <f t="shared" ref="BP13:BP76" si="52">IF(AND(BE14&lt;$BP$7,BE13&gt;=$BP$7),(($BP$7-BE13)/(BE14-BE13)*(F14-F13)+F13),0)</f>
        <v>0</v>
      </c>
      <c r="BQ13" s="123">
        <f t="shared" ref="BQ13:BQ76" si="53">IF(AND(BE14&lt;$BQ$7,BE13&gt;=$BQ$7),(($BQ$7-BE13)/(BE14-BE13)*(BH14-BH13)+BH13),0)</f>
        <v>0</v>
      </c>
      <c r="BR13" s="123">
        <f t="shared" ref="BR13:BR76" si="54">IF(AND(AO14&gt;$BR$7,AO13&lt;=$BR$7),(($BR$7-AO13)/(AO14-AO13)*(F14-F13)+F13),0)</f>
        <v>0</v>
      </c>
      <c r="BS13" s="123"/>
      <c r="BT13" s="123">
        <f t="shared" ref="BT13:BT76" si="55">IF(AND(F13&lt;$BS$8,F14&gt;=$AP$8),($AP$8-F13)/(F14-AI13)*(BH14-BH13)+BH13,0)</f>
        <v>0</v>
      </c>
      <c r="BU13" s="123">
        <f t="shared" ref="BU13:BU76" si="56">IF(AND(AD14&lt;$BU$7,AD13&gt;=$BU$7),(($BU$7-AD13)/(AD14-AD13)*(F14-F13)+F13),0)</f>
        <v>0</v>
      </c>
      <c r="BV13" s="123">
        <f t="shared" ref="BV13:BV76" si="57">IF(BU13=0,0,BH13)</f>
        <v>0</v>
      </c>
      <c r="BX13" s="123">
        <f t="shared" ref="BX13:BX76" si="58">IF(AND(F14&gt;$BX$7,F13&lt;=$BX$7),(($BX$7-F13)/(F14-F13)*(BH14-BH13)+BH13),0)</f>
        <v>0</v>
      </c>
      <c r="BY13" s="123"/>
    </row>
    <row r="14" spans="1:84" x14ac:dyDescent="0.25">
      <c r="C14" t="s">
        <v>393</v>
      </c>
      <c r="D14" s="57">
        <f>(V.load)/L.out*R.s*A.s_typ</f>
        <v>60606.060606060608</v>
      </c>
      <c r="E14">
        <v>3</v>
      </c>
      <c r="F14">
        <v>2</v>
      </c>
      <c r="G14" s="58">
        <f t="shared" si="0"/>
        <v>-1.9698992190744381E-9</v>
      </c>
      <c r="H14" s="58">
        <f t="shared" si="18"/>
        <v>-1.4016382976942603E-3</v>
      </c>
      <c r="I14">
        <f t="shared" si="19"/>
        <v>16.221667698777939</v>
      </c>
      <c r="J14">
        <f t="shared" si="1"/>
        <v>-1.5153685812444813E-2</v>
      </c>
      <c r="K14" t="str">
        <f t="shared" si="2"/>
        <v>37499.9999966689-0.353429099968605i</v>
      </c>
      <c r="L14" t="str">
        <f t="shared" si="3"/>
        <v>100000000-79577488101.574i</v>
      </c>
      <c r="M14" t="str">
        <f t="shared" si="4"/>
        <v>149999.999644162-0.282742832170129i</v>
      </c>
      <c r="N14">
        <f t="shared" si="20"/>
        <v>-13.979400070517746</v>
      </c>
      <c r="O14">
        <f t="shared" si="5"/>
        <v>-3.4560013646872125E-4</v>
      </c>
      <c r="P14" t="str">
        <f t="shared" si="6"/>
        <v>-17711437.3695914i</v>
      </c>
      <c r="Q14" t="str">
        <f t="shared" si="7"/>
        <v>7350-10334738.7144901i</v>
      </c>
      <c r="R14" t="str">
        <f t="shared" si="21"/>
        <v>2931.21457868353-6526490.40170229i</v>
      </c>
      <c r="S14" t="str">
        <f t="shared" si="8"/>
        <v>99999368.349571-251325.772489652i</v>
      </c>
      <c r="T14" t="str">
        <f t="shared" si="22"/>
        <v>426898.606624811-6497372.72993414i</v>
      </c>
      <c r="U14" t="str">
        <f t="shared" si="23"/>
        <v>0.9999999999-0.000009999999999i</v>
      </c>
      <c r="V14">
        <f t="shared" si="9"/>
        <v>76.273463416622221</v>
      </c>
      <c r="W14">
        <f t="shared" si="10"/>
        <v>-86.24147413146143</v>
      </c>
      <c r="X14">
        <f t="shared" si="24"/>
        <v>-4.3429451784779571E-10</v>
      </c>
      <c r="Y14">
        <f t="shared" si="11"/>
        <v>-5.7295791431223413E-4</v>
      </c>
      <c r="AA14" s="123">
        <f t="shared" si="25"/>
        <v>16.221667696808041</v>
      </c>
      <c r="AB14" s="123">
        <f t="shared" si="26"/>
        <v>-1.6555324110139075E-2</v>
      </c>
      <c r="AC14">
        <f t="shared" si="27"/>
        <v>62.294063346104473</v>
      </c>
      <c r="AD14">
        <f t="shared" si="28"/>
        <v>-86.2418197315979</v>
      </c>
      <c r="AE14" s="123">
        <f t="shared" si="29"/>
        <v>78.515731042912506</v>
      </c>
      <c r="AF14" s="123">
        <f t="shared" si="30"/>
        <v>-86.258375055708044</v>
      </c>
      <c r="AI14" s="123">
        <f t="shared" si="31"/>
        <v>0</v>
      </c>
      <c r="AJ14" s="123">
        <f t="shared" si="32"/>
        <v>0</v>
      </c>
      <c r="AK14" s="123">
        <f t="shared" si="33"/>
        <v>0</v>
      </c>
      <c r="AL14" s="123">
        <f t="shared" si="34"/>
        <v>0</v>
      </c>
      <c r="AM14" s="123">
        <f t="shared" si="35"/>
        <v>0</v>
      </c>
      <c r="AN14" s="123">
        <f t="shared" si="36"/>
        <v>0</v>
      </c>
      <c r="AO14" s="123">
        <f t="shared" si="37"/>
        <v>0</v>
      </c>
      <c r="AP14" s="123"/>
      <c r="AQ14" s="123">
        <f t="shared" si="38"/>
        <v>0</v>
      </c>
      <c r="AR14" s="123">
        <f t="shared" si="39"/>
        <v>0</v>
      </c>
      <c r="AS14" s="123">
        <f t="shared" si="40"/>
        <v>0</v>
      </c>
      <c r="AW14" t="str">
        <f t="shared" si="12"/>
        <v>8000</v>
      </c>
      <c r="AX14" t="str">
        <f t="shared" si="13"/>
        <v>3952-9530238.09599688i</v>
      </c>
      <c r="AY14" t="str">
        <f t="shared" si="41"/>
        <v>7999.99157805553-6.71545649712597i</v>
      </c>
      <c r="AZ14">
        <f t="shared" si="14"/>
        <v>4.0823935693485511</v>
      </c>
      <c r="BA14">
        <f t="shared" si="15"/>
        <v>-4.809596369050391E-2</v>
      </c>
      <c r="BB14">
        <f t="shared" si="16"/>
        <v>-1.840129727660027</v>
      </c>
      <c r="BC14">
        <f t="shared" si="17"/>
        <v>9.1823042526225571E-3</v>
      </c>
      <c r="BD14" s="123">
        <f t="shared" si="42"/>
        <v>-1.8401297296299262</v>
      </c>
      <c r="BE14" s="123">
        <f t="shared" si="43"/>
        <v>7.780665954928297E-3</v>
      </c>
      <c r="BF14">
        <f t="shared" si="44"/>
        <v>80.355856985970775</v>
      </c>
      <c r="BG14">
        <f t="shared" si="45"/>
        <v>-86.28957009515193</v>
      </c>
      <c r="BH14" s="123">
        <f t="shared" si="46"/>
        <v>78.515727256340853</v>
      </c>
      <c r="BI14" s="123">
        <f t="shared" si="47"/>
        <v>-86.281789429197005</v>
      </c>
      <c r="BL14" s="123">
        <f t="shared" si="48"/>
        <v>0</v>
      </c>
      <c r="BM14" s="123">
        <f t="shared" si="49"/>
        <v>0</v>
      </c>
      <c r="BN14" s="123">
        <f t="shared" si="50"/>
        <v>0</v>
      </c>
      <c r="BO14" s="123">
        <f t="shared" si="51"/>
        <v>0</v>
      </c>
      <c r="BP14" s="123">
        <f t="shared" si="52"/>
        <v>0</v>
      </c>
      <c r="BQ14" s="123">
        <f t="shared" si="53"/>
        <v>0</v>
      </c>
      <c r="BR14" s="123">
        <f t="shared" si="54"/>
        <v>0</v>
      </c>
      <c r="BS14" s="123"/>
      <c r="BT14" s="123">
        <f t="shared" si="55"/>
        <v>0</v>
      </c>
      <c r="BU14" s="123">
        <f t="shared" si="56"/>
        <v>0</v>
      </c>
      <c r="BV14" s="123">
        <f t="shared" si="57"/>
        <v>0</v>
      </c>
      <c r="BX14" s="123">
        <f t="shared" si="58"/>
        <v>0</v>
      </c>
      <c r="BY14" s="123"/>
    </row>
    <row r="15" spans="1:84" x14ac:dyDescent="0.25">
      <c r="C15" t="s">
        <v>394</v>
      </c>
      <c r="D15" s="99">
        <f>1+S.slope/S.rise</f>
        <v>1.6979499999999998</v>
      </c>
      <c r="E15">
        <v>4</v>
      </c>
      <c r="F15">
        <v>2.5</v>
      </c>
      <c r="G15" s="58">
        <f t="shared" si="0"/>
        <v>-3.0779703024416068E-9</v>
      </c>
      <c r="H15" s="58">
        <f t="shared" si="18"/>
        <v>-1.752047871992614E-3</v>
      </c>
      <c r="I15">
        <f t="shared" si="19"/>
        <v>16.221666992029718</v>
      </c>
      <c r="J15">
        <f t="shared" si="1"/>
        <v>-1.8942104016199484E-2</v>
      </c>
      <c r="K15" t="str">
        <f t="shared" si="2"/>
        <v>37499.9999947953-0.441786374938684i</v>
      </c>
      <c r="L15" t="str">
        <f t="shared" si="3"/>
        <v>100000000-63661990481.2592i</v>
      </c>
      <c r="M15" t="str">
        <f t="shared" si="4"/>
        <v>149999.999444004-0.353428225333062i</v>
      </c>
      <c r="N15">
        <f t="shared" si="20"/>
        <v>-13.979400061403748</v>
      </c>
      <c r="O15">
        <f t="shared" si="5"/>
        <v>-4.3200026654023231E-4</v>
      </c>
      <c r="P15" t="str">
        <f t="shared" si="6"/>
        <v>-14169149.8956731i</v>
      </c>
      <c r="Q15" t="str">
        <f t="shared" si="7"/>
        <v>7350-8267790.9715921i</v>
      </c>
      <c r="R15" t="str">
        <f t="shared" si="21"/>
        <v>2931.21446544414-5221192.66704143i</v>
      </c>
      <c r="S15" t="str">
        <f t="shared" si="8"/>
        <v>99999013.0497114-314156.099404869i</v>
      </c>
      <c r="T15" t="str">
        <f t="shared" si="22"/>
        <v>274684.791745047-5205844.36845573i</v>
      </c>
      <c r="U15" t="str">
        <f t="shared" si="23"/>
        <v>0.99999999984375-0.0000124999999980469i</v>
      </c>
      <c r="V15">
        <f t="shared" si="9"/>
        <v>74.341898058174309</v>
      </c>
      <c r="W15">
        <f t="shared" si="10"/>
        <v>-86.980340907366823</v>
      </c>
      <c r="X15">
        <f t="shared" si="24"/>
        <v>-6.7858470198299015E-10</v>
      </c>
      <c r="Y15">
        <f t="shared" si="11"/>
        <v>-7.1619739287686528E-4</v>
      </c>
      <c r="AA15" s="123">
        <f t="shared" si="25"/>
        <v>16.221666988951746</v>
      </c>
      <c r="AB15" s="123">
        <f t="shared" si="26"/>
        <v>-2.0694151888192097E-2</v>
      </c>
      <c r="AC15">
        <f t="shared" si="27"/>
        <v>60.362497996770557</v>
      </c>
      <c r="AD15">
        <f t="shared" si="28"/>
        <v>-86.980772907633366</v>
      </c>
      <c r="AE15" s="123">
        <f t="shared" si="29"/>
        <v>76.58416498572231</v>
      </c>
      <c r="AF15" s="123">
        <f t="shared" si="30"/>
        <v>-87.001467059521559</v>
      </c>
      <c r="AI15" s="123">
        <f t="shared" si="31"/>
        <v>0</v>
      </c>
      <c r="AJ15" s="123">
        <f t="shared" si="32"/>
        <v>0</v>
      </c>
      <c r="AK15" s="123">
        <f t="shared" si="33"/>
        <v>0</v>
      </c>
      <c r="AL15" s="123">
        <f t="shared" si="34"/>
        <v>0</v>
      </c>
      <c r="AM15" s="123">
        <f t="shared" si="35"/>
        <v>0</v>
      </c>
      <c r="AN15" s="123">
        <f t="shared" si="36"/>
        <v>0</v>
      </c>
      <c r="AO15" s="123">
        <f t="shared" si="37"/>
        <v>0</v>
      </c>
      <c r="AP15" s="123"/>
      <c r="AQ15" s="123">
        <f t="shared" si="38"/>
        <v>0</v>
      </c>
      <c r="AR15" s="123">
        <f t="shared" si="39"/>
        <v>0</v>
      </c>
      <c r="AS15" s="123">
        <f t="shared" si="40"/>
        <v>0</v>
      </c>
      <c r="AW15" t="str">
        <f t="shared" si="12"/>
        <v>8000</v>
      </c>
      <c r="AX15" t="str">
        <f t="shared" si="13"/>
        <v>3952-7624190.47679751i</v>
      </c>
      <c r="AY15" t="str">
        <f t="shared" si="41"/>
        <v>7999.98684072341-8.3943131949674i</v>
      </c>
      <c r="AZ15">
        <f t="shared" si="14"/>
        <v>4.082390147232581</v>
      </c>
      <c r="BA15">
        <f t="shared" si="15"/>
        <v>-6.011992908305485E-2</v>
      </c>
      <c r="BB15">
        <f t="shared" si="16"/>
        <v>-1.8401291331210836</v>
      </c>
      <c r="BC15">
        <f t="shared" si="17"/>
        <v>1.1477876579640221E-2</v>
      </c>
      <c r="BD15" s="123">
        <f t="shared" si="42"/>
        <v>-1.8401291361990539</v>
      </c>
      <c r="BE15" s="123">
        <f t="shared" si="43"/>
        <v>9.725828707647606E-3</v>
      </c>
      <c r="BF15">
        <f t="shared" si="44"/>
        <v>78.424288205406896</v>
      </c>
      <c r="BG15">
        <f t="shared" si="45"/>
        <v>-87.040460836449881</v>
      </c>
      <c r="BH15" s="123">
        <f t="shared" si="46"/>
        <v>76.584159069207843</v>
      </c>
      <c r="BI15" s="123">
        <f t="shared" si="47"/>
        <v>-87.030735007742237</v>
      </c>
      <c r="BL15" s="123">
        <f t="shared" si="48"/>
        <v>0</v>
      </c>
      <c r="BM15" s="123">
        <f t="shared" si="49"/>
        <v>0</v>
      </c>
      <c r="BN15" s="123">
        <f t="shared" si="50"/>
        <v>0</v>
      </c>
      <c r="BO15" s="123">
        <f t="shared" si="51"/>
        <v>0</v>
      </c>
      <c r="BP15" s="123">
        <f t="shared" si="52"/>
        <v>0</v>
      </c>
      <c r="BQ15" s="123">
        <f t="shared" si="53"/>
        <v>0</v>
      </c>
      <c r="BR15" s="123">
        <f t="shared" si="54"/>
        <v>0</v>
      </c>
      <c r="BS15" s="123"/>
      <c r="BT15" s="123">
        <f t="shared" si="55"/>
        <v>0</v>
      </c>
      <c r="BU15" s="123">
        <f t="shared" si="56"/>
        <v>0</v>
      </c>
      <c r="BV15" s="123">
        <f t="shared" si="57"/>
        <v>0</v>
      </c>
      <c r="BX15" s="123">
        <f t="shared" si="58"/>
        <v>0</v>
      </c>
      <c r="BY15" s="123"/>
    </row>
    <row r="16" spans="1:84" x14ac:dyDescent="0.25">
      <c r="C16" t="s">
        <v>395</v>
      </c>
      <c r="D16" s="99">
        <f>mc*(1-V.load/V.supply_typ)</f>
        <v>1.4149583333333333</v>
      </c>
      <c r="E16">
        <v>5</v>
      </c>
      <c r="F16">
        <v>3</v>
      </c>
      <c r="G16" s="58">
        <f t="shared" si="0"/>
        <v>-4.4322698683996066E-9</v>
      </c>
      <c r="H16" s="58">
        <f t="shared" si="18"/>
        <v>-2.1024574462074927E-3</v>
      </c>
      <c r="I16">
        <f t="shared" si="19"/>
        <v>16.221666128226694</v>
      </c>
      <c r="J16">
        <f t="shared" si="1"/>
        <v>-2.2730520053718121E-2</v>
      </c>
      <c r="K16" t="str">
        <f t="shared" si="2"/>
        <v>37499.9999925053-0.530143649894046i</v>
      </c>
      <c r="L16" t="str">
        <f t="shared" si="3"/>
        <v>100000000-53051658734.3827i</v>
      </c>
      <c r="M16" t="str">
        <f t="shared" si="4"/>
        <v>149999.999199366-0.424113408577361i</v>
      </c>
      <c r="N16">
        <f t="shared" si="20"/>
        <v>-13.97940005026447</v>
      </c>
      <c r="O16">
        <f t="shared" si="5"/>
        <v>-5.1840046058096738E-4</v>
      </c>
      <c r="P16" t="str">
        <f t="shared" si="6"/>
        <v>-11807624.9130609i</v>
      </c>
      <c r="Q16" t="str">
        <f t="shared" si="7"/>
        <v>7350-6889825.80966008i</v>
      </c>
      <c r="R16" t="str">
        <f t="shared" si="21"/>
        <v>2931.21432704048-4350994.24128224i</v>
      </c>
      <c r="S16" t="str">
        <f t="shared" si="8"/>
        <v>99998578.797756-376985.68219488i</v>
      </c>
      <c r="T16" t="str">
        <f t="shared" si="22"/>
        <v>191805.5262227-4341809.36649479i</v>
      </c>
      <c r="U16" t="str">
        <f t="shared" si="23"/>
        <v>0.999999999775-0.000014999999996625i</v>
      </c>
      <c r="V16">
        <f t="shared" si="9"/>
        <v>72.761882257976055</v>
      </c>
      <c r="W16">
        <f t="shared" si="10"/>
        <v>-87.47140072618221</v>
      </c>
      <c r="X16">
        <f t="shared" si="24"/>
        <v>-9.7716266518807683E-10</v>
      </c>
      <c r="Y16">
        <f t="shared" si="11"/>
        <v>-8.5943687143254113E-4</v>
      </c>
      <c r="AA16" s="123">
        <f t="shared" si="25"/>
        <v>16.221666123794424</v>
      </c>
      <c r="AB16" s="123">
        <f t="shared" si="26"/>
        <v>-2.4832977499925614E-2</v>
      </c>
      <c r="AC16">
        <f t="shared" si="27"/>
        <v>58.782482207711581</v>
      </c>
      <c r="AD16">
        <f t="shared" si="28"/>
        <v>-87.471919126642788</v>
      </c>
      <c r="AE16" s="123">
        <f t="shared" si="29"/>
        <v>75.004148331506002</v>
      </c>
      <c r="AF16" s="123">
        <f t="shared" si="30"/>
        <v>-87.496752104142715</v>
      </c>
      <c r="AI16" s="123">
        <f t="shared" si="31"/>
        <v>0</v>
      </c>
      <c r="AJ16" s="123">
        <f t="shared" si="32"/>
        <v>0</v>
      </c>
      <c r="AK16" s="123">
        <f t="shared" si="33"/>
        <v>0</v>
      </c>
      <c r="AL16" s="123">
        <f t="shared" si="34"/>
        <v>0</v>
      </c>
      <c r="AM16" s="123">
        <f t="shared" si="35"/>
        <v>0</v>
      </c>
      <c r="AN16" s="123">
        <f t="shared" si="36"/>
        <v>0</v>
      </c>
      <c r="AO16" s="123">
        <f t="shared" si="37"/>
        <v>0</v>
      </c>
      <c r="AP16" s="123"/>
      <c r="AQ16" s="123">
        <f t="shared" si="38"/>
        <v>0</v>
      </c>
      <c r="AR16" s="123">
        <f t="shared" si="39"/>
        <v>0</v>
      </c>
      <c r="AS16" s="123">
        <f t="shared" si="40"/>
        <v>0</v>
      </c>
      <c r="AW16" t="str">
        <f t="shared" si="12"/>
        <v>8000</v>
      </c>
      <c r="AX16" t="str">
        <f t="shared" si="13"/>
        <v>3952-6353492.06399792i</v>
      </c>
      <c r="AY16" t="str">
        <f t="shared" si="41"/>
        <v>7999.9810506622-10.0731649418702i</v>
      </c>
      <c r="AZ16">
        <f t="shared" si="14"/>
        <v>4.0823859646510003</v>
      </c>
      <c r="BA16">
        <f t="shared" si="15"/>
        <v>-7.2143877455600719E-2</v>
      </c>
      <c r="BB16">
        <f t="shared" si="16"/>
        <v>-1.8401284064629126</v>
      </c>
      <c r="BC16">
        <f t="shared" si="17"/>
        <v>1.3773446415903782E-2</v>
      </c>
      <c r="BD16" s="123">
        <f t="shared" si="42"/>
        <v>-1.8401284108951825</v>
      </c>
      <c r="BE16" s="123">
        <f t="shared" si="43"/>
        <v>1.1670988969696289E-2</v>
      </c>
      <c r="BF16">
        <f t="shared" si="44"/>
        <v>76.844268222627051</v>
      </c>
      <c r="BG16">
        <f t="shared" si="45"/>
        <v>-87.543544603637812</v>
      </c>
      <c r="BH16" s="123">
        <f t="shared" si="46"/>
        <v>75.004139811731875</v>
      </c>
      <c r="BI16" s="123">
        <f t="shared" si="47"/>
        <v>-87.531873614668115</v>
      </c>
      <c r="BL16" s="123">
        <f t="shared" si="48"/>
        <v>0</v>
      </c>
      <c r="BM16" s="123">
        <f t="shared" si="49"/>
        <v>0</v>
      </c>
      <c r="BN16" s="123">
        <f t="shared" si="50"/>
        <v>0</v>
      </c>
      <c r="BO16" s="123">
        <f t="shared" si="51"/>
        <v>0</v>
      </c>
      <c r="BP16" s="123">
        <f t="shared" si="52"/>
        <v>0</v>
      </c>
      <c r="BQ16" s="123">
        <f t="shared" si="53"/>
        <v>0</v>
      </c>
      <c r="BR16" s="123">
        <f t="shared" si="54"/>
        <v>0</v>
      </c>
      <c r="BS16" s="123"/>
      <c r="BT16" s="123">
        <f t="shared" si="55"/>
        <v>0</v>
      </c>
      <c r="BU16" s="123">
        <f t="shared" si="56"/>
        <v>0</v>
      </c>
      <c r="BV16" s="123">
        <f t="shared" si="57"/>
        <v>0</v>
      </c>
      <c r="BX16" s="123">
        <f t="shared" si="58"/>
        <v>0</v>
      </c>
      <c r="BY16" s="123"/>
    </row>
    <row r="17" spans="2:77" x14ac:dyDescent="0.25">
      <c r="C17" t="s">
        <v>396</v>
      </c>
      <c r="D17" s="99">
        <f>1/PI/(kfactor-0.5)</f>
        <v>0.34789557164493379</v>
      </c>
      <c r="E17">
        <v>6</v>
      </c>
      <c r="F17">
        <v>3.5</v>
      </c>
      <c r="G17" s="58">
        <f t="shared" si="0"/>
        <v>-6.0328133463030885E-9</v>
      </c>
      <c r="H17" s="58">
        <f t="shared" si="18"/>
        <v>-2.4528670203221958E-3</v>
      </c>
      <c r="I17">
        <f t="shared" si="19"/>
        <v>16.221665107369049</v>
      </c>
      <c r="J17">
        <f t="shared" si="1"/>
        <v>-2.6518933491756186E-2</v>
      </c>
      <c r="K17" t="str">
        <f t="shared" si="2"/>
        <v>37499.9999897988-0.618500924831748i</v>
      </c>
      <c r="L17" t="str">
        <f t="shared" si="3"/>
        <v>100000000-45472850343.7566i</v>
      </c>
      <c r="M17" t="str">
        <f t="shared" si="4"/>
        <v>149999.99891025-0.494798339919624i</v>
      </c>
      <c r="N17">
        <f t="shared" si="20"/>
        <v>-13.979400037099953</v>
      </c>
      <c r="O17">
        <f t="shared" si="5"/>
        <v>-6.0480073138466644E-4</v>
      </c>
      <c r="P17" t="str">
        <f t="shared" si="6"/>
        <v>-10120821.3540522i</v>
      </c>
      <c r="Q17" t="str">
        <f t="shared" si="7"/>
        <v>7350-5905564.97970864i</v>
      </c>
      <c r="R17" t="str">
        <f t="shared" si="21"/>
        <v>2931.21416347253-3729423.9920383i</v>
      </c>
      <c r="S17" t="str">
        <f t="shared" si="8"/>
        <v>99998065.5957622-439814.37204757i</v>
      </c>
      <c r="T17" t="str">
        <f t="shared" si="22"/>
        <v>141765.335459834-3723417.0916596i</v>
      </c>
      <c r="U17" t="str">
        <f t="shared" si="23"/>
        <v>0.99999999969375-0.0000174999999946406i</v>
      </c>
      <c r="V17">
        <f t="shared" si="9"/>
        <v>71.425124855892378</v>
      </c>
      <c r="W17">
        <f t="shared" si="10"/>
        <v>-87.820595354420149</v>
      </c>
      <c r="X17">
        <f t="shared" si="24"/>
        <v>-1.3300264788137207E-9</v>
      </c>
      <c r="Y17">
        <f t="shared" si="11"/>
        <v>-1.0026763499774742E-3</v>
      </c>
      <c r="AA17" s="123">
        <f t="shared" si="25"/>
        <v>16.221665101336235</v>
      </c>
      <c r="AB17" s="123">
        <f t="shared" si="26"/>
        <v>-2.8971800512078382E-2</v>
      </c>
      <c r="AC17">
        <f t="shared" si="27"/>
        <v>57.445724818792428</v>
      </c>
      <c r="AD17">
        <f t="shared" si="28"/>
        <v>-87.82120015515153</v>
      </c>
      <c r="AE17" s="123">
        <f t="shared" si="29"/>
        <v>73.66738992012867</v>
      </c>
      <c r="AF17" s="123">
        <f t="shared" si="30"/>
        <v>-87.850171955663612</v>
      </c>
      <c r="AI17" s="123">
        <f t="shared" si="31"/>
        <v>0</v>
      </c>
      <c r="AJ17" s="123">
        <f t="shared" si="32"/>
        <v>0</v>
      </c>
      <c r="AK17" s="123">
        <f t="shared" si="33"/>
        <v>0</v>
      </c>
      <c r="AL17" s="123">
        <f t="shared" si="34"/>
        <v>0</v>
      </c>
      <c r="AM17" s="123">
        <f t="shared" si="35"/>
        <v>0</v>
      </c>
      <c r="AN17" s="123">
        <f t="shared" si="36"/>
        <v>0</v>
      </c>
      <c r="AO17" s="123">
        <f t="shared" si="37"/>
        <v>0</v>
      </c>
      <c r="AP17" s="123"/>
      <c r="AQ17" s="123">
        <f t="shared" si="38"/>
        <v>0</v>
      </c>
      <c r="AR17" s="123">
        <f t="shared" si="39"/>
        <v>0</v>
      </c>
      <c r="AS17" s="123">
        <f t="shared" si="40"/>
        <v>0</v>
      </c>
      <c r="AW17" t="str">
        <f t="shared" si="12"/>
        <v>8000</v>
      </c>
      <c r="AX17" t="str">
        <f t="shared" si="13"/>
        <v>3952-5445850.34056965i</v>
      </c>
      <c r="AY17" t="str">
        <f t="shared" si="41"/>
        <v>7999.97420787872-11.7520107476681i</v>
      </c>
      <c r="AZ17">
        <f t="shared" si="14"/>
        <v>4.0823810216064658</v>
      </c>
      <c r="BA17">
        <f t="shared" si="15"/>
        <v>-8.4167805404187376E-2</v>
      </c>
      <c r="BB17">
        <f t="shared" si="16"/>
        <v>-1.8401275476858521</v>
      </c>
      <c r="BC17">
        <f t="shared" si="17"/>
        <v>1.6069013263265399E-2</v>
      </c>
      <c r="BD17" s="123">
        <f t="shared" si="42"/>
        <v>-1.8401275537186654</v>
      </c>
      <c r="BE17" s="123">
        <f t="shared" si="43"/>
        <v>1.3616146242943203E-2</v>
      </c>
      <c r="BF17">
        <f t="shared" si="44"/>
        <v>75.507505877498843</v>
      </c>
      <c r="BG17">
        <f t="shared" si="45"/>
        <v>-87.904763159824341</v>
      </c>
      <c r="BH17" s="123">
        <f t="shared" si="46"/>
        <v>73.667378323780184</v>
      </c>
      <c r="BI17" s="123">
        <f t="shared" si="47"/>
        <v>-87.891147013581403</v>
      </c>
      <c r="BL17" s="123">
        <f t="shared" si="48"/>
        <v>0</v>
      </c>
      <c r="BM17" s="123">
        <f t="shared" si="49"/>
        <v>0</v>
      </c>
      <c r="BN17" s="123">
        <f t="shared" si="50"/>
        <v>0</v>
      </c>
      <c r="BO17" s="123">
        <f t="shared" si="51"/>
        <v>0</v>
      </c>
      <c r="BP17" s="123">
        <f t="shared" si="52"/>
        <v>0</v>
      </c>
      <c r="BQ17" s="123">
        <f t="shared" si="53"/>
        <v>0</v>
      </c>
      <c r="BR17" s="123">
        <f t="shared" si="54"/>
        <v>0</v>
      </c>
      <c r="BS17" s="123"/>
      <c r="BT17" s="123">
        <f t="shared" si="55"/>
        <v>0</v>
      </c>
      <c r="BU17" s="123">
        <f t="shared" si="56"/>
        <v>0</v>
      </c>
      <c r="BV17" s="123">
        <f t="shared" si="57"/>
        <v>0</v>
      </c>
      <c r="BX17" s="123">
        <f t="shared" si="58"/>
        <v>0</v>
      </c>
      <c r="BY17" s="123"/>
    </row>
    <row r="18" spans="2:77" x14ac:dyDescent="0.25">
      <c r="C18" t="s">
        <v>389</v>
      </c>
      <c r="D18" s="57">
        <f>Qfactor*2*PI*f.sw*0.5*1</f>
        <v>513684.59401612089</v>
      </c>
      <c r="E18">
        <v>7</v>
      </c>
      <c r="F18">
        <v>4</v>
      </c>
      <c r="G18" s="58">
        <f t="shared" si="0"/>
        <v>-7.8795949503233739E-9</v>
      </c>
      <c r="H18" s="58">
        <f t="shared" si="18"/>
        <v>-2.8032765943200371E-3</v>
      </c>
      <c r="I18">
        <f t="shared" si="19"/>
        <v>16.221663929457041</v>
      </c>
      <c r="J18">
        <f t="shared" si="1"/>
        <v>-3.0307343897068906E-2</v>
      </c>
      <c r="K18" t="str">
        <f t="shared" si="2"/>
        <v>37499.999986676-0.706858199748849i</v>
      </c>
      <c r="L18" t="str">
        <f t="shared" si="3"/>
        <v>100000000-39788744050.787i</v>
      </c>
      <c r="M18" t="str">
        <f t="shared" si="4"/>
        <v>149999.998576655-0.565482977378054i</v>
      </c>
      <c r="N18">
        <f t="shared" si="20"/>
        <v>-13.979400021910118</v>
      </c>
      <c r="O18">
        <f t="shared" si="5"/>
        <v>-6.9120109174458796E-4</v>
      </c>
      <c r="P18" t="str">
        <f t="shared" si="6"/>
        <v>-8855718.68479568i</v>
      </c>
      <c r="Q18" t="str">
        <f t="shared" si="7"/>
        <v>7350-5167369.35724506i</v>
      </c>
      <c r="R18" t="str">
        <f t="shared" si="21"/>
        <v>2931.2139747403-3263246.35311632i</v>
      </c>
      <c r="S18" t="str">
        <f t="shared" si="8"/>
        <v>99997473.446161-502642.020157875i</v>
      </c>
      <c r="T18" t="str">
        <f t="shared" si="22"/>
        <v>109260.466438209-3259050.82367177i</v>
      </c>
      <c r="U18" t="str">
        <f t="shared" si="23"/>
        <v>0.9999999996-0.000019999999992i</v>
      </c>
      <c r="V18">
        <f t="shared" si="9"/>
        <v>70.266701138094959</v>
      </c>
      <c r="W18">
        <f t="shared" si="10"/>
        <v>-88.081028544313341</v>
      </c>
      <c r="X18">
        <f t="shared" si="24"/>
        <v>-1.7371780715214712E-9</v>
      </c>
      <c r="Y18">
        <f t="shared" si="11"/>
        <v>-1.1459158285098763E-3</v>
      </c>
      <c r="AA18" s="123">
        <f t="shared" si="25"/>
        <v>16.221663921577445</v>
      </c>
      <c r="AB18" s="123">
        <f t="shared" si="26"/>
        <v>-3.3110620491388944E-2</v>
      </c>
      <c r="AC18">
        <f t="shared" si="27"/>
        <v>56.287301116184842</v>
      </c>
      <c r="AD18">
        <f t="shared" si="28"/>
        <v>-88.081719745405081</v>
      </c>
      <c r="AE18" s="123">
        <f t="shared" si="29"/>
        <v>72.508965037762295</v>
      </c>
      <c r="AF18" s="123">
        <f t="shared" si="30"/>
        <v>-88.114830365896466</v>
      </c>
      <c r="AI18" s="123">
        <f t="shared" si="31"/>
        <v>0</v>
      </c>
      <c r="AJ18" s="123">
        <f t="shared" si="32"/>
        <v>0</v>
      </c>
      <c r="AK18" s="123">
        <f t="shared" si="33"/>
        <v>0</v>
      </c>
      <c r="AL18" s="123">
        <f t="shared" si="34"/>
        <v>0</v>
      </c>
      <c r="AM18" s="123">
        <f t="shared" si="35"/>
        <v>0</v>
      </c>
      <c r="AN18" s="123">
        <f t="shared" si="36"/>
        <v>0</v>
      </c>
      <c r="AO18" s="123">
        <f t="shared" si="37"/>
        <v>0</v>
      </c>
      <c r="AP18" s="123"/>
      <c r="AQ18" s="123">
        <f t="shared" si="38"/>
        <v>0</v>
      </c>
      <c r="AR18" s="123">
        <f t="shared" si="39"/>
        <v>0</v>
      </c>
      <c r="AS18" s="123">
        <f t="shared" si="40"/>
        <v>0</v>
      </c>
      <c r="AW18" t="str">
        <f t="shared" si="12"/>
        <v>8000</v>
      </c>
      <c r="AX18" t="str">
        <f t="shared" si="13"/>
        <v>3952-4765119.04799844i</v>
      </c>
      <c r="AY18" t="str">
        <f t="shared" si="41"/>
        <v>7999.96631238106-13.4308496222064i</v>
      </c>
      <c r="AZ18">
        <f t="shared" si="14"/>
        <v>4.0823753181022946</v>
      </c>
      <c r="BA18">
        <f t="shared" si="15"/>
        <v>-9.6191709524883151E-2</v>
      </c>
      <c r="BB18">
        <f t="shared" si="16"/>
        <v>-1.8401265567902583</v>
      </c>
      <c r="BC18">
        <f t="shared" si="17"/>
        <v>1.836457662358117E-2</v>
      </c>
      <c r="BD18" s="123">
        <f t="shared" si="42"/>
        <v>-1.8401265646698532</v>
      </c>
      <c r="BE18" s="123">
        <f t="shared" si="43"/>
        <v>1.5561300029261132E-2</v>
      </c>
      <c r="BF18">
        <f t="shared" si="44"/>
        <v>74.349076456197253</v>
      </c>
      <c r="BG18">
        <f t="shared" si="45"/>
        <v>-88.177220253838229</v>
      </c>
      <c r="BH18" s="123">
        <f t="shared" si="46"/>
        <v>72.508949891527394</v>
      </c>
      <c r="BI18" s="123">
        <f t="shared" si="47"/>
        <v>-88.161658953808967</v>
      </c>
      <c r="BL18" s="123">
        <f t="shared" si="48"/>
        <v>0</v>
      </c>
      <c r="BM18" s="123">
        <f t="shared" si="49"/>
        <v>0</v>
      </c>
      <c r="BN18" s="123">
        <f t="shared" si="50"/>
        <v>0</v>
      </c>
      <c r="BO18" s="123">
        <f t="shared" si="51"/>
        <v>0</v>
      </c>
      <c r="BP18" s="123">
        <f t="shared" si="52"/>
        <v>0</v>
      </c>
      <c r="BQ18" s="123">
        <f t="shared" si="53"/>
        <v>0</v>
      </c>
      <c r="BR18" s="123">
        <f t="shared" si="54"/>
        <v>0</v>
      </c>
      <c r="BS18" s="123"/>
      <c r="BT18" s="123">
        <f t="shared" si="55"/>
        <v>0</v>
      </c>
      <c r="BU18" s="123">
        <f t="shared" si="56"/>
        <v>0</v>
      </c>
      <c r="BV18" s="123">
        <f t="shared" si="57"/>
        <v>0</v>
      </c>
      <c r="BX18" s="123">
        <f t="shared" si="58"/>
        <v>0</v>
      </c>
      <c r="BY18" s="123"/>
    </row>
    <row r="19" spans="2:77" x14ac:dyDescent="0.25">
      <c r="C19" t="s">
        <v>390</v>
      </c>
      <c r="D19">
        <f>f.sw*0.5*1</f>
        <v>235000</v>
      </c>
      <c r="E19">
        <v>8</v>
      </c>
      <c r="F19">
        <v>4.5</v>
      </c>
      <c r="G19" s="58">
        <f t="shared" si="0"/>
        <v>-9.9726117876351236E-9</v>
      </c>
      <c r="H19" s="58">
        <f t="shared" si="18"/>
        <v>-3.1536861681843121E-3</v>
      </c>
      <c r="I19">
        <f t="shared" si="19"/>
        <v>16.221662594490944</v>
      </c>
      <c r="J19">
        <f t="shared" si="1"/>
        <v>-3.4095750836413093E-2</v>
      </c>
      <c r="K19" t="str">
        <f t="shared" si="2"/>
        <v>37499.9999831369-0.795215474642406i</v>
      </c>
      <c r="L19" t="str">
        <f t="shared" si="3"/>
        <v>100000000-35367772489.5884i</v>
      </c>
      <c r="M19" t="str">
        <f t="shared" si="4"/>
        <v>149999.998198582-0.636167278970697i</v>
      </c>
      <c r="N19">
        <f t="shared" si="20"/>
        <v>-13.979400004695</v>
      </c>
      <c r="O19">
        <f t="shared" si="5"/>
        <v>-7.7760155445403634E-4</v>
      </c>
      <c r="P19" t="str">
        <f t="shared" si="6"/>
        <v>-7871749.9420406i</v>
      </c>
      <c r="Q19" t="str">
        <f t="shared" si="7"/>
        <v>7350-4593217.20644006i</v>
      </c>
      <c r="R19" t="str">
        <f t="shared" si="21"/>
        <v>2931.21376084379-2900663.78774231i</v>
      </c>
      <c r="S19" t="str">
        <f t="shared" si="8"/>
        <v>99996802.3517574-565468.477728953i</v>
      </c>
      <c r="T19" t="str">
        <f t="shared" si="22"/>
        <v>86963.0050003673-2897581.0771873i</v>
      </c>
      <c r="U19" t="str">
        <f t="shared" si="23"/>
        <v>0.99999999949375-0.0000224999999886094i</v>
      </c>
      <c r="V19">
        <f t="shared" si="9"/>
        <v>69.24462202299874</v>
      </c>
      <c r="W19">
        <f t="shared" si="10"/>
        <v>-88.282246750604429</v>
      </c>
      <c r="X19">
        <f t="shared" si="24"/>
        <v>-2.1986155146640294E-9</v>
      </c>
      <c r="Y19">
        <f t="shared" si="11"/>
        <v>-1.2891553070279549E-3</v>
      </c>
      <c r="AA19" s="123">
        <f t="shared" si="25"/>
        <v>16.221662584518331</v>
      </c>
      <c r="AB19" s="123">
        <f t="shared" si="26"/>
        <v>-3.7249437004597402E-2</v>
      </c>
      <c r="AC19">
        <f t="shared" si="27"/>
        <v>55.265222018303739</v>
      </c>
      <c r="AD19">
        <f t="shared" si="28"/>
        <v>-88.28302435215889</v>
      </c>
      <c r="AE19" s="123">
        <f t="shared" si="29"/>
        <v>71.486884602822073</v>
      </c>
      <c r="AF19" s="123">
        <f t="shared" si="30"/>
        <v>-88.320273789163494</v>
      </c>
      <c r="AI19" s="123">
        <f t="shared" si="31"/>
        <v>0</v>
      </c>
      <c r="AJ19" s="123">
        <f t="shared" si="32"/>
        <v>0</v>
      </c>
      <c r="AK19" s="123">
        <f t="shared" si="33"/>
        <v>0</v>
      </c>
      <c r="AL19" s="123">
        <f t="shared" si="34"/>
        <v>0</v>
      </c>
      <c r="AM19" s="123">
        <f t="shared" si="35"/>
        <v>0</v>
      </c>
      <c r="AN19" s="123">
        <f t="shared" si="36"/>
        <v>0</v>
      </c>
      <c r="AO19" s="123">
        <f t="shared" si="37"/>
        <v>0</v>
      </c>
      <c r="AP19" s="123"/>
      <c r="AQ19" s="123">
        <f t="shared" si="38"/>
        <v>0</v>
      </c>
      <c r="AR19" s="123">
        <f t="shared" si="39"/>
        <v>0</v>
      </c>
      <c r="AS19" s="123">
        <f t="shared" si="40"/>
        <v>0</v>
      </c>
      <c r="AW19" t="str">
        <f t="shared" si="12"/>
        <v>8000</v>
      </c>
      <c r="AX19" t="str">
        <f t="shared" si="13"/>
        <v>3952-4235661.37599862i</v>
      </c>
      <c r="AY19" t="str">
        <f t="shared" si="41"/>
        <v>7999.95736417854-15.1096805753442i</v>
      </c>
      <c r="AZ19">
        <f t="shared" si="14"/>
        <v>4.0823688541422012</v>
      </c>
      <c r="BA19">
        <f t="shared" si="15"/>
        <v>-0.10821558641378751</v>
      </c>
      <c r="BB19">
        <f t="shared" si="16"/>
        <v>-1.8401254337764648</v>
      </c>
      <c r="BC19">
        <f t="shared" si="17"/>
        <v>2.0660135998708862E-2</v>
      </c>
      <c r="BD19" s="123">
        <f t="shared" si="42"/>
        <v>-1.8401254437490766</v>
      </c>
      <c r="BE19" s="123">
        <f t="shared" si="43"/>
        <v>1.7506449830524549E-2</v>
      </c>
      <c r="BF19">
        <f t="shared" si="44"/>
        <v>73.326990877140943</v>
      </c>
      <c r="BG19">
        <f t="shared" si="45"/>
        <v>-88.390462337018221</v>
      </c>
      <c r="BH19" s="123">
        <f t="shared" si="46"/>
        <v>71.48686543339187</v>
      </c>
      <c r="BI19" s="123">
        <f t="shared" si="47"/>
        <v>-88.3729558871877</v>
      </c>
      <c r="BL19" s="123">
        <f t="shared" si="48"/>
        <v>0</v>
      </c>
      <c r="BM19" s="123">
        <f t="shared" si="49"/>
        <v>0</v>
      </c>
      <c r="BN19" s="123">
        <f t="shared" si="50"/>
        <v>0</v>
      </c>
      <c r="BO19" s="123">
        <f t="shared" si="51"/>
        <v>0</v>
      </c>
      <c r="BP19" s="123">
        <f t="shared" si="52"/>
        <v>0</v>
      </c>
      <c r="BQ19" s="123">
        <f t="shared" si="53"/>
        <v>0</v>
      </c>
      <c r="BR19" s="123">
        <f t="shared" si="54"/>
        <v>0</v>
      </c>
      <c r="BS19" s="123"/>
      <c r="BT19" s="123">
        <f t="shared" si="55"/>
        <v>0</v>
      </c>
      <c r="BU19" s="123">
        <f t="shared" si="56"/>
        <v>0</v>
      </c>
      <c r="BV19" s="123">
        <f t="shared" si="57"/>
        <v>0</v>
      </c>
      <c r="BX19" s="123">
        <f t="shared" si="58"/>
        <v>0</v>
      </c>
      <c r="BY19" s="123"/>
    </row>
    <row r="20" spans="2:77" x14ac:dyDescent="0.25">
      <c r="B20" s="46" t="s">
        <v>442</v>
      </c>
      <c r="C20" t="s">
        <v>397</v>
      </c>
      <c r="D20">
        <f>1/R.s/A.s_typ*(R.load*Wsh*L.out)/(R.load+Wsh*L.out)</f>
        <v>6.4726697328267493</v>
      </c>
      <c r="E20">
        <v>9</v>
      </c>
      <c r="F20">
        <v>5</v>
      </c>
      <c r="G20" s="58">
        <f t="shared" si="0"/>
        <v>-1.2311865787071279E-8</v>
      </c>
      <c r="H20" s="58">
        <f t="shared" si="18"/>
        <v>-3.5040957418983384E-3</v>
      </c>
      <c r="I20">
        <f t="shared" si="19"/>
        <v>16.221661102471078</v>
      </c>
      <c r="J20">
        <f t="shared" si="1"/>
        <v>-3.7884153876548442E-2</v>
      </c>
      <c r="K20" t="str">
        <f t="shared" si="2"/>
        <v>37499.9999791813-0.883572749509471i</v>
      </c>
      <c r="L20" t="str">
        <f t="shared" si="3"/>
        <v>100000000-31830995240.6296i</v>
      </c>
      <c r="M20" t="str">
        <f t="shared" si="4"/>
        <v>149999.997776031-0.706851202716448i</v>
      </c>
      <c r="N20">
        <f t="shared" si="20"/>
        <v>-13.979399985454686</v>
      </c>
      <c r="O20">
        <f t="shared" si="5"/>
        <v>-8.6400213230605695E-4</v>
      </c>
      <c r="P20" t="str">
        <f t="shared" si="6"/>
        <v>-7084574.94783654i</v>
      </c>
      <c r="Q20" t="str">
        <f t="shared" si="7"/>
        <v>7350-4133895.48579605i</v>
      </c>
      <c r="R20" t="str">
        <f t="shared" si="21"/>
        <v>2931.21352178304-2610597.77385191i</v>
      </c>
      <c r="S20" t="str">
        <f t="shared" si="8"/>
        <v>99996052.3157305-628293.59597336i</v>
      </c>
      <c r="T20" t="str">
        <f t="shared" si="22"/>
        <v>71007.6542021828-2608239.78353165i</v>
      </c>
      <c r="U20" t="str">
        <f t="shared" si="23"/>
        <v>0.999999999375-0.000024999999984375i</v>
      </c>
      <c r="V20">
        <f t="shared" si="9"/>
        <v>68.330167945222385</v>
      </c>
      <c r="W20">
        <f t="shared" si="10"/>
        <v>-88.441995163655221</v>
      </c>
      <c r="X20">
        <f t="shared" si="24"/>
        <v>-2.7143407369049804E-9</v>
      </c>
      <c r="Y20">
        <f t="shared" si="11"/>
        <v>-1.4323947855299159E-3</v>
      </c>
      <c r="AA20" s="123">
        <f t="shared" si="25"/>
        <v>16.221661090159213</v>
      </c>
      <c r="AB20" s="123">
        <f t="shared" si="26"/>
        <v>-4.1388249618446782E-2</v>
      </c>
      <c r="AC20">
        <f t="shared" si="27"/>
        <v>54.350767959767701</v>
      </c>
      <c r="AD20">
        <f t="shared" si="28"/>
        <v>-88.442859165787524</v>
      </c>
      <c r="AE20" s="123">
        <f t="shared" si="29"/>
        <v>70.57242904992691</v>
      </c>
      <c r="AF20" s="123">
        <f t="shared" si="30"/>
        <v>-88.484247415405974</v>
      </c>
      <c r="AI20" s="123">
        <f t="shared" si="31"/>
        <v>0</v>
      </c>
      <c r="AJ20" s="123">
        <f t="shared" si="32"/>
        <v>0</v>
      </c>
      <c r="AK20" s="123">
        <f t="shared" si="33"/>
        <v>0</v>
      </c>
      <c r="AL20" s="123">
        <f t="shared" si="34"/>
        <v>0</v>
      </c>
      <c r="AM20" s="123">
        <f t="shared" si="35"/>
        <v>0</v>
      </c>
      <c r="AN20" s="123">
        <f t="shared" si="36"/>
        <v>0</v>
      </c>
      <c r="AO20" s="123">
        <f t="shared" si="37"/>
        <v>0</v>
      </c>
      <c r="AP20" s="123"/>
      <c r="AQ20" s="123">
        <f t="shared" si="38"/>
        <v>0</v>
      </c>
      <c r="AR20" s="123">
        <f t="shared" si="39"/>
        <v>0</v>
      </c>
      <c r="AS20" s="123">
        <f t="shared" si="40"/>
        <v>0</v>
      </c>
      <c r="AW20" t="str">
        <f t="shared" si="12"/>
        <v>8000</v>
      </c>
      <c r="AX20" t="str">
        <f t="shared" si="13"/>
        <v>3952-3812095.23839875i</v>
      </c>
      <c r="AY20" t="str">
        <f t="shared" si="41"/>
        <v>7999.94736328168-16.7885026169559i</v>
      </c>
      <c r="AZ20">
        <f t="shared" si="14"/>
        <v>4.0823616297303564</v>
      </c>
      <c r="BA20">
        <f t="shared" si="15"/>
        <v>-0.1202394326670318</v>
      </c>
      <c r="BB20">
        <f t="shared" si="16"/>
        <v>-1.8401241786451916</v>
      </c>
      <c r="BC20">
        <f t="shared" si="17"/>
        <v>2.2955690890509299E-2</v>
      </c>
      <c r="BD20" s="123">
        <f t="shared" si="42"/>
        <v>-1.8401241909570574</v>
      </c>
      <c r="BE20" s="123">
        <f t="shared" si="43"/>
        <v>1.9451595148610959E-2</v>
      </c>
      <c r="BF20">
        <f t="shared" si="44"/>
        <v>72.412529574952742</v>
      </c>
      <c r="BG20">
        <f t="shared" si="45"/>
        <v>-88.562234596322256</v>
      </c>
      <c r="BH20" s="123">
        <f t="shared" si="46"/>
        <v>70.572405383995687</v>
      </c>
      <c r="BI20" s="123">
        <f t="shared" si="47"/>
        <v>-88.542783001173646</v>
      </c>
      <c r="BL20" s="123">
        <f t="shared" si="48"/>
        <v>0</v>
      </c>
      <c r="BM20" s="123">
        <f t="shared" si="49"/>
        <v>0</v>
      </c>
      <c r="BN20" s="123">
        <f t="shared" si="50"/>
        <v>0</v>
      </c>
      <c r="BO20" s="123">
        <f t="shared" si="51"/>
        <v>0</v>
      </c>
      <c r="BP20" s="123">
        <f t="shared" si="52"/>
        <v>0</v>
      </c>
      <c r="BQ20" s="123">
        <f t="shared" si="53"/>
        <v>0</v>
      </c>
      <c r="BR20" s="123">
        <f t="shared" si="54"/>
        <v>0</v>
      </c>
      <c r="BS20" s="123"/>
      <c r="BT20" s="123">
        <f t="shared" si="55"/>
        <v>0</v>
      </c>
      <c r="BU20" s="123">
        <f t="shared" si="56"/>
        <v>0</v>
      </c>
      <c r="BV20" s="123">
        <f t="shared" si="57"/>
        <v>0</v>
      </c>
      <c r="BX20" s="123">
        <f t="shared" si="58"/>
        <v>0</v>
      </c>
      <c r="BY20" s="123"/>
    </row>
    <row r="21" spans="2:77" x14ac:dyDescent="0.25">
      <c r="B21" s="46" t="s">
        <v>442</v>
      </c>
      <c r="C21" t="s">
        <v>398</v>
      </c>
      <c r="D21">
        <f>1/R.esrb/C.outb_derated</f>
        <v>30303.030303030304</v>
      </c>
      <c r="E21">
        <v>10</v>
      </c>
      <c r="F21">
        <v>5.5</v>
      </c>
      <c r="G21" s="58">
        <f t="shared" si="0"/>
        <v>-1.4897372378070278E-8</v>
      </c>
      <c r="H21" s="58">
        <f t="shared" si="18"/>
        <v>-3.8545053154454226E-3</v>
      </c>
      <c r="I21">
        <f t="shared" si="19"/>
        <v>16.221659453397784</v>
      </c>
      <c r="J21">
        <f t="shared" si="1"/>
        <v>-4.1672552584234406E-2</v>
      </c>
      <c r="K21" t="str">
        <f t="shared" si="2"/>
        <v>37499.9999748094-0.971930024347106i</v>
      </c>
      <c r="L21" t="str">
        <f t="shared" si="3"/>
        <v>100000000-28937268400.5724i</v>
      </c>
      <c r="M21" t="str">
        <f t="shared" si="4"/>
        <v>149999.997309003-0.777534706634952i</v>
      </c>
      <c r="N21">
        <f t="shared" si="20"/>
        <v>-13.979399964189094</v>
      </c>
      <c r="O21">
        <f t="shared" si="5"/>
        <v>-9.5040283809346294E-4</v>
      </c>
      <c r="P21" t="str">
        <f t="shared" si="6"/>
        <v>-6440522.6798514i</v>
      </c>
      <c r="Q21" t="str">
        <f t="shared" si="7"/>
        <v>7350-3758086.80526914i</v>
      </c>
      <c r="R21" t="str">
        <f t="shared" si="21"/>
        <v>2931.21325755804-2373271.07013135i</v>
      </c>
      <c r="S21" t="str">
        <f t="shared" si="8"/>
        <v>99995223.341633-691117.226114232i</v>
      </c>
      <c r="T21" t="str">
        <f t="shared" si="22"/>
        <v>59199.2185463463-2371407.63430157i</v>
      </c>
      <c r="U21" t="str">
        <f t="shared" si="23"/>
        <v>0.99999999924375-0.0000274999999792031i</v>
      </c>
      <c r="V21">
        <f t="shared" si="9"/>
        <v>67.502829900820529</v>
      </c>
      <c r="W21">
        <f t="shared" si="10"/>
        <v>-88.571573765263565</v>
      </c>
      <c r="X21">
        <f t="shared" si="24"/>
        <v>-3.2843527739265282E-9</v>
      </c>
      <c r="Y21">
        <f t="shared" si="11"/>
        <v>-1.5756342640139722E-3</v>
      </c>
      <c r="AA21" s="123">
        <f t="shared" si="25"/>
        <v>16.22165943850041</v>
      </c>
      <c r="AB21" s="123">
        <f t="shared" si="26"/>
        <v>-4.5527057899679826E-2</v>
      </c>
      <c r="AC21">
        <f t="shared" si="27"/>
        <v>53.523429936631437</v>
      </c>
      <c r="AD21">
        <f t="shared" si="28"/>
        <v>-88.572524168101666</v>
      </c>
      <c r="AE21" s="123">
        <f t="shared" si="29"/>
        <v>69.74508937513184</v>
      </c>
      <c r="AF21" s="123">
        <f t="shared" si="30"/>
        <v>-88.618051226001342</v>
      </c>
      <c r="AI21" s="123">
        <f t="shared" si="31"/>
        <v>0</v>
      </c>
      <c r="AJ21" s="123">
        <f t="shared" si="32"/>
        <v>0</v>
      </c>
      <c r="AK21" s="123">
        <f t="shared" si="33"/>
        <v>0</v>
      </c>
      <c r="AL21" s="123">
        <f t="shared" si="34"/>
        <v>0</v>
      </c>
      <c r="AM21" s="123">
        <f t="shared" si="35"/>
        <v>0</v>
      </c>
      <c r="AN21" s="123">
        <f t="shared" si="36"/>
        <v>0</v>
      </c>
      <c r="AO21" s="123">
        <f t="shared" si="37"/>
        <v>0</v>
      </c>
      <c r="AP21" s="123"/>
      <c r="AQ21" s="123">
        <f t="shared" si="38"/>
        <v>0</v>
      </c>
      <c r="AR21" s="123">
        <f t="shared" si="39"/>
        <v>0</v>
      </c>
      <c r="AS21" s="123">
        <f t="shared" si="40"/>
        <v>0</v>
      </c>
      <c r="AW21" t="str">
        <f t="shared" si="12"/>
        <v>8000</v>
      </c>
      <c r="AX21" t="str">
        <f t="shared" si="13"/>
        <v>3952-3465541.12581705i</v>
      </c>
      <c r="AY21" t="str">
        <f t="shared" si="41"/>
        <v>7999.93630970231-18.4673147569337i</v>
      </c>
      <c r="AZ21">
        <f t="shared" si="14"/>
        <v>4.0823536448714934</v>
      </c>
      <c r="BA21">
        <f t="shared" si="15"/>
        <v>-0.13226324488078611</v>
      </c>
      <c r="BB21">
        <f t="shared" si="16"/>
        <v>-1.840122791396706</v>
      </c>
      <c r="BC21">
        <f t="shared" si="17"/>
        <v>2.5251240800845291E-2</v>
      </c>
      <c r="BD21" s="123">
        <f t="shared" si="42"/>
        <v>-1.8401228062940784</v>
      </c>
      <c r="BE21" s="123">
        <f t="shared" si="43"/>
        <v>2.1396735485399866E-2</v>
      </c>
      <c r="BF21">
        <f t="shared" si="44"/>
        <v>71.585183545692018</v>
      </c>
      <c r="BG21">
        <f t="shared" si="45"/>
        <v>-88.703837010144355</v>
      </c>
      <c r="BH21" s="123">
        <f t="shared" si="46"/>
        <v>69.745060739397942</v>
      </c>
      <c r="BI21" s="123">
        <f t="shared" si="47"/>
        <v>-88.682440274658958</v>
      </c>
      <c r="BL21" s="123">
        <f t="shared" si="48"/>
        <v>0</v>
      </c>
      <c r="BM21" s="123">
        <f t="shared" si="49"/>
        <v>0</v>
      </c>
      <c r="BN21" s="123">
        <f t="shared" si="50"/>
        <v>0</v>
      </c>
      <c r="BO21" s="123">
        <f t="shared" si="51"/>
        <v>0</v>
      </c>
      <c r="BP21" s="123">
        <f t="shared" si="52"/>
        <v>0</v>
      </c>
      <c r="BQ21" s="123">
        <f t="shared" si="53"/>
        <v>0</v>
      </c>
      <c r="BR21" s="123">
        <f t="shared" si="54"/>
        <v>0</v>
      </c>
      <c r="BS21" s="123"/>
      <c r="BT21" s="123">
        <f t="shared" si="55"/>
        <v>0</v>
      </c>
      <c r="BU21" s="123">
        <f t="shared" si="56"/>
        <v>0</v>
      </c>
      <c r="BV21" s="123">
        <f t="shared" si="57"/>
        <v>0</v>
      </c>
      <c r="BX21" s="123">
        <f t="shared" si="58"/>
        <v>0</v>
      </c>
      <c r="BY21" s="123"/>
    </row>
    <row r="22" spans="2:77" x14ac:dyDescent="0.25">
      <c r="B22" s="46" t="s">
        <v>442</v>
      </c>
      <c r="C22" t="s">
        <v>399</v>
      </c>
      <c r="D22">
        <f>1/R.load/C.outtotal_derated+1/Wsh/C.outtotal_derated/L.out</f>
        <v>18502.485679833113</v>
      </c>
      <c r="E22">
        <v>11</v>
      </c>
      <c r="F22">
        <v>6</v>
      </c>
      <c r="G22" s="58">
        <f t="shared" si="0"/>
        <v>-1.7729096845063156E-8</v>
      </c>
      <c r="H22" s="58">
        <f t="shared" si="18"/>
        <v>-4.20491488880885E-3</v>
      </c>
      <c r="I22">
        <f t="shared" si="19"/>
        <v>16.221657647271456</v>
      </c>
      <c r="J22">
        <f t="shared" si="1"/>
        <v>-4.5460946526232192E-2</v>
      </c>
      <c r="K22" t="str">
        <f t="shared" si="2"/>
        <v>37499.9999700211-1.06028729915236i</v>
      </c>
      <c r="L22" t="str">
        <f t="shared" si="3"/>
        <v>100000000-26525829367.1913i</v>
      </c>
      <c r="M22" t="str">
        <f t="shared" si="4"/>
        <v>149999.996797499-0.848217748747351i</v>
      </c>
      <c r="N22">
        <f t="shared" si="20"/>
        <v>-13.979399940898441</v>
      </c>
      <c r="O22">
        <f t="shared" si="5"/>
        <v>-1.0368036846086265E-3</v>
      </c>
      <c r="P22" t="str">
        <f t="shared" si="6"/>
        <v>-5903812.45653045i</v>
      </c>
      <c r="Q22" t="str">
        <f t="shared" si="7"/>
        <v>7350-3444912.90483004i</v>
      </c>
      <c r="R22" t="str">
        <f t="shared" si="21"/>
        <v>2931.21296816881-2175498.84903814i</v>
      </c>
      <c r="S22" t="str">
        <f t="shared" si="8"/>
        <v>99994315.4333917-753939.219386446i</v>
      </c>
      <c r="T22" t="str">
        <f t="shared" si="22"/>
        <v>50216.0660466227-2173986.08989108i</v>
      </c>
      <c r="U22" t="str">
        <f t="shared" si="23"/>
        <v>0.9999999991-0.000029999999973i</v>
      </c>
      <c r="V22">
        <f t="shared" si="9"/>
        <v>66.747451757985431</v>
      </c>
      <c r="W22">
        <f t="shared" si="10"/>
        <v>-88.678519513096617</v>
      </c>
      <c r="X22">
        <f t="shared" si="24"/>
        <v>-3.9086496970844254E-9</v>
      </c>
      <c r="Y22">
        <f t="shared" si="11"/>
        <v>-1.7188737424783356E-3</v>
      </c>
      <c r="AA22" s="123">
        <f t="shared" si="25"/>
        <v>16.22165762954236</v>
      </c>
      <c r="AB22" s="123">
        <f t="shared" si="26"/>
        <v>-4.9665861415041042E-2</v>
      </c>
      <c r="AC22">
        <f t="shared" si="27"/>
        <v>52.768051817086992</v>
      </c>
      <c r="AD22">
        <f t="shared" si="28"/>
        <v>-88.67955631678123</v>
      </c>
      <c r="AE22" s="123">
        <f t="shared" si="29"/>
        <v>68.989709446629348</v>
      </c>
      <c r="AF22" s="123">
        <f t="shared" si="30"/>
        <v>-88.729222178196267</v>
      </c>
      <c r="AI22" s="123">
        <f t="shared" si="31"/>
        <v>0</v>
      </c>
      <c r="AJ22" s="123">
        <f t="shared" si="32"/>
        <v>0</v>
      </c>
      <c r="AK22" s="123">
        <f t="shared" si="33"/>
        <v>0</v>
      </c>
      <c r="AL22" s="123">
        <f t="shared" si="34"/>
        <v>0</v>
      </c>
      <c r="AM22" s="123">
        <f t="shared" si="35"/>
        <v>0</v>
      </c>
      <c r="AN22" s="123">
        <f t="shared" si="36"/>
        <v>0</v>
      </c>
      <c r="AO22" s="123">
        <f t="shared" si="37"/>
        <v>0</v>
      </c>
      <c r="AP22" s="123"/>
      <c r="AQ22" s="123">
        <f t="shared" si="38"/>
        <v>0</v>
      </c>
      <c r="AR22" s="123">
        <f t="shared" si="39"/>
        <v>0</v>
      </c>
      <c r="AS22" s="123">
        <f t="shared" si="40"/>
        <v>0</v>
      </c>
      <c r="AW22" t="str">
        <f t="shared" si="12"/>
        <v>8000</v>
      </c>
      <c r="AX22" t="str">
        <f t="shared" si="13"/>
        <v>3952-3176746.03199896i</v>
      </c>
      <c r="AY22" t="str">
        <f t="shared" si="41"/>
        <v>7999.92420345346-20.1461160051893i</v>
      </c>
      <c r="AZ22">
        <f t="shared" si="14"/>
        <v>4.0823448995708986</v>
      </c>
      <c r="BA22">
        <f t="shared" si="15"/>
        <v>-0.14428701965126123</v>
      </c>
      <c r="BB22">
        <f t="shared" si="16"/>
        <v>-1.8401212720318647</v>
      </c>
      <c r="BC22">
        <f t="shared" si="17"/>
        <v>2.7546785231586834E-2</v>
      </c>
      <c r="BD22" s="123">
        <f t="shared" si="42"/>
        <v>-1.8401212897609616</v>
      </c>
      <c r="BE22" s="123">
        <f t="shared" si="43"/>
        <v>2.3341870342777984E-2</v>
      </c>
      <c r="BF22">
        <f t="shared" si="44"/>
        <v>70.829796657556329</v>
      </c>
      <c r="BG22">
        <f t="shared" si="45"/>
        <v>-88.822806532747876</v>
      </c>
      <c r="BH22" s="123">
        <f t="shared" si="46"/>
        <v>68.989675367795371</v>
      </c>
      <c r="BI22" s="123">
        <f t="shared" si="47"/>
        <v>-88.7994646624051</v>
      </c>
      <c r="BL22" s="123">
        <f t="shared" si="48"/>
        <v>0</v>
      </c>
      <c r="BM22" s="123">
        <f t="shared" si="49"/>
        <v>0</v>
      </c>
      <c r="BN22" s="123">
        <f t="shared" si="50"/>
        <v>0</v>
      </c>
      <c r="BO22" s="123">
        <f t="shared" si="51"/>
        <v>0</v>
      </c>
      <c r="BP22" s="123">
        <f t="shared" si="52"/>
        <v>0</v>
      </c>
      <c r="BQ22" s="123">
        <f t="shared" si="53"/>
        <v>0</v>
      </c>
      <c r="BR22" s="123">
        <f t="shared" si="54"/>
        <v>0</v>
      </c>
      <c r="BS22" s="123"/>
      <c r="BT22" s="123">
        <f t="shared" si="55"/>
        <v>0</v>
      </c>
      <c r="BU22" s="123">
        <f t="shared" si="56"/>
        <v>0</v>
      </c>
      <c r="BV22" s="123">
        <f t="shared" si="57"/>
        <v>0</v>
      </c>
      <c r="BX22" s="123">
        <f t="shared" si="58"/>
        <v>0</v>
      </c>
      <c r="BY22" s="123"/>
    </row>
    <row r="23" spans="2:77" x14ac:dyDescent="0.25">
      <c r="B23" s="137" t="s">
        <v>441</v>
      </c>
      <c r="C23" t="s">
        <v>446</v>
      </c>
      <c r="D23">
        <f>1/R.load/C.outtotal_derated</f>
        <v>14970.059880239522</v>
      </c>
      <c r="E23">
        <v>12</v>
      </c>
      <c r="F23">
        <v>6.5</v>
      </c>
      <c r="G23" s="58">
        <f t="shared" si="0"/>
        <v>-2.0807067153787322E-8</v>
      </c>
      <c r="H23" s="58">
        <f t="shared" si="18"/>
        <v>-4.5553244619719394E-3</v>
      </c>
      <c r="I23">
        <f t="shared" si="19"/>
        <v>16.221655684092553</v>
      </c>
      <c r="J23">
        <f t="shared" si="1"/>
        <v>-4.9249335269306853E-2</v>
      </c>
      <c r="K23" t="str">
        <f t="shared" si="2"/>
        <v>37499.9999648164-1.14864457392231i</v>
      </c>
      <c r="L23" t="str">
        <f t="shared" si="3"/>
        <v>100000000-24485380954.3305i</v>
      </c>
      <c r="M23" t="str">
        <f t="shared" si="4"/>
        <v>149999.996241518-0.918900287073756i</v>
      </c>
      <c r="N23">
        <f t="shared" si="20"/>
        <v>-13.979399915582505</v>
      </c>
      <c r="O23">
        <f t="shared" si="5"/>
        <v>-1.1232046846442246E-3</v>
      </c>
      <c r="P23" t="str">
        <f t="shared" si="6"/>
        <v>-5449673.03679734i</v>
      </c>
      <c r="Q23" t="str">
        <f t="shared" si="7"/>
        <v>7350-3179919.6044585i</v>
      </c>
      <c r="R23" t="str">
        <f t="shared" si="21"/>
        <v>2931.21265361535-2008153.15304291i</v>
      </c>
      <c r="S23" t="str">
        <f t="shared" si="8"/>
        <v>99993328.595307-816759.42703781i</v>
      </c>
      <c r="T23" t="str">
        <f t="shared" si="22"/>
        <v>43223.9434952553-2006897.14516475i</v>
      </c>
      <c r="U23" t="str">
        <f t="shared" si="23"/>
        <v>0.99999999894375-0.0000324999999656719i</v>
      </c>
      <c r="V23">
        <f t="shared" si="9"/>
        <v>66.052516404029575</v>
      </c>
      <c r="W23">
        <f t="shared" si="10"/>
        <v>-88.768052173119557</v>
      </c>
      <c r="X23">
        <f t="shared" si="24"/>
        <v>-4.5872363280277123E-9</v>
      </c>
      <c r="Y23">
        <f t="shared" si="11"/>
        <v>-1.8621132209212133E-3</v>
      </c>
      <c r="AA23" s="123">
        <f t="shared" si="25"/>
        <v>16.221655663285485</v>
      </c>
      <c r="AB23" s="123">
        <f t="shared" si="26"/>
        <v>-5.3804659731278792E-2</v>
      </c>
      <c r="AC23">
        <f t="shared" si="27"/>
        <v>52.07311648844707</v>
      </c>
      <c r="AD23">
        <f t="shared" si="28"/>
        <v>-88.769175377804203</v>
      </c>
      <c r="AE23" s="123">
        <f t="shared" si="29"/>
        <v>68.294772151732559</v>
      </c>
      <c r="AF23" s="123">
        <f t="shared" si="30"/>
        <v>-88.822980037535487</v>
      </c>
      <c r="AI23" s="123">
        <f t="shared" si="31"/>
        <v>0</v>
      </c>
      <c r="AJ23" s="123">
        <f t="shared" si="32"/>
        <v>0</v>
      </c>
      <c r="AK23" s="123">
        <f t="shared" si="33"/>
        <v>0</v>
      </c>
      <c r="AL23" s="123">
        <f t="shared" si="34"/>
        <v>0</v>
      </c>
      <c r="AM23" s="123">
        <f t="shared" si="35"/>
        <v>0</v>
      </c>
      <c r="AN23" s="123">
        <f t="shared" si="36"/>
        <v>0</v>
      </c>
      <c r="AO23" s="123">
        <f t="shared" si="37"/>
        <v>0</v>
      </c>
      <c r="AP23" s="123"/>
      <c r="AQ23" s="123">
        <f t="shared" si="38"/>
        <v>0</v>
      </c>
      <c r="AR23" s="123">
        <f t="shared" si="39"/>
        <v>0</v>
      </c>
      <c r="AS23" s="123">
        <f t="shared" si="40"/>
        <v>0</v>
      </c>
      <c r="AW23" t="str">
        <f t="shared" si="12"/>
        <v>8000</v>
      </c>
      <c r="AX23" t="str">
        <f t="shared" si="13"/>
        <v>3952-2932380.95261443i</v>
      </c>
      <c r="AY23" t="str">
        <f t="shared" si="41"/>
        <v>7999.91104454938-21.8249053716552i</v>
      </c>
      <c r="AZ23">
        <f t="shared" si="14"/>
        <v>4.0823353938342635</v>
      </c>
      <c r="BA23">
        <f t="shared" si="15"/>
        <v>-0.15631075357471053</v>
      </c>
      <c r="BB23">
        <f t="shared" si="16"/>
        <v>-1.8401196205511399</v>
      </c>
      <c r="BC23">
        <f t="shared" si="17"/>
        <v>2.9842323684603562E-2</v>
      </c>
      <c r="BD23" s="123">
        <f t="shared" si="42"/>
        <v>-1.840119641358207</v>
      </c>
      <c r="BE23" s="123">
        <f t="shared" si="43"/>
        <v>2.5286999222631622E-2</v>
      </c>
      <c r="BF23">
        <f t="shared" si="44"/>
        <v>70.134851797863831</v>
      </c>
      <c r="BG23">
        <f t="shared" si="45"/>
        <v>-88.924362926694272</v>
      </c>
      <c r="BH23" s="123">
        <f t="shared" si="46"/>
        <v>68.294732156505631</v>
      </c>
      <c r="BI23" s="123">
        <f t="shared" si="47"/>
        <v>-88.899075927471642</v>
      </c>
      <c r="BL23" s="123">
        <f t="shared" si="48"/>
        <v>0</v>
      </c>
      <c r="BM23" s="123">
        <f t="shared" si="49"/>
        <v>0</v>
      </c>
      <c r="BN23" s="123">
        <f t="shared" si="50"/>
        <v>0</v>
      </c>
      <c r="BO23" s="123">
        <f t="shared" si="51"/>
        <v>0</v>
      </c>
      <c r="BP23" s="123">
        <f t="shared" si="52"/>
        <v>0</v>
      </c>
      <c r="BQ23" s="123">
        <f t="shared" si="53"/>
        <v>0</v>
      </c>
      <c r="BR23" s="123">
        <f t="shared" si="54"/>
        <v>0</v>
      </c>
      <c r="BS23" s="123"/>
      <c r="BT23" s="123">
        <f t="shared" si="55"/>
        <v>0</v>
      </c>
      <c r="BU23" s="123">
        <f t="shared" si="56"/>
        <v>0</v>
      </c>
      <c r="BV23" s="123">
        <f t="shared" si="57"/>
        <v>0</v>
      </c>
      <c r="BX23" s="123">
        <f t="shared" si="58"/>
        <v>0</v>
      </c>
      <c r="BY23" s="123"/>
    </row>
    <row r="24" spans="2:77" x14ac:dyDescent="0.25">
      <c r="B24" s="137" t="s">
        <v>441</v>
      </c>
      <c r="C24" t="s">
        <v>453</v>
      </c>
      <c r="D24">
        <f>1/R.load*(R.load*Wsh*L.out)/(R.load+Wsh*L.out)</f>
        <v>0.80908371660334366</v>
      </c>
      <c r="E24">
        <v>13</v>
      </c>
      <c r="F24">
        <v>7</v>
      </c>
      <c r="G24" s="58">
        <f t="shared" si="0"/>
        <v>-2.4131274625557338E-8</v>
      </c>
      <c r="H24" s="58">
        <f t="shared" si="18"/>
        <v>-4.9057340349179888E-3</v>
      </c>
      <c r="I24">
        <f t="shared" si="19"/>
        <v>16.221653563861508</v>
      </c>
      <c r="J24">
        <f t="shared" si="1"/>
        <v>-5.303771838022403E-2</v>
      </c>
      <c r="K24" t="str">
        <f t="shared" si="2"/>
        <v>37499.9999591954-1.23700184865399i</v>
      </c>
      <c r="L24" t="str">
        <f t="shared" si="3"/>
        <v>100000000-22736425171.8783i</v>
      </c>
      <c r="M24" t="str">
        <f t="shared" si="4"/>
        <v>149999.995641062-0.989582279637342i</v>
      </c>
      <c r="N24">
        <f t="shared" si="20"/>
        <v>-13.979399888241504</v>
      </c>
      <c r="O24">
        <f t="shared" si="5"/>
        <v>-1.2096058509919886E-3</v>
      </c>
      <c r="P24" t="str">
        <f t="shared" si="6"/>
        <v>-5060410.6770261i</v>
      </c>
      <c r="Q24" t="str">
        <f t="shared" si="7"/>
        <v>7350-2952782.48985432i</v>
      </c>
      <c r="R24" t="str">
        <f t="shared" si="21"/>
        <v>2931.21231389771-1864714.01248176i</v>
      </c>
      <c r="S24" t="str">
        <f t="shared" si="8"/>
        <v>99992262.8320531-879577.700330214i</v>
      </c>
      <c r="T24" t="str">
        <f t="shared" si="22"/>
        <v>37675.2120846784-1863651.16724198i</v>
      </c>
      <c r="U24" t="str">
        <f t="shared" si="23"/>
        <v>0.999999998775-0.000034999999957125i</v>
      </c>
      <c r="V24">
        <f t="shared" si="9"/>
        <v>65.409067014943318</v>
      </c>
      <c r="W24">
        <f t="shared" si="10"/>
        <v>-88.843901171732909</v>
      </c>
      <c r="X24">
        <f t="shared" si="24"/>
        <v>-5.320106880804311E-9</v>
      </c>
      <c r="Y24">
        <f t="shared" si="11"/>
        <v>-2.0053526993408116E-3</v>
      </c>
      <c r="AA24" s="123">
        <f t="shared" si="25"/>
        <v>16.221653539730234</v>
      </c>
      <c r="AB24" s="123">
        <f t="shared" si="26"/>
        <v>-5.7943452415142017E-2</v>
      </c>
      <c r="AC24">
        <f t="shared" si="27"/>
        <v>51.429667126701816</v>
      </c>
      <c r="AD24">
        <f t="shared" si="28"/>
        <v>-88.845110777583898</v>
      </c>
      <c r="AE24" s="123">
        <f t="shared" si="29"/>
        <v>67.651320666432042</v>
      </c>
      <c r="AF24" s="123">
        <f t="shared" si="30"/>
        <v>-88.903054229999043</v>
      </c>
      <c r="AI24" s="123">
        <f t="shared" si="31"/>
        <v>0</v>
      </c>
      <c r="AJ24" s="123">
        <f t="shared" si="32"/>
        <v>0</v>
      </c>
      <c r="AK24" s="123">
        <f t="shared" si="33"/>
        <v>0</v>
      </c>
      <c r="AL24" s="123">
        <f t="shared" si="34"/>
        <v>0</v>
      </c>
      <c r="AM24" s="123">
        <f t="shared" si="35"/>
        <v>0</v>
      </c>
      <c r="AN24" s="123">
        <f t="shared" si="36"/>
        <v>0</v>
      </c>
      <c r="AO24" s="123">
        <f t="shared" si="37"/>
        <v>0</v>
      </c>
      <c r="AP24" s="123"/>
      <c r="AQ24" s="123">
        <f t="shared" si="38"/>
        <v>0</v>
      </c>
      <c r="AR24" s="123">
        <f t="shared" si="39"/>
        <v>0</v>
      </c>
      <c r="AS24" s="123">
        <f t="shared" si="40"/>
        <v>0</v>
      </c>
      <c r="AW24" t="str">
        <f t="shared" si="12"/>
        <v>8000</v>
      </c>
      <c r="AX24" t="str">
        <f t="shared" si="13"/>
        <v>3952-2722925.17028482i</v>
      </c>
      <c r="AY24" t="str">
        <f t="shared" si="41"/>
        <v>7999.89683300566-23.5036818662884i</v>
      </c>
      <c r="AZ24">
        <f t="shared" si="14"/>
        <v>4.0823251276677848</v>
      </c>
      <c r="BA24">
        <f t="shared" si="15"/>
        <v>-0.16833444324744548</v>
      </c>
      <c r="BB24">
        <f t="shared" si="16"/>
        <v>-1.8401178369554285</v>
      </c>
      <c r="BC24">
        <f t="shared" si="17"/>
        <v>3.2137855661773213E-2</v>
      </c>
      <c r="BD24" s="123">
        <f t="shared" si="42"/>
        <v>-1.8401178610867031</v>
      </c>
      <c r="BE24" s="123">
        <f t="shared" si="43"/>
        <v>2.7232121626855225E-2</v>
      </c>
      <c r="BF24">
        <f t="shared" si="44"/>
        <v>69.491392142611105</v>
      </c>
      <c r="BG24">
        <f t="shared" si="45"/>
        <v>-89.012235614980355</v>
      </c>
      <c r="BH24" s="123">
        <f t="shared" si="46"/>
        <v>67.651274281524408</v>
      </c>
      <c r="BI24" s="123">
        <f t="shared" si="47"/>
        <v>-88.985003493353503</v>
      </c>
      <c r="BL24" s="123">
        <f t="shared" si="48"/>
        <v>0</v>
      </c>
      <c r="BM24" s="123">
        <f t="shared" si="49"/>
        <v>0</v>
      </c>
      <c r="BN24" s="123">
        <f t="shared" si="50"/>
        <v>0</v>
      </c>
      <c r="BO24" s="123">
        <f t="shared" si="51"/>
        <v>0</v>
      </c>
      <c r="BP24" s="123">
        <f t="shared" si="52"/>
        <v>0</v>
      </c>
      <c r="BQ24" s="123">
        <f t="shared" si="53"/>
        <v>0</v>
      </c>
      <c r="BR24" s="123">
        <f t="shared" si="54"/>
        <v>0</v>
      </c>
      <c r="BS24" s="123"/>
      <c r="BT24" s="123">
        <f t="shared" si="55"/>
        <v>0</v>
      </c>
      <c r="BU24" s="123">
        <f t="shared" si="56"/>
        <v>0</v>
      </c>
      <c r="BV24" s="123">
        <f t="shared" si="57"/>
        <v>0</v>
      </c>
      <c r="BX24" s="123">
        <f t="shared" si="58"/>
        <v>0</v>
      </c>
      <c r="BY24" s="123"/>
    </row>
    <row r="25" spans="2:77" x14ac:dyDescent="0.25">
      <c r="E25">
        <v>14</v>
      </c>
      <c r="F25">
        <v>7.5</v>
      </c>
      <c r="G25" s="58">
        <f t="shared" si="0"/>
        <v>-2.770171829632845E-8</v>
      </c>
      <c r="H25" s="58">
        <f t="shared" si="18"/>
        <v>-5.2561436076303094E-3</v>
      </c>
      <c r="I25">
        <f t="shared" si="19"/>
        <v>16.221651286578833</v>
      </c>
      <c r="J25">
        <f t="shared" si="1"/>
        <v>-5.6826095425751101E-2</v>
      </c>
      <c r="K25" t="str">
        <f t="shared" si="2"/>
        <v>37499.999953158-1.32535912334447i</v>
      </c>
      <c r="L25" t="str">
        <f t="shared" si="3"/>
        <v>100000000-21220663493.7531i</v>
      </c>
      <c r="M25" t="str">
        <f t="shared" si="4"/>
        <v>149999.994996132-1.06026368446133i</v>
      </c>
      <c r="N25">
        <f t="shared" si="20"/>
        <v>-13.979399858875441</v>
      </c>
      <c r="O25">
        <f t="shared" si="5"/>
        <v>-1.296007196443663E-3</v>
      </c>
      <c r="P25" t="str">
        <f t="shared" si="6"/>
        <v>-4723049.96522436i</v>
      </c>
      <c r="Q25" t="str">
        <f t="shared" si="7"/>
        <v>7350-2755930.32386403i</v>
      </c>
      <c r="R25" t="str">
        <f t="shared" si="21"/>
        <v>2931.21194901587-1740400.11626788i</v>
      </c>
      <c r="S25" t="str">
        <f t="shared" si="8"/>
        <v>99991118.1486779-942393.890540826i</v>
      </c>
      <c r="T25" t="str">
        <f t="shared" si="22"/>
        <v>33198.3296530041-1739486.02782164i</v>
      </c>
      <c r="U25" t="str">
        <f t="shared" si="23"/>
        <v>0.99999999859375-0.0000374999999472656i</v>
      </c>
      <c r="V25">
        <f t="shared" si="9"/>
        <v>64.810000484553555</v>
      </c>
      <c r="W25">
        <f t="shared" si="10"/>
        <v>-88.908802007708999</v>
      </c>
      <c r="X25">
        <f t="shared" si="24"/>
        <v>-6.1072671413927652E-9</v>
      </c>
      <c r="Y25">
        <f t="shared" si="11"/>
        <v>-2.1485921777353433E-3</v>
      </c>
      <c r="AA25" s="123">
        <f t="shared" si="25"/>
        <v>16.221651258877113</v>
      </c>
      <c r="AB25" s="123">
        <f t="shared" si="26"/>
        <v>-6.2082239033381413E-2</v>
      </c>
      <c r="AC25">
        <f t="shared" si="27"/>
        <v>50.830600625678116</v>
      </c>
      <c r="AD25">
        <f t="shared" si="28"/>
        <v>-88.910098014905444</v>
      </c>
      <c r="AE25" s="123">
        <f t="shared" si="29"/>
        <v>67.052251884555233</v>
      </c>
      <c r="AF25" s="123">
        <f t="shared" si="30"/>
        <v>-88.972180253938831</v>
      </c>
      <c r="AI25" s="123">
        <f t="shared" si="31"/>
        <v>0</v>
      </c>
      <c r="AJ25" s="123">
        <f t="shared" si="32"/>
        <v>0</v>
      </c>
      <c r="AK25" s="123">
        <f t="shared" si="33"/>
        <v>0</v>
      </c>
      <c r="AL25" s="123">
        <f t="shared" si="34"/>
        <v>0</v>
      </c>
      <c r="AM25" s="123">
        <f t="shared" si="35"/>
        <v>0</v>
      </c>
      <c r="AN25" s="123">
        <f t="shared" si="36"/>
        <v>0</v>
      </c>
      <c r="AO25" s="123">
        <f t="shared" si="37"/>
        <v>0</v>
      </c>
      <c r="AP25" s="123"/>
      <c r="AQ25" s="123">
        <f t="shared" si="38"/>
        <v>0</v>
      </c>
      <c r="AR25" s="123">
        <f t="shared" si="39"/>
        <v>0</v>
      </c>
      <c r="AS25" s="123">
        <f t="shared" si="40"/>
        <v>0</v>
      </c>
      <c r="AW25" t="str">
        <f t="shared" si="12"/>
        <v>8000</v>
      </c>
      <c r="AX25" t="str">
        <f t="shared" si="13"/>
        <v>3952-2541396.82559917i</v>
      </c>
      <c r="AY25" t="str">
        <f t="shared" si="41"/>
        <v>7999.881568839-25.18244449907i</v>
      </c>
      <c r="AZ25">
        <f t="shared" si="14"/>
        <v>4.0823141010782171</v>
      </c>
      <c r="BA25">
        <f t="shared" si="15"/>
        <v>-0.18035808526582159</v>
      </c>
      <c r="BB25">
        <f t="shared" si="16"/>
        <v>-1.8401159212453897</v>
      </c>
      <c r="BC25">
        <f t="shared" si="17"/>
        <v>3.4433380664976559E-2</v>
      </c>
      <c r="BD25" s="123">
        <f t="shared" si="42"/>
        <v>-1.8401159489471079</v>
      </c>
      <c r="BE25" s="123">
        <f t="shared" si="43"/>
        <v>2.9177237057346251E-2</v>
      </c>
      <c r="BF25">
        <f t="shared" si="44"/>
        <v>68.892314585631766</v>
      </c>
      <c r="BG25">
        <f t="shared" si="45"/>
        <v>-89.089160092974822</v>
      </c>
      <c r="BH25" s="123">
        <f t="shared" si="46"/>
        <v>67.052198636684665</v>
      </c>
      <c r="BI25" s="123">
        <f t="shared" si="47"/>
        <v>-89.059982855917482</v>
      </c>
      <c r="BL25" s="123">
        <f t="shared" si="48"/>
        <v>0</v>
      </c>
      <c r="BM25" s="123">
        <f t="shared" si="49"/>
        <v>0</v>
      </c>
      <c r="BN25" s="123">
        <f t="shared" si="50"/>
        <v>0</v>
      </c>
      <c r="BO25" s="123">
        <f t="shared" si="51"/>
        <v>0</v>
      </c>
      <c r="BP25" s="123">
        <f t="shared" si="52"/>
        <v>0</v>
      </c>
      <c r="BQ25" s="123">
        <f t="shared" si="53"/>
        <v>0</v>
      </c>
      <c r="BR25" s="123">
        <f t="shared" si="54"/>
        <v>0</v>
      </c>
      <c r="BS25" s="123"/>
      <c r="BT25" s="123">
        <f t="shared" si="55"/>
        <v>0</v>
      </c>
      <c r="BU25" s="123">
        <f t="shared" si="56"/>
        <v>0</v>
      </c>
      <c r="BV25" s="123">
        <f t="shared" si="57"/>
        <v>0</v>
      </c>
      <c r="BX25" s="123">
        <f t="shared" si="58"/>
        <v>0</v>
      </c>
      <c r="BY25" s="123"/>
    </row>
    <row r="26" spans="2:77" x14ac:dyDescent="0.25">
      <c r="E26">
        <v>15</v>
      </c>
      <c r="F26">
        <v>8</v>
      </c>
      <c r="G26" s="58">
        <f t="shared" si="0"/>
        <v>-3.1518396237749369E-8</v>
      </c>
      <c r="H26" s="58">
        <f t="shared" si="18"/>
        <v>-5.6065531800922027E-3</v>
      </c>
      <c r="I26">
        <f t="shared" si="19"/>
        <v>16.221648852245071</v>
      </c>
      <c r="J26">
        <f t="shared" si="1"/>
        <v>-6.0614465972660417E-2</v>
      </c>
      <c r="K26" t="str">
        <f t="shared" si="2"/>
        <v>37499.9999467041-1.41371639799079i</v>
      </c>
      <c r="L26" t="str">
        <f t="shared" si="3"/>
        <v>100000000-19894372025.3935i</v>
      </c>
      <c r="M26" t="str">
        <f t="shared" si="4"/>
        <v>149999.994306727-1.13094445957044i</v>
      </c>
      <c r="N26">
        <f t="shared" si="20"/>
        <v>-13.979399827484226</v>
      </c>
      <c r="O26">
        <f t="shared" si="5"/>
        <v>-1.3824087337904918E-3</v>
      </c>
      <c r="P26" t="str">
        <f t="shared" si="6"/>
        <v>-4427859.34239784i</v>
      </c>
      <c r="Q26" t="str">
        <f t="shared" si="7"/>
        <v>7350-2583684.67862253i</v>
      </c>
      <c r="R26" t="str">
        <f t="shared" si="21"/>
        <v>2931.21155896989-1631625.48108612i</v>
      </c>
      <c r="S26" t="str">
        <f t="shared" si="8"/>
        <v>99989894.5506027-1005207.84896325i</v>
      </c>
      <c r="T26" t="str">
        <f t="shared" si="22"/>
        <v>29534.0309333961-1630828.29909699i</v>
      </c>
      <c r="U26" t="str">
        <f t="shared" si="23"/>
        <v>0.9999999984-0.000039999999936i</v>
      </c>
      <c r="V26">
        <f t="shared" si="9"/>
        <v>64.249588877870082</v>
      </c>
      <c r="W26">
        <f t="shared" si="10"/>
        <v>-88.964806655446154</v>
      </c>
      <c r="X26">
        <f t="shared" si="24"/>
        <v>-6.9487132524979666E-9</v>
      </c>
      <c r="Y26">
        <f t="shared" si="11"/>
        <v>-2.2918316561030207E-3</v>
      </c>
      <c r="AA26" s="123">
        <f t="shared" si="25"/>
        <v>16.221648820726674</v>
      </c>
      <c r="AB26" s="123">
        <f t="shared" si="26"/>
        <v>-6.6221019152752622E-2</v>
      </c>
      <c r="AC26">
        <f t="shared" si="27"/>
        <v>50.270189050385852</v>
      </c>
      <c r="AD26">
        <f t="shared" si="28"/>
        <v>-88.966189064179943</v>
      </c>
      <c r="AE26" s="123">
        <f t="shared" si="29"/>
        <v>66.491837871112523</v>
      </c>
      <c r="AF26" s="123">
        <f t="shared" si="30"/>
        <v>-89.032410083332692</v>
      </c>
      <c r="AI26" s="123">
        <f t="shared" si="31"/>
        <v>0</v>
      </c>
      <c r="AJ26" s="123">
        <f t="shared" si="32"/>
        <v>0</v>
      </c>
      <c r="AK26" s="123">
        <f t="shared" si="33"/>
        <v>0</v>
      </c>
      <c r="AL26" s="123">
        <f t="shared" si="34"/>
        <v>0</v>
      </c>
      <c r="AM26" s="123">
        <f t="shared" si="35"/>
        <v>0</v>
      </c>
      <c r="AN26" s="123">
        <f t="shared" si="36"/>
        <v>0</v>
      </c>
      <c r="AO26" s="123">
        <f t="shared" si="37"/>
        <v>0</v>
      </c>
      <c r="AP26" s="123"/>
      <c r="AQ26" s="123">
        <f t="shared" si="38"/>
        <v>0</v>
      </c>
      <c r="AR26" s="123">
        <f t="shared" si="39"/>
        <v>0</v>
      </c>
      <c r="AS26" s="123">
        <f t="shared" si="40"/>
        <v>0</v>
      </c>
      <c r="AW26" t="str">
        <f t="shared" si="12"/>
        <v>8000</v>
      </c>
      <c r="AX26" t="str">
        <f t="shared" si="13"/>
        <v>3952-2382559.52399922i</v>
      </c>
      <c r="AY26" t="str">
        <f t="shared" si="41"/>
        <v>7999.86525206743-26.861192280009i</v>
      </c>
      <c r="AZ26">
        <f t="shared" si="14"/>
        <v>4.0823023140727717</v>
      </c>
      <c r="BA26">
        <f t="shared" si="15"/>
        <v>-0.19238167622625793</v>
      </c>
      <c r="BB26">
        <f t="shared" si="16"/>
        <v>-1.840113873421976</v>
      </c>
      <c r="BC26">
        <f t="shared" si="17"/>
        <v>3.6728898196098328E-2</v>
      </c>
      <c r="BD26" s="123">
        <f t="shared" si="42"/>
        <v>-1.8401139049403723</v>
      </c>
      <c r="BE26" s="123">
        <f t="shared" si="43"/>
        <v>3.1122345016006126E-2</v>
      </c>
      <c r="BF26">
        <f t="shared" si="44"/>
        <v>68.331891191942859</v>
      </c>
      <c r="BG26">
        <f t="shared" si="45"/>
        <v>-89.157188331672415</v>
      </c>
      <c r="BH26" s="123">
        <f t="shared" si="46"/>
        <v>66.491777287002492</v>
      </c>
      <c r="BI26" s="123">
        <f t="shared" si="47"/>
        <v>-89.126065986656414</v>
      </c>
      <c r="BL26" s="123">
        <f t="shared" si="48"/>
        <v>0</v>
      </c>
      <c r="BM26" s="123">
        <f t="shared" si="49"/>
        <v>0</v>
      </c>
      <c r="BN26" s="123">
        <f t="shared" si="50"/>
        <v>0</v>
      </c>
      <c r="BO26" s="123">
        <f t="shared" si="51"/>
        <v>0</v>
      </c>
      <c r="BP26" s="123">
        <f t="shared" si="52"/>
        <v>0</v>
      </c>
      <c r="BQ26" s="123">
        <f t="shared" si="53"/>
        <v>0</v>
      </c>
      <c r="BR26" s="123">
        <f t="shared" si="54"/>
        <v>0</v>
      </c>
      <c r="BS26" s="123"/>
      <c r="BT26" s="123">
        <f t="shared" si="55"/>
        <v>0</v>
      </c>
      <c r="BU26" s="123">
        <f t="shared" si="56"/>
        <v>0</v>
      </c>
      <c r="BV26" s="123">
        <f t="shared" si="57"/>
        <v>0</v>
      </c>
      <c r="BX26" s="123">
        <f t="shared" si="58"/>
        <v>0</v>
      </c>
      <c r="BY26" s="123"/>
    </row>
    <row r="27" spans="2:77" x14ac:dyDescent="0.25">
      <c r="E27">
        <v>16</v>
      </c>
      <c r="F27">
        <v>8.5</v>
      </c>
      <c r="G27" s="58">
        <f t="shared" si="0"/>
        <v>-3.558131230745457E-8</v>
      </c>
      <c r="H27" s="58">
        <f t="shared" si="18"/>
        <v>-5.956962752286998E-3</v>
      </c>
      <c r="I27">
        <f t="shared" si="19"/>
        <v>16.221646260860791</v>
      </c>
      <c r="J27">
        <f t="shared" si="1"/>
        <v>-6.4402829587724364E-2</v>
      </c>
      <c r="K27" t="str">
        <f t="shared" si="2"/>
        <v>37499.999939834-1.50207367259003i</v>
      </c>
      <c r="L27" t="str">
        <f t="shared" si="3"/>
        <v>100000000-18724114847.4292i</v>
      </c>
      <c r="M27" t="str">
        <f t="shared" si="4"/>
        <v>149999.99357285-1.20162456298908i</v>
      </c>
      <c r="N27">
        <f t="shared" si="20"/>
        <v>-13.97939979406808</v>
      </c>
      <c r="O27">
        <f t="shared" si="5"/>
        <v>-1.4688104758238821E-3</v>
      </c>
      <c r="P27" t="str">
        <f t="shared" si="6"/>
        <v>-4167397.02813914i</v>
      </c>
      <c r="Q27" t="str">
        <f t="shared" si="7"/>
        <v>7350-2431703.22693885i</v>
      </c>
      <c r="R27" t="str">
        <f t="shared" si="21"/>
        <v>2931.21114375976-1535647.88440139i</v>
      </c>
      <c r="S27" t="str">
        <f t="shared" si="8"/>
        <v>99988592.0436227-1068019.42690873i</v>
      </c>
      <c r="T27" t="str">
        <f t="shared" si="22"/>
        <v>26496.9461364855-1534944.22525149i</v>
      </c>
      <c r="U27" t="str">
        <f t="shared" si="23"/>
        <v>0.99999999819375-0.0000424999999232344i</v>
      </c>
      <c r="V27">
        <f t="shared" si="9"/>
        <v>63.723145953437182</v>
      </c>
      <c r="W27">
        <f t="shared" si="10"/>
        <v>-89.013484488859092</v>
      </c>
      <c r="X27">
        <f t="shared" si="24"/>
        <v>-7.8444452141356898E-9</v>
      </c>
      <c r="Y27">
        <f t="shared" si="11"/>
        <v>-2.4350711344420495E-3</v>
      </c>
      <c r="AA27" s="123">
        <f t="shared" si="25"/>
        <v>16.221646225279478</v>
      </c>
      <c r="AB27" s="123">
        <f t="shared" si="26"/>
        <v>-7.0359792340011357E-2</v>
      </c>
      <c r="AC27">
        <f t="shared" si="27"/>
        <v>49.743746159369103</v>
      </c>
      <c r="AD27">
        <f t="shared" si="28"/>
        <v>-89.01495329933492</v>
      </c>
      <c r="AE27" s="123">
        <f t="shared" si="29"/>
        <v>65.965392384648581</v>
      </c>
      <c r="AF27" s="123">
        <f t="shared" si="30"/>
        <v>-89.085313091674934</v>
      </c>
      <c r="AI27" s="123">
        <f t="shared" si="31"/>
        <v>0</v>
      </c>
      <c r="AJ27" s="123">
        <f t="shared" si="32"/>
        <v>0</v>
      </c>
      <c r="AK27" s="123">
        <f t="shared" si="33"/>
        <v>0</v>
      </c>
      <c r="AL27" s="123">
        <f t="shared" si="34"/>
        <v>0</v>
      </c>
      <c r="AM27" s="123">
        <f t="shared" si="35"/>
        <v>0</v>
      </c>
      <c r="AN27" s="123">
        <f t="shared" si="36"/>
        <v>0</v>
      </c>
      <c r="AO27" s="123">
        <f t="shared" si="37"/>
        <v>0</v>
      </c>
      <c r="AP27" s="123"/>
      <c r="AQ27" s="123">
        <f t="shared" si="38"/>
        <v>0</v>
      </c>
      <c r="AR27" s="123">
        <f t="shared" si="39"/>
        <v>0</v>
      </c>
      <c r="AS27" s="123">
        <f t="shared" si="40"/>
        <v>0</v>
      </c>
      <c r="AW27" t="str">
        <f t="shared" si="12"/>
        <v>8000</v>
      </c>
      <c r="AX27" t="str">
        <f t="shared" si="13"/>
        <v>3952-2242408.96376397i</v>
      </c>
      <c r="AY27" t="str">
        <f t="shared" si="41"/>
        <v>7999.84788271018-28.5399242191436i</v>
      </c>
      <c r="AZ27">
        <f t="shared" si="14"/>
        <v>4.0822897666591125</v>
      </c>
      <c r="BA27">
        <f t="shared" si="15"/>
        <v>-0.20440521272523682</v>
      </c>
      <c r="BB27">
        <f t="shared" si="16"/>
        <v>-1.8401116934859512</v>
      </c>
      <c r="BC27">
        <f t="shared" si="17"/>
        <v>3.9024407757031344E-2</v>
      </c>
      <c r="BD27" s="123">
        <f t="shared" si="42"/>
        <v>-1.8401117290672635</v>
      </c>
      <c r="BE27" s="123">
        <f t="shared" si="43"/>
        <v>3.3067445004744345E-2</v>
      </c>
      <c r="BF27">
        <f t="shared" si="44"/>
        <v>67.805435720096298</v>
      </c>
      <c r="BG27">
        <f t="shared" si="45"/>
        <v>-89.217889701584326</v>
      </c>
      <c r="BH27" s="123">
        <f t="shared" si="46"/>
        <v>65.965323991029038</v>
      </c>
      <c r="BI27" s="123">
        <f t="shared" si="47"/>
        <v>-89.184822256579579</v>
      </c>
      <c r="BL27" s="123">
        <f t="shared" si="48"/>
        <v>0</v>
      </c>
      <c r="BM27" s="123">
        <f t="shared" si="49"/>
        <v>0</v>
      </c>
      <c r="BN27" s="123">
        <f t="shared" si="50"/>
        <v>0</v>
      </c>
      <c r="BO27" s="123">
        <f t="shared" si="51"/>
        <v>0</v>
      </c>
      <c r="BP27" s="123">
        <f t="shared" si="52"/>
        <v>0</v>
      </c>
      <c r="BQ27" s="123">
        <f t="shared" si="53"/>
        <v>0</v>
      </c>
      <c r="BR27" s="123">
        <f t="shared" si="54"/>
        <v>0</v>
      </c>
      <c r="BS27" s="123"/>
      <c r="BT27" s="123">
        <f t="shared" si="55"/>
        <v>0</v>
      </c>
      <c r="BU27" s="123">
        <f t="shared" si="56"/>
        <v>0</v>
      </c>
      <c r="BV27" s="123">
        <f t="shared" si="57"/>
        <v>0</v>
      </c>
      <c r="BX27" s="123">
        <f t="shared" si="58"/>
        <v>0</v>
      </c>
      <c r="BY27" s="123"/>
    </row>
    <row r="28" spans="2:77" x14ac:dyDescent="0.25">
      <c r="E28">
        <v>17</v>
      </c>
      <c r="F28">
        <v>9</v>
      </c>
      <c r="G28" s="58">
        <f t="shared" si="0"/>
        <v>-3.9890464577134658E-8</v>
      </c>
      <c r="H28" s="58">
        <f t="shared" si="18"/>
        <v>-6.3073723241979518E-3</v>
      </c>
      <c r="I28">
        <f t="shared" si="19"/>
        <v>16.221643512426621</v>
      </c>
      <c r="J28">
        <f t="shared" si="1"/>
        <v>-6.8191185837719673E-2</v>
      </c>
      <c r="K28" t="str">
        <f t="shared" si="2"/>
        <v>37499.9999325475-1.59043094713924i</v>
      </c>
      <c r="L28" t="str">
        <f t="shared" si="3"/>
        <v>100000000-17683886244.7942i</v>
      </c>
      <c r="M28" t="str">
        <f t="shared" si="4"/>
        <v>149999.9927945-1.27230395274719i</v>
      </c>
      <c r="N28">
        <f t="shared" si="20"/>
        <v>-13.979399758626911</v>
      </c>
      <c r="O28">
        <f t="shared" si="5"/>
        <v>-1.5552124353334946E-3</v>
      </c>
      <c r="P28" t="str">
        <f t="shared" si="6"/>
        <v>-3935874.9710203i</v>
      </c>
      <c r="Q28" t="str">
        <f t="shared" si="7"/>
        <v>7350-2296608.60322003i</v>
      </c>
      <c r="R28" t="str">
        <f t="shared" si="21"/>
        <v>2931.21070338548-1450334.48646418i</v>
      </c>
      <c r="S28" t="str">
        <f t="shared" si="8"/>
        <v>99987210.6339064-1130828.47570726i</v>
      </c>
      <c r="T28" t="str">
        <f t="shared" si="22"/>
        <v>23951.6973245447-1449706.82685398i</v>
      </c>
      <c r="U28" t="str">
        <f t="shared" si="23"/>
        <v>0.999999997975-0.000044999999908875i</v>
      </c>
      <c r="V28">
        <f t="shared" si="9"/>
        <v>63.226788996927617</v>
      </c>
      <c r="W28">
        <f t="shared" si="10"/>
        <v>-89.056056270796091</v>
      </c>
      <c r="X28">
        <f t="shared" si="24"/>
        <v>-8.7944639906502004E-9</v>
      </c>
      <c r="Y28">
        <f t="shared" si="11"/>
        <v>-2.5783106127506366E-3</v>
      </c>
      <c r="AA28" s="123">
        <f t="shared" si="25"/>
        <v>16.221643472536154</v>
      </c>
      <c r="AB28" s="123">
        <f t="shared" si="26"/>
        <v>-7.4498558161917625E-2</v>
      </c>
      <c r="AC28">
        <f t="shared" si="27"/>
        <v>49.247389238300705</v>
      </c>
      <c r="AD28">
        <f t="shared" si="28"/>
        <v>-89.057611483231426</v>
      </c>
      <c r="AE28" s="123">
        <f t="shared" si="29"/>
        <v>65.469032710836856</v>
      </c>
      <c r="AF28" s="123">
        <f t="shared" si="30"/>
        <v>-89.132110041393346</v>
      </c>
      <c r="AI28" s="123">
        <f t="shared" si="31"/>
        <v>0</v>
      </c>
      <c r="AJ28" s="123">
        <f t="shared" si="32"/>
        <v>0</v>
      </c>
      <c r="AK28" s="123">
        <f t="shared" si="33"/>
        <v>0</v>
      </c>
      <c r="AL28" s="123">
        <f t="shared" si="34"/>
        <v>0</v>
      </c>
      <c r="AM28" s="123">
        <f t="shared" si="35"/>
        <v>0</v>
      </c>
      <c r="AN28" s="123">
        <f t="shared" si="36"/>
        <v>0</v>
      </c>
      <c r="AO28" s="123">
        <f t="shared" si="37"/>
        <v>0</v>
      </c>
      <c r="AP28" s="123"/>
      <c r="AQ28" s="123">
        <f t="shared" si="38"/>
        <v>0</v>
      </c>
      <c r="AR28" s="123">
        <f t="shared" si="39"/>
        <v>0</v>
      </c>
      <c r="AS28" s="123">
        <f t="shared" si="40"/>
        <v>0</v>
      </c>
      <c r="AW28" t="str">
        <f t="shared" si="12"/>
        <v>8000</v>
      </c>
      <c r="AX28" t="str">
        <f t="shared" si="13"/>
        <v>3952-2117830.68799931i</v>
      </c>
      <c r="AY28" t="str">
        <f t="shared" si="41"/>
        <v>7999.82946078775-30.2186393265428i</v>
      </c>
      <c r="AZ28">
        <f t="shared" si="14"/>
        <v>4.0822764588454552</v>
      </c>
      <c r="BA28">
        <f t="shared" si="15"/>
        <v>-0.21642869135930332</v>
      </c>
      <c r="BB28">
        <f t="shared" si="16"/>
        <v>-1.8401093814382952</v>
      </c>
      <c r="BC28">
        <f t="shared" si="17"/>
        <v>4.1319908849671995E-2</v>
      </c>
      <c r="BD28" s="123">
        <f t="shared" si="42"/>
        <v>-1.8401094213287597</v>
      </c>
      <c r="BE28" s="123">
        <f t="shared" si="43"/>
        <v>3.5012536525474043E-2</v>
      </c>
      <c r="BF28">
        <f t="shared" si="44"/>
        <v>67.309065455773066</v>
      </c>
      <c r="BG28">
        <f t="shared" si="45"/>
        <v>-89.272484962155389</v>
      </c>
      <c r="BH28" s="123">
        <f t="shared" si="46"/>
        <v>65.468956034444304</v>
      </c>
      <c r="BI28" s="123">
        <f t="shared" si="47"/>
        <v>-89.237472425629917</v>
      </c>
      <c r="BL28" s="123">
        <f t="shared" si="48"/>
        <v>0</v>
      </c>
      <c r="BM28" s="123">
        <f t="shared" si="49"/>
        <v>0</v>
      </c>
      <c r="BN28" s="123">
        <f t="shared" si="50"/>
        <v>0</v>
      </c>
      <c r="BO28" s="123">
        <f t="shared" si="51"/>
        <v>0</v>
      </c>
      <c r="BP28" s="123">
        <f t="shared" si="52"/>
        <v>0</v>
      </c>
      <c r="BQ28" s="123">
        <f t="shared" si="53"/>
        <v>0</v>
      </c>
      <c r="BR28" s="123">
        <f t="shared" si="54"/>
        <v>0</v>
      </c>
      <c r="BS28" s="123"/>
      <c r="BT28" s="123">
        <f t="shared" si="55"/>
        <v>0</v>
      </c>
      <c r="BU28" s="123">
        <f t="shared" si="56"/>
        <v>0</v>
      </c>
      <c r="BV28" s="123">
        <f t="shared" si="57"/>
        <v>0</v>
      </c>
      <c r="BX28" s="123">
        <f t="shared" si="58"/>
        <v>0</v>
      </c>
      <c r="BY28" s="123"/>
    </row>
    <row r="29" spans="2:77" x14ac:dyDescent="0.25">
      <c r="E29">
        <v>18</v>
      </c>
      <c r="F29">
        <v>9.5</v>
      </c>
      <c r="G29" s="58">
        <f t="shared" si="0"/>
        <v>-4.4445853047156113E-8</v>
      </c>
      <c r="H29" s="58">
        <f t="shared" si="18"/>
        <v>-6.6577818958083786E-3</v>
      </c>
      <c r="I29">
        <f t="shared" si="19"/>
        <v>16.221640606943225</v>
      </c>
      <c r="J29">
        <f t="shared" si="1"/>
        <v>-7.1979534289424718E-2</v>
      </c>
      <c r="K29" t="str">
        <f t="shared" si="2"/>
        <v>37499.9999248445-1.67878822163546i</v>
      </c>
      <c r="L29" t="str">
        <f t="shared" si="3"/>
        <v>100000000-16753155389.805i</v>
      </c>
      <c r="M29" t="str">
        <f t="shared" si="4"/>
        <v>149999.991971679-1.34298258687211i</v>
      </c>
      <c r="N29">
        <f t="shared" si="20"/>
        <v>-13.97939972116081</v>
      </c>
      <c r="O29">
        <f t="shared" si="5"/>
        <v>-1.641614625109801E-3</v>
      </c>
      <c r="P29" t="str">
        <f t="shared" si="6"/>
        <v>-3728723.65675608i</v>
      </c>
      <c r="Q29" t="str">
        <f t="shared" si="7"/>
        <v>7350-2175734.46620845i</v>
      </c>
      <c r="R29" t="str">
        <f t="shared" si="21"/>
        <v>2931.21023784713-1374001.46641958i</v>
      </c>
      <c r="S29" t="str">
        <f t="shared" si="8"/>
        <v>99985750.3279957-1193634.84670883i</v>
      </c>
      <c r="T29" t="str">
        <f t="shared" si="22"/>
        <v>21797.5520090471-1373436.43368099i</v>
      </c>
      <c r="U29" t="str">
        <f t="shared" si="23"/>
        <v>0.99999999774375-0.0000474999998928281i</v>
      </c>
      <c r="V29">
        <f t="shared" si="9"/>
        <v>62.757265043248751</v>
      </c>
      <c r="W29">
        <f t="shared" si="10"/>
        <v>-89.093485852490133</v>
      </c>
      <c r="X29">
        <f t="shared" si="24"/>
        <v>-9.7987695820593061E-9</v>
      </c>
      <c r="Y29">
        <f t="shared" si="11"/>
        <v>-2.7215500910269959E-3</v>
      </c>
      <c r="AA29" s="123">
        <f t="shared" si="25"/>
        <v>16.221640562497374</v>
      </c>
      <c r="AB29" s="123">
        <f t="shared" si="26"/>
        <v>-7.8637316185233092E-2</v>
      </c>
      <c r="AC29">
        <f t="shared" si="27"/>
        <v>48.777865322087941</v>
      </c>
      <c r="AD29">
        <f t="shared" si="28"/>
        <v>-89.095127467115248</v>
      </c>
      <c r="AE29" s="123">
        <f t="shared" si="29"/>
        <v>64.999505884585318</v>
      </c>
      <c r="AF29" s="123">
        <f t="shared" si="30"/>
        <v>-89.173764783300484</v>
      </c>
      <c r="AI29" s="123">
        <f t="shared" si="31"/>
        <v>0</v>
      </c>
      <c r="AJ29" s="123">
        <f t="shared" si="32"/>
        <v>0</v>
      </c>
      <c r="AK29" s="123">
        <f t="shared" si="33"/>
        <v>0</v>
      </c>
      <c r="AL29" s="123">
        <f t="shared" si="34"/>
        <v>0</v>
      </c>
      <c r="AM29" s="123">
        <f t="shared" si="35"/>
        <v>0</v>
      </c>
      <c r="AN29" s="123">
        <f t="shared" si="36"/>
        <v>0</v>
      </c>
      <c r="AO29" s="123">
        <f t="shared" si="37"/>
        <v>0</v>
      </c>
      <c r="AP29" s="123"/>
      <c r="AQ29" s="123">
        <f t="shared" si="38"/>
        <v>0</v>
      </c>
      <c r="AR29" s="123">
        <f t="shared" si="39"/>
        <v>0</v>
      </c>
      <c r="AS29" s="123">
        <f t="shared" si="40"/>
        <v>0</v>
      </c>
      <c r="AW29" t="str">
        <f t="shared" si="12"/>
        <v>8000</v>
      </c>
      <c r="AX29" t="str">
        <f t="shared" si="13"/>
        <v>3952-2006365.91494671i</v>
      </c>
      <c r="AY29" t="str">
        <f t="shared" si="41"/>
        <v>7999.80998632187-31.8973366123092i</v>
      </c>
      <c r="AZ29">
        <f t="shared" si="14"/>
        <v>4.0822623906405369</v>
      </c>
      <c r="BA29">
        <f t="shared" si="15"/>
        <v>-0.22845210872507632</v>
      </c>
      <c r="BB29">
        <f t="shared" si="16"/>
        <v>-1.8401069372800096</v>
      </c>
      <c r="BC29">
        <f t="shared" si="17"/>
        <v>4.3615400975924798E-2</v>
      </c>
      <c r="BD29" s="123">
        <f t="shared" si="42"/>
        <v>-1.8401069817258626</v>
      </c>
      <c r="BE29" s="123">
        <f t="shared" si="43"/>
        <v>3.6957619080116418E-2</v>
      </c>
      <c r="BF29">
        <f t="shared" si="44"/>
        <v>66.839527433889288</v>
      </c>
      <c r="BG29">
        <f t="shared" si="45"/>
        <v>-89.321937961215212</v>
      </c>
      <c r="BH29" s="123">
        <f t="shared" si="46"/>
        <v>64.99942045216342</v>
      </c>
      <c r="BI29" s="123">
        <f t="shared" si="47"/>
        <v>-89.2849803421351</v>
      </c>
      <c r="BL29" s="123">
        <f t="shared" si="48"/>
        <v>0</v>
      </c>
      <c r="BM29" s="123">
        <f t="shared" si="49"/>
        <v>0</v>
      </c>
      <c r="BN29" s="123">
        <f t="shared" si="50"/>
        <v>0</v>
      </c>
      <c r="BO29" s="123">
        <f t="shared" si="51"/>
        <v>0</v>
      </c>
      <c r="BP29" s="123">
        <f t="shared" si="52"/>
        <v>0</v>
      </c>
      <c r="BQ29" s="123">
        <f t="shared" si="53"/>
        <v>0</v>
      </c>
      <c r="BR29" s="123">
        <f t="shared" si="54"/>
        <v>0</v>
      </c>
      <c r="BS29" s="123"/>
      <c r="BT29" s="123">
        <f t="shared" si="55"/>
        <v>0</v>
      </c>
      <c r="BU29" s="123">
        <f t="shared" si="56"/>
        <v>0</v>
      </c>
      <c r="BV29" s="123">
        <f t="shared" si="57"/>
        <v>0</v>
      </c>
      <c r="BX29" s="123">
        <f t="shared" si="58"/>
        <v>0</v>
      </c>
      <c r="BY29" s="123"/>
    </row>
    <row r="30" spans="2:77" x14ac:dyDescent="0.25">
      <c r="E30">
        <v>19</v>
      </c>
      <c r="F30">
        <v>10</v>
      </c>
      <c r="G30" s="58">
        <f t="shared" si="0"/>
        <v>-4.9247485432526135E-8</v>
      </c>
      <c r="H30" s="58">
        <f t="shared" si="18"/>
        <v>-7.0081914671016104E-3</v>
      </c>
      <c r="I30">
        <f t="shared" si="19"/>
        <v>16.221637544411255</v>
      </c>
      <c r="J30">
        <f t="shared" si="1"/>
        <v>-7.5767874509623051E-2</v>
      </c>
      <c r="K30" t="str">
        <f t="shared" si="2"/>
        <v>37499.9999167253-1.76714549607577i</v>
      </c>
      <c r="L30" t="str">
        <f t="shared" si="3"/>
        <v>100000000-15915497620.3148i</v>
      </c>
      <c r="M30" t="str">
        <f t="shared" si="4"/>
        <v>149999.991104388-1.41366042339395i</v>
      </c>
      <c r="N30">
        <f t="shared" si="20"/>
        <v>-13.97939968166977</v>
      </c>
      <c r="O30">
        <f t="shared" si="5"/>
        <v>-1.7280170579424437E-3</v>
      </c>
      <c r="P30" t="str">
        <f t="shared" si="6"/>
        <v>-3542287.47391827i</v>
      </c>
      <c r="Q30" t="str">
        <f t="shared" si="7"/>
        <v>7350-2066947.74289803i</v>
      </c>
      <c r="R30" t="str">
        <f t="shared" si="21"/>
        <v>2931.20974714469-1305301.76758369i</v>
      </c>
      <c r="S30" t="str">
        <f t="shared" si="8"/>
        <v>99984211.1328058-1256438.39128453i</v>
      </c>
      <c r="T30" t="str">
        <f t="shared" si="22"/>
        <v>19958.3041144857-1304788.98947285i</v>
      </c>
      <c r="U30" t="str">
        <f t="shared" si="23"/>
        <v>0.9999999975-0.000049999999875i</v>
      </c>
      <c r="V30">
        <f t="shared" si="9"/>
        <v>62.311821669004729</v>
      </c>
      <c r="W30">
        <f t="shared" si="10"/>
        <v>-89.126544376219258</v>
      </c>
      <c r="X30">
        <f t="shared" si="24"/>
        <v>-1.0857362952709313E-8</v>
      </c>
      <c r="Y30">
        <f t="shared" si="11"/>
        <v>-2.8647895692693382E-3</v>
      </c>
      <c r="AA30" s="123">
        <f t="shared" si="25"/>
        <v>16.221637495163769</v>
      </c>
      <c r="AB30" s="123">
        <f t="shared" si="26"/>
        <v>-8.2776065976724655E-2</v>
      </c>
      <c r="AC30">
        <f t="shared" si="27"/>
        <v>48.332421987334961</v>
      </c>
      <c r="AD30">
        <f t="shared" si="28"/>
        <v>-89.1282723932772</v>
      </c>
      <c r="AE30" s="123">
        <f t="shared" si="29"/>
        <v>64.554059482498729</v>
      </c>
      <c r="AF30" s="123">
        <f t="shared" si="30"/>
        <v>-89.211048459253931</v>
      </c>
      <c r="AI30" s="123">
        <f t="shared" si="31"/>
        <v>0</v>
      </c>
      <c r="AJ30" s="123">
        <f t="shared" si="32"/>
        <v>0</v>
      </c>
      <c r="AK30" s="123">
        <f t="shared" si="33"/>
        <v>0</v>
      </c>
      <c r="AL30" s="123">
        <f t="shared" si="34"/>
        <v>0</v>
      </c>
      <c r="AM30" s="123">
        <f t="shared" si="35"/>
        <v>0</v>
      </c>
      <c r="AN30" s="123">
        <f t="shared" si="36"/>
        <v>0</v>
      </c>
      <c r="AO30" s="123">
        <f t="shared" si="37"/>
        <v>0</v>
      </c>
      <c r="AP30" s="123"/>
      <c r="AQ30" s="123">
        <f t="shared" si="38"/>
        <v>0</v>
      </c>
      <c r="AR30" s="123">
        <f t="shared" si="39"/>
        <v>0</v>
      </c>
      <c r="AS30" s="123">
        <f t="shared" si="40"/>
        <v>0</v>
      </c>
      <c r="AW30" t="str">
        <f t="shared" si="12"/>
        <v>8000</v>
      </c>
      <c r="AX30" t="str">
        <f t="shared" si="13"/>
        <v>3952-1906047.61919938i</v>
      </c>
      <c r="AY30" t="str">
        <f t="shared" si="41"/>
        <v>7999.78945933548-33.5760150865797i</v>
      </c>
      <c r="AZ30">
        <f t="shared" si="14"/>
        <v>4.0822475620535927</v>
      </c>
      <c r="BA30">
        <f t="shared" si="15"/>
        <v>-0.2404754614192437</v>
      </c>
      <c r="BB30">
        <f t="shared" si="16"/>
        <v>-1.840104361012171</v>
      </c>
      <c r="BC30">
        <f t="shared" si="17"/>
        <v>4.5910883637698359E-2</v>
      </c>
      <c r="BD30" s="123">
        <f t="shared" si="42"/>
        <v>-1.8401044102596564</v>
      </c>
      <c r="BE30" s="123">
        <f t="shared" si="43"/>
        <v>3.8902692170596748E-2</v>
      </c>
      <c r="BF30">
        <f t="shared" si="44"/>
        <v>66.394069231058324</v>
      </c>
      <c r="BG30">
        <f t="shared" si="45"/>
        <v>-89.367019837638495</v>
      </c>
      <c r="BH30" s="123">
        <f t="shared" si="46"/>
        <v>64.553964820798669</v>
      </c>
      <c r="BI30" s="123">
        <f t="shared" si="47"/>
        <v>-89.3281171454679</v>
      </c>
      <c r="BL30" s="123">
        <f t="shared" si="48"/>
        <v>0</v>
      </c>
      <c r="BM30" s="123">
        <f t="shared" si="49"/>
        <v>0</v>
      </c>
      <c r="BN30" s="123">
        <f t="shared" si="50"/>
        <v>0</v>
      </c>
      <c r="BO30" s="123">
        <f t="shared" si="51"/>
        <v>0</v>
      </c>
      <c r="BP30" s="123">
        <f t="shared" si="52"/>
        <v>0</v>
      </c>
      <c r="BQ30" s="123">
        <f t="shared" si="53"/>
        <v>0</v>
      </c>
      <c r="BR30" s="123">
        <f t="shared" si="54"/>
        <v>0</v>
      </c>
      <c r="BS30" s="123"/>
      <c r="BT30" s="123">
        <f t="shared" si="55"/>
        <v>0</v>
      </c>
      <c r="BU30" s="123">
        <f t="shared" si="56"/>
        <v>0</v>
      </c>
      <c r="BV30" s="123">
        <f t="shared" si="57"/>
        <v>0</v>
      </c>
      <c r="BX30" s="123">
        <f t="shared" si="58"/>
        <v>0</v>
      </c>
      <c r="BY30" s="123"/>
    </row>
    <row r="31" spans="2:77" x14ac:dyDescent="0.25">
      <c r="E31">
        <v>20</v>
      </c>
      <c r="F31">
        <v>15</v>
      </c>
      <c r="G31" s="58">
        <f t="shared" si="0"/>
        <v>-1.1080684864289028E-7</v>
      </c>
      <c r="H31" s="58">
        <f t="shared" si="18"/>
        <v>-1.0512287158914823E-2</v>
      </c>
      <c r="I31">
        <f t="shared" si="19"/>
        <v>16.221598281599825</v>
      </c>
      <c r="J31">
        <f t="shared" si="1"/>
        <v>-0.11365072867350814</v>
      </c>
      <c r="K31" t="str">
        <f t="shared" si="2"/>
        <v>37499.9998126319-2.65071823675573i</v>
      </c>
      <c r="L31" t="str">
        <f t="shared" si="3"/>
        <v>100000000-10610331746.8765i</v>
      </c>
      <c r="M31" t="str">
        <f t="shared" si="4"/>
        <v>149999.979985864-2.12038568830902i</v>
      </c>
      <c r="N31">
        <f t="shared" si="20"/>
        <v>-13.979399175402262</v>
      </c>
      <c r="O31">
        <f t="shared" si="5"/>
        <v>-2.5920575677083773E-3</v>
      </c>
      <c r="P31" t="str">
        <f t="shared" si="6"/>
        <v>-2361524.98261218i</v>
      </c>
      <c r="Q31" t="str">
        <f t="shared" si="7"/>
        <v>7350-1377965.16193202i</v>
      </c>
      <c r="R31" t="str">
        <f t="shared" si="21"/>
        <v>2931.20345610238-870204.379108944i</v>
      </c>
      <c r="S31" t="str">
        <f t="shared" si="8"/>
        <v>99964482.0586638-1884285.70271785i</v>
      </c>
      <c r="T31" t="str">
        <f t="shared" si="22"/>
        <v>10498.9908716301-869944.825653494i</v>
      </c>
      <c r="U31" t="str">
        <f t="shared" si="23"/>
        <v>0.999999994375-0.000074999999578125i</v>
      </c>
      <c r="V31">
        <f t="shared" si="9"/>
        <v>58.790466667484566</v>
      </c>
      <c r="W31">
        <f t="shared" si="10"/>
        <v>-89.312871151347366</v>
      </c>
      <c r="X31">
        <f t="shared" si="24"/>
        <v>-2.4429064734026222E-8</v>
      </c>
      <c r="Y31">
        <f t="shared" si="11"/>
        <v>-4.2971843494277739E-3</v>
      </c>
      <c r="AA31" s="123">
        <f t="shared" si="25"/>
        <v>16.221598170792976</v>
      </c>
      <c r="AB31" s="123">
        <f t="shared" si="26"/>
        <v>-0.12416301583242297</v>
      </c>
      <c r="AC31">
        <f t="shared" si="27"/>
        <v>44.811067492082302</v>
      </c>
      <c r="AD31">
        <f t="shared" si="28"/>
        <v>-89.315463208915077</v>
      </c>
      <c r="AE31" s="123">
        <f t="shared" si="29"/>
        <v>61.032665662875274</v>
      </c>
      <c r="AF31" s="123">
        <f t="shared" si="30"/>
        <v>-89.439626224747499</v>
      </c>
      <c r="AI31" s="123">
        <f t="shared" si="31"/>
        <v>0</v>
      </c>
      <c r="AJ31" s="123">
        <f t="shared" si="32"/>
        <v>0</v>
      </c>
      <c r="AK31" s="123">
        <f t="shared" si="33"/>
        <v>0</v>
      </c>
      <c r="AL31" s="123">
        <f t="shared" si="34"/>
        <v>0</v>
      </c>
      <c r="AM31" s="123">
        <f t="shared" si="35"/>
        <v>0</v>
      </c>
      <c r="AN31" s="123">
        <f t="shared" si="36"/>
        <v>0</v>
      </c>
      <c r="AO31" s="123">
        <f t="shared" si="37"/>
        <v>0</v>
      </c>
      <c r="AP31" s="123"/>
      <c r="AQ31" s="123">
        <f t="shared" si="38"/>
        <v>0</v>
      </c>
      <c r="AR31" s="123">
        <f t="shared" si="39"/>
        <v>0</v>
      </c>
      <c r="AS31" s="123">
        <f t="shared" si="40"/>
        <v>0</v>
      </c>
      <c r="AW31" t="str">
        <f t="shared" si="12"/>
        <v>8000</v>
      </c>
      <c r="AX31" t="str">
        <f t="shared" si="13"/>
        <v>3952-1270698.41279958i</v>
      </c>
      <c r="AY31" t="str">
        <f t="shared" si="41"/>
        <v>7999.52630678596-50.3615474561856i</v>
      </c>
      <c r="AZ31">
        <f t="shared" si="14"/>
        <v>4.0820574575509676</v>
      </c>
      <c r="BA31">
        <f t="shared" si="15"/>
        <v>-0.36070468275673018</v>
      </c>
      <c r="BB31">
        <f t="shared" si="16"/>
        <v>-1.8400713325867524</v>
      </c>
      <c r="BC31">
        <f t="shared" si="17"/>
        <v>6.8865080134817222E-2</v>
      </c>
      <c r="BD31" s="123">
        <f t="shared" si="42"/>
        <v>-1.840071443393601</v>
      </c>
      <c r="BE31" s="123">
        <f t="shared" si="43"/>
        <v>5.8352792975902401E-2</v>
      </c>
      <c r="BF31">
        <f t="shared" si="44"/>
        <v>62.872524125035532</v>
      </c>
      <c r="BG31">
        <f t="shared" si="45"/>
        <v>-89.673575834104099</v>
      </c>
      <c r="BH31" s="123">
        <f t="shared" si="46"/>
        <v>61.032452681641928</v>
      </c>
      <c r="BI31" s="123">
        <f t="shared" si="47"/>
        <v>-89.615223041128203</v>
      </c>
      <c r="BL31" s="123">
        <f t="shared" si="48"/>
        <v>0</v>
      </c>
      <c r="BM31" s="123">
        <f t="shared" si="49"/>
        <v>0</v>
      </c>
      <c r="BN31" s="123">
        <f t="shared" si="50"/>
        <v>0</v>
      </c>
      <c r="BO31" s="123">
        <f t="shared" si="51"/>
        <v>0</v>
      </c>
      <c r="BP31" s="123">
        <f t="shared" si="52"/>
        <v>0</v>
      </c>
      <c r="BQ31" s="123">
        <f t="shared" si="53"/>
        <v>0</v>
      </c>
      <c r="BR31" s="123">
        <f t="shared" si="54"/>
        <v>0</v>
      </c>
      <c r="BS31" s="123"/>
      <c r="BT31" s="123">
        <f t="shared" si="55"/>
        <v>0</v>
      </c>
      <c r="BU31" s="123">
        <f t="shared" si="56"/>
        <v>0</v>
      </c>
      <c r="BV31" s="123">
        <f t="shared" si="57"/>
        <v>0</v>
      </c>
      <c r="BX31" s="123">
        <f t="shared" si="58"/>
        <v>0</v>
      </c>
      <c r="BY31" s="123"/>
    </row>
    <row r="32" spans="2:77" x14ac:dyDescent="0.25">
      <c r="E32">
        <v>21</v>
      </c>
      <c r="F32">
        <v>20</v>
      </c>
      <c r="G32" s="58">
        <f t="shared" si="0"/>
        <v>-1.9698995594171002E-7</v>
      </c>
      <c r="H32" s="58">
        <f t="shared" si="18"/>
        <v>-1.4016382800642877E-2</v>
      </c>
      <c r="I32">
        <f t="shared" si="19"/>
        <v>16.221543314969075</v>
      </c>
      <c r="J32">
        <f t="shared" si="1"/>
        <v>-0.15153228317800282</v>
      </c>
      <c r="K32" t="str">
        <f t="shared" si="2"/>
        <v>37499.9996669009-3.53429096860616i</v>
      </c>
      <c r="L32" t="str">
        <f t="shared" si="3"/>
        <v>100000000-7957748810.1574i</v>
      </c>
      <c r="M32" t="str">
        <f t="shared" si="4"/>
        <v>149999.964421778-2.82698504033918i</v>
      </c>
      <c r="N32">
        <f t="shared" si="20"/>
        <v>-13.979398466713135</v>
      </c>
      <c r="O32">
        <f t="shared" si="5"/>
        <v>-3.4561364473499685E-3</v>
      </c>
      <c r="P32" t="str">
        <f t="shared" si="6"/>
        <v>-1771143.73695914i</v>
      </c>
      <c r="Q32" t="str">
        <f t="shared" si="7"/>
        <v>7350-1033473.87144901i</v>
      </c>
      <c r="R32" t="str">
        <f t="shared" si="21"/>
        <v>2931.19464868855-652656.64507021i</v>
      </c>
      <c r="S32" t="str">
        <f t="shared" si="8"/>
        <v>99936874.4316596-2511687.08175605i</v>
      </c>
      <c r="T32" t="str">
        <f t="shared" si="22"/>
        <v>7187.80174563366-652483.585945396i</v>
      </c>
      <c r="U32" t="str">
        <f t="shared" si="23"/>
        <v>0.99999999-0.000099999999i</v>
      </c>
      <c r="V32">
        <f t="shared" si="9"/>
        <v>56.291918775339489</v>
      </c>
      <c r="W32">
        <f t="shared" si="10"/>
        <v>-89.374599657059179</v>
      </c>
      <c r="X32">
        <f t="shared" si="24"/>
        <v>-4.3429448999285063E-8</v>
      </c>
      <c r="Y32">
        <f t="shared" si="11"/>
        <v>-5.729579124214729E-3</v>
      </c>
      <c r="AA32" s="123">
        <f t="shared" si="25"/>
        <v>16.22154311797912</v>
      </c>
      <c r="AB32" s="123">
        <f t="shared" si="26"/>
        <v>-0.1655486659786457</v>
      </c>
      <c r="AC32">
        <f t="shared" si="27"/>
        <v>42.312520308626354</v>
      </c>
      <c r="AD32">
        <f t="shared" si="28"/>
        <v>-89.378055793506533</v>
      </c>
      <c r="AE32" s="123">
        <f t="shared" si="29"/>
        <v>58.534063426605471</v>
      </c>
      <c r="AF32" s="123">
        <f t="shared" si="30"/>
        <v>-89.543604459485181</v>
      </c>
      <c r="AI32" s="123">
        <f t="shared" si="31"/>
        <v>0</v>
      </c>
      <c r="AJ32" s="123">
        <f t="shared" si="32"/>
        <v>0</v>
      </c>
      <c r="AK32" s="123">
        <f t="shared" si="33"/>
        <v>0</v>
      </c>
      <c r="AL32" s="123">
        <f t="shared" si="34"/>
        <v>0</v>
      </c>
      <c r="AM32" s="123">
        <f t="shared" si="35"/>
        <v>0</v>
      </c>
      <c r="AN32" s="123">
        <f t="shared" si="36"/>
        <v>0</v>
      </c>
      <c r="AO32" s="123">
        <f t="shared" si="37"/>
        <v>0</v>
      </c>
      <c r="AP32" s="123"/>
      <c r="AQ32" s="123">
        <f t="shared" si="38"/>
        <v>0</v>
      </c>
      <c r="AR32" s="123">
        <f t="shared" si="39"/>
        <v>0</v>
      </c>
      <c r="AS32" s="123">
        <f t="shared" si="40"/>
        <v>0</v>
      </c>
      <c r="AW32" t="str">
        <f t="shared" si="12"/>
        <v>8000</v>
      </c>
      <c r="AX32" t="str">
        <f t="shared" si="13"/>
        <v>3952-953023.809599689i</v>
      </c>
      <c r="AY32" t="str">
        <f t="shared" si="41"/>
        <v>7999.15793666792-67.1441101622986i</v>
      </c>
      <c r="AZ32">
        <f t="shared" si="14"/>
        <v>4.0817913286588166</v>
      </c>
      <c r="BA32">
        <f t="shared" si="15"/>
        <v>-0.4809236940092797</v>
      </c>
      <c r="BB32">
        <f t="shared" si="16"/>
        <v>-1.8400250948125241</v>
      </c>
      <c r="BC32">
        <f t="shared" si="17"/>
        <v>9.1817782348226976E-2</v>
      </c>
      <c r="BD32" s="123">
        <f t="shared" si="42"/>
        <v>-1.84002529180248</v>
      </c>
      <c r="BE32" s="123">
        <f t="shared" si="43"/>
        <v>7.7801399547584096E-2</v>
      </c>
      <c r="BF32">
        <f t="shared" si="44"/>
        <v>60.373710103998306</v>
      </c>
      <c r="BG32">
        <f t="shared" si="45"/>
        <v>-89.855523351068456</v>
      </c>
      <c r="BH32" s="123">
        <f t="shared" si="46"/>
        <v>58.533684812195823</v>
      </c>
      <c r="BI32" s="123">
        <f t="shared" si="47"/>
        <v>-89.777721951520874</v>
      </c>
      <c r="BL32" s="123">
        <f t="shared" si="48"/>
        <v>0</v>
      </c>
      <c r="BM32" s="123">
        <f t="shared" si="49"/>
        <v>0</v>
      </c>
      <c r="BN32" s="123">
        <f t="shared" si="50"/>
        <v>0</v>
      </c>
      <c r="BO32" s="123">
        <f t="shared" si="51"/>
        <v>0</v>
      </c>
      <c r="BP32" s="123">
        <f t="shared" si="52"/>
        <v>0</v>
      </c>
      <c r="BQ32" s="123">
        <f t="shared" si="53"/>
        <v>0</v>
      </c>
      <c r="BR32" s="123">
        <f t="shared" si="54"/>
        <v>0</v>
      </c>
      <c r="BS32" s="123"/>
      <c r="BT32" s="123">
        <f t="shared" si="55"/>
        <v>0</v>
      </c>
      <c r="BU32" s="123">
        <f t="shared" si="56"/>
        <v>0</v>
      </c>
      <c r="BV32" s="123">
        <f t="shared" si="57"/>
        <v>0</v>
      </c>
      <c r="BX32" s="123">
        <f t="shared" si="58"/>
        <v>0</v>
      </c>
      <c r="BY32" s="123"/>
    </row>
    <row r="33" spans="5:77" x14ac:dyDescent="0.25">
      <c r="E33">
        <v>22</v>
      </c>
      <c r="F33">
        <v>25</v>
      </c>
      <c r="G33" s="58">
        <f t="shared" si="0"/>
        <v>-3.0779679552569285E-7</v>
      </c>
      <c r="H33" s="58">
        <f t="shared" si="18"/>
        <v>-1.7520478375590669E-2</v>
      </c>
      <c r="I33">
        <f t="shared" si="19"/>
        <v>16.221472645824136</v>
      </c>
      <c r="J33">
        <f t="shared" si="1"/>
        <v>-0.18941210488617807</v>
      </c>
      <c r="K33" t="str">
        <f t="shared" si="2"/>
        <v>37499.9994795328-4.41786368868391i</v>
      </c>
      <c r="L33" t="str">
        <f t="shared" si="3"/>
        <v>100000000-6366199048.12592i</v>
      </c>
      <c r="M33" t="str">
        <f t="shared" si="4"/>
        <v>149999.94441398-3.5334165473078i</v>
      </c>
      <c r="N33">
        <f t="shared" si="20"/>
        <v>-13.979397555687669</v>
      </c>
      <c r="O33">
        <f t="shared" si="5"/>
        <v>-4.3202664750200065E-3</v>
      </c>
      <c r="P33" t="str">
        <f t="shared" si="6"/>
        <v>-1416914.98956731i</v>
      </c>
      <c r="Q33" t="str">
        <f t="shared" si="7"/>
        <v>7350-826779.09715921i</v>
      </c>
      <c r="R33" t="str">
        <f t="shared" si="21"/>
        <v>2931.18332494848-522128.772792028i</v>
      </c>
      <c r="S33" t="str">
        <f t="shared" si="8"/>
        <v>99901401.3100213-3138494.43144352i</v>
      </c>
      <c r="T33" t="str">
        <f t="shared" si="22"/>
        <v>5655.11271391208-521998.326102608i</v>
      </c>
      <c r="U33" t="str">
        <f t="shared" si="23"/>
        <v>0.999999984375-0.000124999998046875i</v>
      </c>
      <c r="V33">
        <f t="shared" si="9"/>
        <v>54.353891825607192</v>
      </c>
      <c r="W33">
        <f t="shared" si="10"/>
        <v>-89.386486210664557</v>
      </c>
      <c r="X33">
        <f t="shared" si="24"/>
        <v>-6.7858513855456616E-8</v>
      </c>
      <c r="Y33">
        <f t="shared" si="11"/>
        <v>-7.16197389183971E-3</v>
      </c>
      <c r="AA33" s="123">
        <f t="shared" si="25"/>
        <v>16.22147233802734</v>
      </c>
      <c r="AB33" s="123">
        <f t="shared" si="26"/>
        <v>-0.20693258326176875</v>
      </c>
      <c r="AC33">
        <f t="shared" si="27"/>
        <v>40.374494269919524</v>
      </c>
      <c r="AD33">
        <f t="shared" si="28"/>
        <v>-89.390806477139577</v>
      </c>
      <c r="AE33" s="123">
        <f t="shared" si="29"/>
        <v>56.595966607946863</v>
      </c>
      <c r="AF33" s="123">
        <f t="shared" si="30"/>
        <v>-89.597739060401352</v>
      </c>
      <c r="AI33" s="123">
        <f t="shared" si="31"/>
        <v>0</v>
      </c>
      <c r="AJ33" s="123">
        <f t="shared" si="32"/>
        <v>0</v>
      </c>
      <c r="AK33" s="123">
        <f t="shared" si="33"/>
        <v>0</v>
      </c>
      <c r="AL33" s="123">
        <f t="shared" si="34"/>
        <v>0</v>
      </c>
      <c r="AM33" s="123">
        <f t="shared" si="35"/>
        <v>0</v>
      </c>
      <c r="AN33" s="123">
        <f t="shared" si="36"/>
        <v>0</v>
      </c>
      <c r="AO33" s="123">
        <f t="shared" si="37"/>
        <v>0</v>
      </c>
      <c r="AP33" s="123"/>
      <c r="AQ33" s="123">
        <f t="shared" si="38"/>
        <v>0</v>
      </c>
      <c r="AR33" s="123">
        <f t="shared" si="39"/>
        <v>0</v>
      </c>
      <c r="AS33" s="123">
        <f t="shared" si="40"/>
        <v>0</v>
      </c>
      <c r="AW33" t="str">
        <f t="shared" si="12"/>
        <v>8000</v>
      </c>
      <c r="AX33" t="str">
        <f t="shared" si="13"/>
        <v>3952-762419.047679751i</v>
      </c>
      <c r="AY33" t="str">
        <f t="shared" si="41"/>
        <v>7998.68439241718-83.92271422506i</v>
      </c>
      <c r="AZ33">
        <f t="shared" si="14"/>
        <v>4.0814491927844081</v>
      </c>
      <c r="BA33">
        <f t="shared" si="15"/>
        <v>-0.60112909375092693</v>
      </c>
      <c r="BB33">
        <f t="shared" si="16"/>
        <v>-1.8399656497112007</v>
      </c>
      <c r="BC33">
        <f t="shared" si="17"/>
        <v>0.11476849235396681</v>
      </c>
      <c r="BD33" s="123">
        <f t="shared" si="42"/>
        <v>-1.8399659575079963</v>
      </c>
      <c r="BE33" s="123">
        <f t="shared" si="43"/>
        <v>9.7248013978376152E-2</v>
      </c>
      <c r="BF33">
        <f t="shared" si="44"/>
        <v>58.435341018391597</v>
      </c>
      <c r="BG33">
        <f t="shared" si="45"/>
        <v>-89.987615304415485</v>
      </c>
      <c r="BH33" s="123">
        <f t="shared" si="46"/>
        <v>56.595375060883597</v>
      </c>
      <c r="BI33" s="123">
        <f t="shared" si="47"/>
        <v>-89.890367290437112</v>
      </c>
      <c r="BL33" s="123">
        <f t="shared" si="48"/>
        <v>0</v>
      </c>
      <c r="BM33" s="123">
        <f t="shared" si="49"/>
        <v>0</v>
      </c>
      <c r="BN33" s="123">
        <f t="shared" si="50"/>
        <v>0</v>
      </c>
      <c r="BO33" s="123">
        <f t="shared" si="51"/>
        <v>0</v>
      </c>
      <c r="BP33" s="123">
        <f t="shared" si="52"/>
        <v>0</v>
      </c>
      <c r="BQ33" s="123">
        <f t="shared" si="53"/>
        <v>0</v>
      </c>
      <c r="BR33" s="123">
        <f t="shared" si="54"/>
        <v>0</v>
      </c>
      <c r="BS33" s="123"/>
      <c r="BT33" s="123">
        <f t="shared" si="55"/>
        <v>0</v>
      </c>
      <c r="BU33" s="123">
        <f t="shared" si="56"/>
        <v>0</v>
      </c>
      <c r="BV33" s="123">
        <f t="shared" si="57"/>
        <v>0</v>
      </c>
      <c r="BX33" s="123">
        <f t="shared" si="58"/>
        <v>0</v>
      </c>
      <c r="BY33" s="123"/>
    </row>
    <row r="34" spans="5:77" x14ac:dyDescent="0.25">
      <c r="E34">
        <v>23</v>
      </c>
      <c r="F34">
        <v>30</v>
      </c>
      <c r="G34" s="58">
        <f t="shared" si="0"/>
        <v>-4.4322737412318668E-7</v>
      </c>
      <c r="H34" s="58">
        <f t="shared" si="18"/>
        <v>-2.1024573867063218E-2</v>
      </c>
      <c r="I34">
        <f t="shared" si="19"/>
        <v>16.221386275842956</v>
      </c>
      <c r="J34">
        <f t="shared" si="1"/>
        <v>-0.22728976073211674</v>
      </c>
      <c r="K34" t="str">
        <f t="shared" si="2"/>
        <v>37499.9992505273-5.30143639404581i</v>
      </c>
      <c r="L34" t="str">
        <f t="shared" si="3"/>
        <v>100000000-5305165873.43827i</v>
      </c>
      <c r="M34" t="str">
        <f t="shared" si="4"/>
        <v>149999.919964844-4.2396383102325i</v>
      </c>
      <c r="N34">
        <f t="shared" si="20"/>
        <v>-13.979396442435545</v>
      </c>
      <c r="O34">
        <f t="shared" si="5"/>
        <v>-5.1844604187674661E-3</v>
      </c>
      <c r="P34" t="str">
        <f t="shared" si="6"/>
        <v>-1180762.49130609i</v>
      </c>
      <c r="Q34" t="str">
        <f t="shared" si="7"/>
        <v>7350-688982.580966008i</v>
      </c>
      <c r="R34" t="str">
        <f t="shared" si="21"/>
        <v>2931.16948494058-435110.831379286i</v>
      </c>
      <c r="S34" t="str">
        <f t="shared" si="8"/>
        <v>99858079.4564213-3764560.12266789i</v>
      </c>
      <c r="T34" t="str">
        <f t="shared" si="22"/>
        <v>4822.51351020081-435005.747426258i</v>
      </c>
      <c r="U34" t="str">
        <f t="shared" si="23"/>
        <v>0.9999999775-0.000149999996625i</v>
      </c>
      <c r="V34">
        <f t="shared" si="9"/>
        <v>52.770433524017747</v>
      </c>
      <c r="W34">
        <f t="shared" si="10"/>
        <v>-89.373452727239979</v>
      </c>
      <c r="X34">
        <f t="shared" si="24"/>
        <v>-9.7716260312672845E-8</v>
      </c>
      <c r="Y34">
        <f t="shared" si="11"/>
        <v>-8.5943686505122237E-3</v>
      </c>
      <c r="AA34" s="123">
        <f t="shared" si="25"/>
        <v>16.221385832615582</v>
      </c>
      <c r="AB34" s="123">
        <f t="shared" si="26"/>
        <v>-0.24831433459917995</v>
      </c>
      <c r="AC34">
        <f t="shared" si="27"/>
        <v>38.791037081582203</v>
      </c>
      <c r="AD34">
        <f t="shared" si="28"/>
        <v>-89.37863718765874</v>
      </c>
      <c r="AE34" s="123">
        <f t="shared" si="29"/>
        <v>55.012422914197785</v>
      </c>
      <c r="AF34" s="123">
        <f t="shared" si="30"/>
        <v>-89.626951522257926</v>
      </c>
      <c r="AI34" s="123">
        <f t="shared" si="31"/>
        <v>0</v>
      </c>
      <c r="AJ34" s="123">
        <f t="shared" si="32"/>
        <v>0</v>
      </c>
      <c r="AK34" s="123">
        <f t="shared" si="33"/>
        <v>0</v>
      </c>
      <c r="AL34" s="123">
        <f t="shared" si="34"/>
        <v>0</v>
      </c>
      <c r="AM34" s="123">
        <f t="shared" si="35"/>
        <v>0</v>
      </c>
      <c r="AN34" s="123">
        <f t="shared" si="36"/>
        <v>0</v>
      </c>
      <c r="AO34" s="123">
        <f t="shared" si="37"/>
        <v>0</v>
      </c>
      <c r="AP34" s="123"/>
      <c r="AQ34" s="123">
        <f t="shared" si="38"/>
        <v>0</v>
      </c>
      <c r="AR34" s="123">
        <f t="shared" si="39"/>
        <v>0</v>
      </c>
      <c r="AS34" s="123">
        <f t="shared" si="40"/>
        <v>0</v>
      </c>
      <c r="AW34" t="str">
        <f t="shared" si="12"/>
        <v>8000</v>
      </c>
      <c r="AX34" t="str">
        <f t="shared" si="13"/>
        <v>3952-635349.206399792i</v>
      </c>
      <c r="AY34" t="str">
        <f t="shared" si="41"/>
        <v>7998.10572985792-100.696371442391i</v>
      </c>
      <c r="AZ34">
        <f t="shared" si="14"/>
        <v>4.0810310723024816</v>
      </c>
      <c r="BA34">
        <f t="shared" si="15"/>
        <v>-0.7213174822141315</v>
      </c>
      <c r="BB34">
        <f t="shared" si="16"/>
        <v>-1.8398929998809157</v>
      </c>
      <c r="BC34">
        <f t="shared" si="17"/>
        <v>0.13771671237426525</v>
      </c>
      <c r="BD34" s="123">
        <f t="shared" si="42"/>
        <v>-1.8398934431082898</v>
      </c>
      <c r="BE34" s="123">
        <f t="shared" si="43"/>
        <v>0.11669213850720203</v>
      </c>
      <c r="BF34">
        <f t="shared" si="44"/>
        <v>56.851464596320227</v>
      </c>
      <c r="BG34">
        <f t="shared" si="45"/>
        <v>-90.094770209454111</v>
      </c>
      <c r="BH34" s="123">
        <f t="shared" si="46"/>
        <v>55.011571153211939</v>
      </c>
      <c r="BI34" s="123">
        <f t="shared" si="47"/>
        <v>-89.978078070946907</v>
      </c>
      <c r="BL34" s="123">
        <f t="shared" si="48"/>
        <v>0</v>
      </c>
      <c r="BM34" s="123">
        <f t="shared" si="49"/>
        <v>0</v>
      </c>
      <c r="BN34" s="123">
        <f t="shared" si="50"/>
        <v>0</v>
      </c>
      <c r="BO34" s="123">
        <f t="shared" si="51"/>
        <v>0</v>
      </c>
      <c r="BP34" s="123">
        <f t="shared" si="52"/>
        <v>0</v>
      </c>
      <c r="BQ34" s="123">
        <f t="shared" si="53"/>
        <v>0</v>
      </c>
      <c r="BR34" s="123">
        <f t="shared" si="54"/>
        <v>0</v>
      </c>
      <c r="BS34" s="123"/>
      <c r="BT34" s="123">
        <f t="shared" si="55"/>
        <v>0</v>
      </c>
      <c r="BU34" s="123">
        <f t="shared" si="56"/>
        <v>0</v>
      </c>
      <c r="BV34" s="123">
        <f t="shared" si="57"/>
        <v>0</v>
      </c>
      <c r="BX34" s="123">
        <f t="shared" si="58"/>
        <v>0</v>
      </c>
      <c r="BY34" s="123"/>
    </row>
    <row r="35" spans="5:77" x14ac:dyDescent="0.25">
      <c r="E35">
        <v>24</v>
      </c>
      <c r="F35">
        <v>35</v>
      </c>
      <c r="G35" s="58">
        <f t="shared" si="0"/>
        <v>-6.0328169288599316E-7</v>
      </c>
      <c r="H35" s="58">
        <f t="shared" si="18"/>
        <v>-2.4528669258365544E-2</v>
      </c>
      <c r="I35">
        <f t="shared" si="19"/>
        <v>16.221284207076096</v>
      </c>
      <c r="J35">
        <f t="shared" si="1"/>
        <v>-0.2651648177386694</v>
      </c>
      <c r="K35" t="str">
        <f t="shared" si="2"/>
        <v>37499.9989798843-6.18500908174866i</v>
      </c>
      <c r="L35" t="str">
        <f t="shared" si="3"/>
        <v>100000000-4547285034.37566i</v>
      </c>
      <c r="M35" t="str">
        <f t="shared" si="4"/>
        <v>149999.891077273-4.94560847161272i</v>
      </c>
      <c r="N35">
        <f t="shared" si="20"/>
        <v>-13.979395127090822</v>
      </c>
      <c r="O35">
        <f t="shared" si="5"/>
        <v>-6.0487310340147692E-3</v>
      </c>
      <c r="P35" t="str">
        <f t="shared" si="6"/>
        <v>-1012082.13540522i</v>
      </c>
      <c r="Q35" t="str">
        <f t="shared" si="7"/>
        <v>7350-590556.497970864i</v>
      </c>
      <c r="R35" t="str">
        <f t="shared" si="21"/>
        <v>2931.15312873611-372955.707588396i</v>
      </c>
      <c r="S35" t="str">
        <f t="shared" si="8"/>
        <v>99806929.3181983-4389737.10966864i</v>
      </c>
      <c r="T35" t="str">
        <f t="shared" si="22"/>
        <v>4320.46773744014-372867.507291907i</v>
      </c>
      <c r="U35" t="str">
        <f t="shared" si="23"/>
        <v>0.999999969375001-0.000174999994640625i</v>
      </c>
      <c r="V35">
        <f t="shared" si="9"/>
        <v>51.431673707136497</v>
      </c>
      <c r="W35">
        <f t="shared" si="10"/>
        <v>-89.346180881754933</v>
      </c>
      <c r="X35">
        <f t="shared" si="24"/>
        <v>-1.3300268167662466E-7</v>
      </c>
      <c r="Y35">
        <f t="shared" si="11"/>
        <v>-1.0026763398441768E-2</v>
      </c>
      <c r="AA35" s="123">
        <f t="shared" si="25"/>
        <v>16.221283603794404</v>
      </c>
      <c r="AB35" s="123">
        <f t="shared" si="26"/>
        <v>-0.28969348699703495</v>
      </c>
      <c r="AC35">
        <f t="shared" si="27"/>
        <v>37.452278580045672</v>
      </c>
      <c r="AD35">
        <f t="shared" si="28"/>
        <v>-89.352229612788946</v>
      </c>
      <c r="AE35" s="123">
        <f t="shared" si="29"/>
        <v>53.673562183840076</v>
      </c>
      <c r="AF35" s="123">
        <f t="shared" si="30"/>
        <v>-89.641923099785984</v>
      </c>
      <c r="AI35" s="123">
        <f t="shared" si="31"/>
        <v>0</v>
      </c>
      <c r="AJ35" s="123">
        <f t="shared" si="32"/>
        <v>0</v>
      </c>
      <c r="AK35" s="123">
        <f t="shared" si="33"/>
        <v>0</v>
      </c>
      <c r="AL35" s="123">
        <f t="shared" si="34"/>
        <v>0</v>
      </c>
      <c r="AM35" s="123">
        <f t="shared" si="35"/>
        <v>0</v>
      </c>
      <c r="AN35" s="123">
        <f t="shared" si="36"/>
        <v>0</v>
      </c>
      <c r="AO35" s="123">
        <f t="shared" si="37"/>
        <v>0</v>
      </c>
      <c r="AP35" s="123"/>
      <c r="AQ35" s="123">
        <f t="shared" si="38"/>
        <v>0</v>
      </c>
      <c r="AR35" s="123">
        <f t="shared" si="39"/>
        <v>0</v>
      </c>
      <c r="AS35" s="123">
        <f t="shared" si="40"/>
        <v>0</v>
      </c>
      <c r="AW35" t="str">
        <f t="shared" si="12"/>
        <v>8000</v>
      </c>
      <c r="AX35" t="str">
        <f t="shared" si="13"/>
        <v>3952-544585.034056965i</v>
      </c>
      <c r="AY35" t="str">
        <f t="shared" si="41"/>
        <v>7997.42201718617-117.464094583836i</v>
      </c>
      <c r="AZ35">
        <f t="shared" si="14"/>
        <v>4.0805369945511991</v>
      </c>
      <c r="BA35">
        <f t="shared" si="15"/>
        <v>-0.84148546170343863</v>
      </c>
      <c r="BB35">
        <f t="shared" si="16"/>
        <v>-1.8398071484970542</v>
      </c>
      <c r="BC35">
        <f t="shared" si="17"/>
        <v>0.16066194481405272</v>
      </c>
      <c r="BD35" s="123">
        <f t="shared" si="42"/>
        <v>-1.839807751778747</v>
      </c>
      <c r="BE35" s="123">
        <f t="shared" si="43"/>
        <v>0.13613327555568716</v>
      </c>
      <c r="BF35">
        <f t="shared" si="44"/>
        <v>55.512210701687692</v>
      </c>
      <c r="BG35">
        <f t="shared" si="45"/>
        <v>-90.187666343458375</v>
      </c>
      <c r="BH35" s="123">
        <f t="shared" si="46"/>
        <v>53.672402949908943</v>
      </c>
      <c r="BI35" s="123">
        <f t="shared" si="47"/>
        <v>-90.051533067902682</v>
      </c>
      <c r="BL35" s="123">
        <f t="shared" si="48"/>
        <v>0</v>
      </c>
      <c r="BM35" s="123">
        <f t="shared" si="49"/>
        <v>0</v>
      </c>
      <c r="BN35" s="123">
        <f t="shared" si="50"/>
        <v>0</v>
      </c>
      <c r="BO35" s="123">
        <f t="shared" si="51"/>
        <v>0</v>
      </c>
      <c r="BP35" s="123">
        <f t="shared" si="52"/>
        <v>0</v>
      </c>
      <c r="BQ35" s="123">
        <f t="shared" si="53"/>
        <v>0</v>
      </c>
      <c r="BR35" s="123">
        <f t="shared" si="54"/>
        <v>0</v>
      </c>
      <c r="BS35" s="123"/>
      <c r="BT35" s="123">
        <f t="shared" si="55"/>
        <v>0</v>
      </c>
      <c r="BU35" s="123">
        <f t="shared" si="56"/>
        <v>0</v>
      </c>
      <c r="BV35" s="123">
        <f t="shared" si="57"/>
        <v>0</v>
      </c>
      <c r="BX35" s="123">
        <f t="shared" si="58"/>
        <v>0</v>
      </c>
      <c r="BY35" s="123"/>
    </row>
    <row r="36" spans="5:77" x14ac:dyDescent="0.25">
      <c r="E36">
        <v>25</v>
      </c>
      <c r="F36">
        <v>40</v>
      </c>
      <c r="G36" s="58">
        <f t="shared" si="0"/>
        <v>-7.8795975317533256E-7</v>
      </c>
      <c r="H36" s="58">
        <f t="shared" si="18"/>
        <v>-2.8032764532802467E-2</v>
      </c>
      <c r="I36">
        <f t="shared" si="19"/>
        <v>16.221166441946636</v>
      </c>
      <c r="J36">
        <f t="shared" si="1"/>
        <v>-0.30303684303517381</v>
      </c>
      <c r="K36" t="str">
        <f t="shared" si="2"/>
        <v>37499.998667604-7.06858174884932i</v>
      </c>
      <c r="L36" t="str">
        <f t="shared" si="3"/>
        <v>100000000-3978874405.0787i</v>
      </c>
      <c r="M36" t="str">
        <f t="shared" si="4"/>
        <v>149999.857754692-5.6512852237067i</v>
      </c>
      <c r="N36">
        <f t="shared" si="20"/>
        <v>-13.979393609811609</v>
      </c>
      <c r="O36">
        <f t="shared" si="5"/>
        <v>-6.9130910610382549E-3</v>
      </c>
      <c r="P36" t="str">
        <f t="shared" si="6"/>
        <v>-885571.868479568i</v>
      </c>
      <c r="Q36" t="str">
        <f t="shared" si="7"/>
        <v>7350-516736.935724506i</v>
      </c>
      <c r="R36" t="str">
        <f t="shared" si="21"/>
        <v>2931.1342564193-326339.844795088i</v>
      </c>
      <c r="S36" t="str">
        <f t="shared" si="8"/>
        <v>99747975.0032731-5013879.04458372i</v>
      </c>
      <c r="T36" t="str">
        <f t="shared" si="22"/>
        <v>3994.60976583896-326263.732365694i</v>
      </c>
      <c r="U36" t="str">
        <f t="shared" si="23"/>
        <v>0.999999960000002-0.000199999992i</v>
      </c>
      <c r="V36">
        <f t="shared" si="9"/>
        <v>50.272026800863905</v>
      </c>
      <c r="W36">
        <f t="shared" si="10"/>
        <v>-89.310011951362668</v>
      </c>
      <c r="X36">
        <f t="shared" si="24"/>
        <v>-1.7371778476376644E-7</v>
      </c>
      <c r="Y36">
        <f t="shared" si="11"/>
        <v>-1.1459158133837855E-2</v>
      </c>
      <c r="AA36" s="123">
        <f t="shared" si="25"/>
        <v>16.221165653986883</v>
      </c>
      <c r="AB36" s="123">
        <f t="shared" si="26"/>
        <v>-0.33106960756797627</v>
      </c>
      <c r="AC36">
        <f t="shared" si="27"/>
        <v>36.292633191052296</v>
      </c>
      <c r="AD36">
        <f t="shared" si="28"/>
        <v>-89.316925042423705</v>
      </c>
      <c r="AE36" s="123">
        <f t="shared" si="29"/>
        <v>52.513798845039176</v>
      </c>
      <c r="AF36" s="123">
        <f t="shared" si="30"/>
        <v>-89.647994649991688</v>
      </c>
      <c r="AI36" s="123">
        <f t="shared" si="31"/>
        <v>0</v>
      </c>
      <c r="AJ36" s="123">
        <f t="shared" si="32"/>
        <v>0</v>
      </c>
      <c r="AK36" s="123">
        <f t="shared" si="33"/>
        <v>0</v>
      </c>
      <c r="AL36" s="123">
        <f t="shared" si="34"/>
        <v>0</v>
      </c>
      <c r="AM36" s="123">
        <f t="shared" si="35"/>
        <v>0</v>
      </c>
      <c r="AN36" s="123">
        <f t="shared" si="36"/>
        <v>0</v>
      </c>
      <c r="AO36" s="123">
        <f t="shared" si="37"/>
        <v>0</v>
      </c>
      <c r="AP36" s="123"/>
      <c r="AQ36" s="123">
        <f t="shared" si="38"/>
        <v>0</v>
      </c>
      <c r="AR36" s="123">
        <f t="shared" si="39"/>
        <v>0</v>
      </c>
      <c r="AS36" s="123">
        <f t="shared" si="40"/>
        <v>0</v>
      </c>
      <c r="AW36" t="str">
        <f t="shared" si="12"/>
        <v>8000</v>
      </c>
      <c r="AX36" t="str">
        <f t="shared" si="13"/>
        <v>3952-476511.904799844i</v>
      </c>
      <c r="AY36" t="str">
        <f t="shared" si="41"/>
        <v>7996.63333494973-134.224897584007i</v>
      </c>
      <c r="AZ36">
        <f t="shared" si="14"/>
        <v>4.0799669918263</v>
      </c>
      <c r="BA36">
        <f t="shared" si="15"/>
        <v>-0.96162963700858695</v>
      </c>
      <c r="BB36">
        <f t="shared" si="16"/>
        <v>-1.8397080993113966</v>
      </c>
      <c r="BC36">
        <f t="shared" si="17"/>
        <v>0.18360369229745277</v>
      </c>
      <c r="BD36" s="123">
        <f t="shared" si="42"/>
        <v>-1.8397088872711498</v>
      </c>
      <c r="BE36" s="123">
        <f t="shared" si="43"/>
        <v>0.15557092776465031</v>
      </c>
      <c r="BF36">
        <f t="shared" si="44"/>
        <v>54.351993792690209</v>
      </c>
      <c r="BG36">
        <f t="shared" si="45"/>
        <v>-90.271641588371253</v>
      </c>
      <c r="BH36" s="123">
        <f t="shared" si="46"/>
        <v>52.512284905419058</v>
      </c>
      <c r="BI36" s="123">
        <f t="shared" si="47"/>
        <v>-90.116070660606596</v>
      </c>
      <c r="BL36" s="123">
        <f t="shared" si="48"/>
        <v>0</v>
      </c>
      <c r="BM36" s="123">
        <f t="shared" si="49"/>
        <v>0</v>
      </c>
      <c r="BN36" s="123">
        <f t="shared" si="50"/>
        <v>0</v>
      </c>
      <c r="BO36" s="123">
        <f t="shared" si="51"/>
        <v>0</v>
      </c>
      <c r="BP36" s="123">
        <f t="shared" si="52"/>
        <v>0</v>
      </c>
      <c r="BQ36" s="123">
        <f t="shared" si="53"/>
        <v>0</v>
      </c>
      <c r="BR36" s="123">
        <f t="shared" si="54"/>
        <v>0</v>
      </c>
      <c r="BS36" s="123"/>
      <c r="BT36" s="123">
        <f t="shared" si="55"/>
        <v>0</v>
      </c>
      <c r="BU36" s="123">
        <f t="shared" si="56"/>
        <v>0</v>
      </c>
      <c r="BV36" s="123">
        <f t="shared" si="57"/>
        <v>0</v>
      </c>
      <c r="BX36" s="123">
        <f t="shared" si="58"/>
        <v>0</v>
      </c>
      <c r="BY36" s="123"/>
    </row>
    <row r="37" spans="5:77" x14ac:dyDescent="0.25">
      <c r="E37">
        <v>26</v>
      </c>
      <c r="F37">
        <v>45</v>
      </c>
      <c r="G37" s="58">
        <f t="shared" si="0"/>
        <v>-9.9726153631096399E-7</v>
      </c>
      <c r="H37" s="58">
        <f t="shared" si="18"/>
        <v>-3.153685967367903E-2</v>
      </c>
      <c r="I37">
        <f t="shared" si="19"/>
        <v>16.221032983250051</v>
      </c>
      <c r="J37">
        <f t="shared" si="1"/>
        <v>-0.34090540387518026</v>
      </c>
      <c r="K37" t="str">
        <f t="shared" si="2"/>
        <v>37499.9983136863-7.95215439240461i</v>
      </c>
      <c r="L37" t="str">
        <f t="shared" si="3"/>
        <v>100000000-3536777248.95884i</v>
      </c>
      <c r="M37" t="str">
        <f t="shared" si="4"/>
        <v>149999.820001054-6.35662681674811i</v>
      </c>
      <c r="N37">
        <f t="shared" si="20"/>
        <v>-13.979391890780411</v>
      </c>
      <c r="O37">
        <f t="shared" si="5"/>
        <v>-7.7775532224672352E-3</v>
      </c>
      <c r="P37" t="str">
        <f t="shared" si="6"/>
        <v>-787174.994204061i</v>
      </c>
      <c r="Q37" t="str">
        <f t="shared" si="7"/>
        <v>7350-459321.720644006i</v>
      </c>
      <c r="R37" t="str">
        <f t="shared" si="21"/>
        <v>2931.11286808735-290083.489317016i</v>
      </c>
      <c r="S37" t="str">
        <f t="shared" si="8"/>
        <v>99681244.2518111-5636840.39084765i</v>
      </c>
      <c r="T37" t="str">
        <f t="shared" si="22"/>
        <v>3771.19293522442-290016.481434537i</v>
      </c>
      <c r="U37" t="str">
        <f t="shared" si="23"/>
        <v>0.999999949375003-0.000224999988609376i</v>
      </c>
      <c r="V37">
        <f t="shared" si="9"/>
        <v>49.249187641889336</v>
      </c>
      <c r="W37">
        <f t="shared" si="10"/>
        <v>-89.267913628437853</v>
      </c>
      <c r="X37">
        <f t="shared" si="24"/>
        <v>-2.198615725434215E-7</v>
      </c>
      <c r="Y37">
        <f t="shared" si="11"/>
        <v>-1.289155285491005E-2</v>
      </c>
      <c r="AA37" s="123">
        <f t="shared" si="25"/>
        <v>16.221031985988514</v>
      </c>
      <c r="AB37" s="123">
        <f t="shared" si="26"/>
        <v>-0.37244226354885929</v>
      </c>
      <c r="AC37">
        <f t="shared" si="27"/>
        <v>35.269795751108923</v>
      </c>
      <c r="AD37">
        <f t="shared" si="28"/>
        <v>-89.275691181660321</v>
      </c>
      <c r="AE37" s="123">
        <f t="shared" si="29"/>
        <v>51.490827737097433</v>
      </c>
      <c r="AF37" s="123">
        <f t="shared" si="30"/>
        <v>-89.648133445209183</v>
      </c>
      <c r="AI37" s="123">
        <f t="shared" si="31"/>
        <v>0</v>
      </c>
      <c r="AJ37" s="123">
        <f t="shared" si="32"/>
        <v>0</v>
      </c>
      <c r="AK37" s="123">
        <f t="shared" si="33"/>
        <v>0</v>
      </c>
      <c r="AL37" s="123">
        <f t="shared" si="34"/>
        <v>0</v>
      </c>
      <c r="AM37" s="123">
        <f t="shared" si="35"/>
        <v>0</v>
      </c>
      <c r="AN37" s="123">
        <f t="shared" si="36"/>
        <v>0</v>
      </c>
      <c r="AO37" s="123">
        <f t="shared" si="37"/>
        <v>0</v>
      </c>
      <c r="AP37" s="123"/>
      <c r="AQ37" s="123">
        <f t="shared" si="38"/>
        <v>0</v>
      </c>
      <c r="AR37" s="123">
        <f t="shared" si="39"/>
        <v>0</v>
      </c>
      <c r="AS37" s="123">
        <f t="shared" si="40"/>
        <v>0</v>
      </c>
      <c r="AW37" t="str">
        <f t="shared" si="12"/>
        <v>8000</v>
      </c>
      <c r="AX37" t="str">
        <f t="shared" si="13"/>
        <v>3952-423566.137599861i</v>
      </c>
      <c r="AY37" t="str">
        <f t="shared" si="41"/>
        <v>7995.73977602446-150.977795735542i</v>
      </c>
      <c r="AZ37">
        <f t="shared" si="14"/>
        <v>4.0793211013747195</v>
      </c>
      <c r="BA37">
        <f t="shared" si="15"/>
        <v>-1.081746615816825</v>
      </c>
      <c r="BB37">
        <f t="shared" si="16"/>
        <v>-1.8395958566518589</v>
      </c>
      <c r="BC37">
        <f t="shared" si="17"/>
        <v>0.20654145770421042</v>
      </c>
      <c r="BD37" s="123">
        <f t="shared" si="42"/>
        <v>-1.8395968539133951</v>
      </c>
      <c r="BE37" s="123">
        <f t="shared" si="43"/>
        <v>0.17500459803053139</v>
      </c>
      <c r="BF37">
        <f t="shared" si="44"/>
        <v>53.328508743264052</v>
      </c>
      <c r="BG37">
        <f t="shared" si="45"/>
        <v>-90.349660244254679</v>
      </c>
      <c r="BH37" s="123">
        <f t="shared" si="46"/>
        <v>51.488911889350661</v>
      </c>
      <c r="BI37" s="123">
        <f t="shared" si="47"/>
        <v>-90.174655646224153</v>
      </c>
      <c r="BL37" s="123">
        <f t="shared" si="48"/>
        <v>0</v>
      </c>
      <c r="BM37" s="123">
        <f t="shared" si="49"/>
        <v>0</v>
      </c>
      <c r="BN37" s="123">
        <f t="shared" si="50"/>
        <v>0</v>
      </c>
      <c r="BO37" s="123">
        <f t="shared" si="51"/>
        <v>0</v>
      </c>
      <c r="BP37" s="123">
        <f t="shared" si="52"/>
        <v>0</v>
      </c>
      <c r="BQ37" s="123">
        <f t="shared" si="53"/>
        <v>0</v>
      </c>
      <c r="BR37" s="123">
        <f t="shared" si="54"/>
        <v>0</v>
      </c>
      <c r="BS37" s="123"/>
      <c r="BT37" s="123">
        <f t="shared" si="55"/>
        <v>0</v>
      </c>
      <c r="BU37" s="123">
        <f t="shared" si="56"/>
        <v>0</v>
      </c>
      <c r="BV37" s="123">
        <f t="shared" si="57"/>
        <v>0</v>
      </c>
      <c r="BX37" s="123">
        <f t="shared" si="58"/>
        <v>0</v>
      </c>
      <c r="BY37" s="123"/>
    </row>
    <row r="38" spans="5:77" x14ac:dyDescent="0.25">
      <c r="E38">
        <v>27</v>
      </c>
      <c r="F38">
        <v>50</v>
      </c>
      <c r="G38" s="58">
        <f t="shared" si="0"/>
        <v>-1.2311870508232368E-6</v>
      </c>
      <c r="H38" s="58">
        <f t="shared" si="18"/>
        <v>-3.5040954664300218E-2</v>
      </c>
      <c r="I38">
        <f t="shared" si="19"/>
        <v>16.220883834153966</v>
      </c>
      <c r="J38">
        <f t="shared" si="1"/>
        <v>-0.37877006765419297</v>
      </c>
      <c r="K38" t="str">
        <f t="shared" si="2"/>
        <v>37499.9979181313-8.83572700947134i</v>
      </c>
      <c r="L38" t="str">
        <f t="shared" si="3"/>
        <v>100000000-3183099524.06296i</v>
      </c>
      <c r="M38" t="str">
        <f t="shared" si="4"/>
        <v>149999.777820835-7.06159156717167i</v>
      </c>
      <c r="N38">
        <f t="shared" si="20"/>
        <v>-13.979389970203941</v>
      </c>
      <c r="O38">
        <f t="shared" si="5"/>
        <v>-8.6421302207801837E-3</v>
      </c>
      <c r="P38" t="str">
        <f t="shared" si="6"/>
        <v>-708457.494783654i</v>
      </c>
      <c r="Q38" t="str">
        <f t="shared" si="7"/>
        <v>7350-413389.548579605i</v>
      </c>
      <c r="R38" t="str">
        <f t="shared" si="21"/>
        <v>2931.08896385044-261078.788942797i</v>
      </c>
      <c r="S38" t="str">
        <f t="shared" si="8"/>
        <v>99606768.4036929-6258476.53525789i</v>
      </c>
      <c r="T38" t="str">
        <f t="shared" si="22"/>
        <v>3611.3749713261-261018.898664979i</v>
      </c>
      <c r="U38" t="str">
        <f t="shared" si="23"/>
        <v>0.999999937500004-0.000249999984375001i</v>
      </c>
      <c r="V38">
        <f t="shared" si="9"/>
        <v>48.334270059988739</v>
      </c>
      <c r="W38">
        <f t="shared" si="10"/>
        <v>-89.22166679006672</v>
      </c>
      <c r="X38">
        <f t="shared" si="24"/>
        <v>-2.7143404220912692E-7</v>
      </c>
      <c r="Y38">
        <f t="shared" si="11"/>
        <v>-1.4323947559867748E-2</v>
      </c>
      <c r="AA38" s="123">
        <f t="shared" si="25"/>
        <v>16.220882602966917</v>
      </c>
      <c r="AB38" s="123">
        <f t="shared" si="26"/>
        <v>-0.4138110223184932</v>
      </c>
      <c r="AC38">
        <f t="shared" si="27"/>
        <v>34.3548800897848</v>
      </c>
      <c r="AD38">
        <f t="shared" si="28"/>
        <v>-89.230308920287499</v>
      </c>
      <c r="AE38" s="123">
        <f t="shared" si="29"/>
        <v>50.575762692751717</v>
      </c>
      <c r="AF38" s="123">
        <f t="shared" si="30"/>
        <v>-89.644119942605997</v>
      </c>
      <c r="AI38" s="123">
        <f t="shared" si="31"/>
        <v>0</v>
      </c>
      <c r="AJ38" s="123">
        <f t="shared" si="32"/>
        <v>0</v>
      </c>
      <c r="AK38" s="123">
        <f t="shared" si="33"/>
        <v>0</v>
      </c>
      <c r="AL38" s="123">
        <f t="shared" si="34"/>
        <v>0</v>
      </c>
      <c r="AM38" s="123">
        <f t="shared" si="35"/>
        <v>0</v>
      </c>
      <c r="AN38" s="123">
        <f t="shared" si="36"/>
        <v>0</v>
      </c>
      <c r="AO38" s="123">
        <f t="shared" si="37"/>
        <v>0</v>
      </c>
      <c r="AP38" s="123"/>
      <c r="AQ38" s="123">
        <f t="shared" si="38"/>
        <v>0</v>
      </c>
      <c r="AR38" s="123">
        <f t="shared" si="39"/>
        <v>0</v>
      </c>
      <c r="AS38" s="123">
        <f t="shared" si="40"/>
        <v>0</v>
      </c>
      <c r="AW38" t="str">
        <f t="shared" si="12"/>
        <v>8000</v>
      </c>
      <c r="AX38" t="str">
        <f t="shared" si="13"/>
        <v>3952-381209.523839875i</v>
      </c>
      <c r="AY38" t="str">
        <f t="shared" si="41"/>
        <v>7994.74144558692-167.721805881511i</v>
      </c>
      <c r="AZ38">
        <f t="shared" si="14"/>
        <v>4.0785993653874879</v>
      </c>
      <c r="BA38">
        <f t="shared" si="15"/>
        <v>-1.2018330091243803</v>
      </c>
      <c r="BB38">
        <f t="shared" si="16"/>
        <v>-1.8394704254218293</v>
      </c>
      <c r="BC38">
        <f t="shared" si="17"/>
        <v>0.22947474420607422</v>
      </c>
      <c r="BD38" s="123">
        <f t="shared" si="42"/>
        <v>-1.83947165660888</v>
      </c>
      <c r="BE38" s="123">
        <f t="shared" si="43"/>
        <v>0.19443378954177401</v>
      </c>
      <c r="BF38">
        <f t="shared" si="44"/>
        <v>52.412869425376229</v>
      </c>
      <c r="BG38">
        <f t="shared" si="45"/>
        <v>-90.423499799191106</v>
      </c>
      <c r="BH38" s="123">
        <f t="shared" si="46"/>
        <v>50.57339776876735</v>
      </c>
      <c r="BI38" s="123">
        <f t="shared" si="47"/>
        <v>-90.22906600964933</v>
      </c>
      <c r="BL38" s="123">
        <f t="shared" si="48"/>
        <v>0</v>
      </c>
      <c r="BM38" s="123">
        <f t="shared" si="49"/>
        <v>0</v>
      </c>
      <c r="BN38" s="123">
        <f t="shared" si="50"/>
        <v>0</v>
      </c>
      <c r="BO38" s="123">
        <f t="shared" si="51"/>
        <v>0</v>
      </c>
      <c r="BP38" s="123">
        <f t="shared" si="52"/>
        <v>0</v>
      </c>
      <c r="BQ38" s="123">
        <f t="shared" si="53"/>
        <v>0</v>
      </c>
      <c r="BR38" s="123">
        <f t="shared" si="54"/>
        <v>0</v>
      </c>
      <c r="BS38" s="123"/>
      <c r="BT38" s="123">
        <f t="shared" si="55"/>
        <v>0</v>
      </c>
      <c r="BU38" s="123">
        <f t="shared" si="56"/>
        <v>0</v>
      </c>
      <c r="BV38" s="123">
        <f t="shared" si="57"/>
        <v>0</v>
      </c>
      <c r="BX38" s="123">
        <f t="shared" si="58"/>
        <v>0</v>
      </c>
      <c r="BY38" s="123"/>
    </row>
    <row r="39" spans="5:77" x14ac:dyDescent="0.25">
      <c r="E39">
        <v>28</v>
      </c>
      <c r="F39">
        <v>55</v>
      </c>
      <c r="G39" s="58">
        <f t="shared" si="0"/>
        <v>-1.4897362919513321E-6</v>
      </c>
      <c r="H39" s="58">
        <f t="shared" si="18"/>
        <v>-3.8545049487970988E-2</v>
      </c>
      <c r="I39">
        <f t="shared" si="19"/>
        <v>16.220718998198038</v>
      </c>
      <c r="J39">
        <f t="shared" si="1"/>
        <v>-0.41663040192732359</v>
      </c>
      <c r="K39" t="str">
        <f t="shared" si="2"/>
        <v>37499.9974809389-9.71929959710636i</v>
      </c>
      <c r="L39" t="str">
        <f t="shared" si="3"/>
        <v>100000000-2893726840.05724i</v>
      </c>
      <c r="M39" t="str">
        <f t="shared" si="4"/>
        <v>149999.73121903-7.76613786579817i</v>
      </c>
      <c r="N39">
        <f t="shared" si="20"/>
        <v>-13.979387848312793</v>
      </c>
      <c r="O39">
        <f t="shared" si="5"/>
        <v>-9.506834735813173E-3</v>
      </c>
      <c r="P39" t="str">
        <f t="shared" si="6"/>
        <v>-644052.26798514i</v>
      </c>
      <c r="Q39" t="str">
        <f t="shared" si="7"/>
        <v>7350-375808.680526914i</v>
      </c>
      <c r="R39" t="str">
        <f t="shared" si="21"/>
        <v>2931.06254383169-237348.019536115i</v>
      </c>
      <c r="S39" t="str">
        <f t="shared" si="8"/>
        <v>99524582.3618656-6878643.89853031i</v>
      </c>
      <c r="T39" t="str">
        <f t="shared" si="22"/>
        <v>3493.1186883983-237293.8541041i</v>
      </c>
      <c r="U39" t="str">
        <f t="shared" si="23"/>
        <v>0.999999924375006-0.000274999979203127i</v>
      </c>
      <c r="V39">
        <f t="shared" si="9"/>
        <v>47.506670477735049</v>
      </c>
      <c r="W39">
        <f t="shared" si="10"/>
        <v>-89.17240495122671</v>
      </c>
      <c r="X39">
        <f t="shared" si="24"/>
        <v>-3.2843518710728875E-7</v>
      </c>
      <c r="Y39">
        <f t="shared" si="11"/>
        <v>-1.575634224692055E-2</v>
      </c>
      <c r="AA39" s="123">
        <f t="shared" si="25"/>
        <v>16.220717508461746</v>
      </c>
      <c r="AB39" s="123">
        <f t="shared" si="26"/>
        <v>-0.45517545141529459</v>
      </c>
      <c r="AC39">
        <f t="shared" si="27"/>
        <v>33.52728262942226</v>
      </c>
      <c r="AD39">
        <f t="shared" si="28"/>
        <v>-89.181911785962527</v>
      </c>
      <c r="AE39" s="123">
        <f t="shared" si="29"/>
        <v>49.748000137884006</v>
      </c>
      <c r="AF39" s="123">
        <f t="shared" si="30"/>
        <v>-89.637087237377827</v>
      </c>
      <c r="AI39" s="123">
        <f t="shared" si="31"/>
        <v>0</v>
      </c>
      <c r="AJ39" s="123">
        <f t="shared" si="32"/>
        <v>0</v>
      </c>
      <c r="AK39" s="123">
        <f t="shared" si="33"/>
        <v>0</v>
      </c>
      <c r="AL39" s="123">
        <f t="shared" si="34"/>
        <v>0</v>
      </c>
      <c r="AM39" s="123">
        <f t="shared" si="35"/>
        <v>0</v>
      </c>
      <c r="AN39" s="123">
        <f t="shared" si="36"/>
        <v>0</v>
      </c>
      <c r="AO39" s="123">
        <f t="shared" si="37"/>
        <v>0</v>
      </c>
      <c r="AP39" s="123"/>
      <c r="AQ39" s="123">
        <f t="shared" si="38"/>
        <v>0</v>
      </c>
      <c r="AR39" s="123">
        <f t="shared" si="39"/>
        <v>0</v>
      </c>
      <c r="AS39" s="123">
        <f t="shared" si="40"/>
        <v>0</v>
      </c>
      <c r="AW39" t="str">
        <f t="shared" si="12"/>
        <v>8000</v>
      </c>
      <c r="AX39" t="str">
        <f t="shared" si="13"/>
        <v>3952-346554.112581705i</v>
      </c>
      <c r="AY39" t="str">
        <f t="shared" si="41"/>
        <v>7993.63846108354-184.455946607182i</v>
      </c>
      <c r="AZ39">
        <f t="shared" si="14"/>
        <v>4.077801830991171</v>
      </c>
      <c r="BA39">
        <f t="shared" si="15"/>
        <v>-1.3218854316469912</v>
      </c>
      <c r="BB39">
        <f t="shared" si="16"/>
        <v>-1.8393318110998755</v>
      </c>
      <c r="BC39">
        <f t="shared" si="17"/>
        <v>0.25240305530321888</v>
      </c>
      <c r="BD39" s="123">
        <f t="shared" si="42"/>
        <v>-1.8393333008361674</v>
      </c>
      <c r="BE39" s="123">
        <f t="shared" si="43"/>
        <v>0.21385800581524789</v>
      </c>
      <c r="BF39">
        <f t="shared" si="44"/>
        <v>51.58447230872622</v>
      </c>
      <c r="BG39">
        <f t="shared" si="45"/>
        <v>-90.4942903828737</v>
      </c>
      <c r="BH39" s="123">
        <f t="shared" si="46"/>
        <v>49.745139007890053</v>
      </c>
      <c r="BI39" s="123">
        <f t="shared" si="47"/>
        <v>-90.280432377058446</v>
      </c>
      <c r="BL39" s="123">
        <f t="shared" si="48"/>
        <v>0</v>
      </c>
      <c r="BM39" s="123">
        <f t="shared" si="49"/>
        <v>0</v>
      </c>
      <c r="BN39" s="123">
        <f t="shared" si="50"/>
        <v>0</v>
      </c>
      <c r="BO39" s="123">
        <f t="shared" si="51"/>
        <v>0</v>
      </c>
      <c r="BP39" s="123">
        <f t="shared" si="52"/>
        <v>0</v>
      </c>
      <c r="BQ39" s="123">
        <f t="shared" si="53"/>
        <v>0</v>
      </c>
      <c r="BR39" s="123">
        <f t="shared" si="54"/>
        <v>0</v>
      </c>
      <c r="BS39" s="123"/>
      <c r="BT39" s="123">
        <f t="shared" si="55"/>
        <v>0</v>
      </c>
      <c r="BU39" s="123">
        <f t="shared" si="56"/>
        <v>0</v>
      </c>
      <c r="BV39" s="123">
        <f t="shared" si="57"/>
        <v>0</v>
      </c>
      <c r="BX39" s="123">
        <f t="shared" si="58"/>
        <v>0</v>
      </c>
      <c r="BY39" s="123"/>
    </row>
    <row r="40" spans="5:77" x14ac:dyDescent="0.25">
      <c r="E40">
        <v>29</v>
      </c>
      <c r="F40">
        <v>60</v>
      </c>
      <c r="G40" s="58">
        <f t="shared" si="0"/>
        <v>-1.7729092483935543E-6</v>
      </c>
      <c r="H40" s="58">
        <f t="shared" si="18"/>
        <v>-4.2049144127996228E-2</v>
      </c>
      <c r="I40">
        <f t="shared" si="19"/>
        <v>16.220538479293683</v>
      </c>
      <c r="J40">
        <f t="shared" si="1"/>
        <v>-0.45448597442700478</v>
      </c>
      <c r="K40" t="str">
        <f t="shared" si="2"/>
        <v>37499.9970021092-10.6028721523665i</v>
      </c>
      <c r="L40" t="str">
        <f t="shared" si="3"/>
        <v>100000000-2652582936.71913i</v>
      </c>
      <c r="M40" t="str">
        <f t="shared" si="4"/>
        <v>149999.680201158-8.47022418599827i</v>
      </c>
      <c r="N40">
        <f t="shared" si="20"/>
        <v>-13.979385525361819</v>
      </c>
      <c r="O40">
        <f t="shared" si="5"/>
        <v>-1.0371679422274988E-2</v>
      </c>
      <c r="P40" t="str">
        <f t="shared" si="6"/>
        <v>-590381.245653045i</v>
      </c>
      <c r="Q40" t="str">
        <f t="shared" si="7"/>
        <v>7350-344491.290483004i</v>
      </c>
      <c r="R40" t="str">
        <f t="shared" si="21"/>
        <v>2931.03360816715-217572.698337777i</v>
      </c>
      <c r="S40" t="str">
        <f t="shared" si="8"/>
        <v>99434724.5516522-7497200.04416816i</v>
      </c>
      <c r="T40" t="str">
        <f t="shared" si="22"/>
        <v>3403.1660571121-217523.242019634i</v>
      </c>
      <c r="U40" t="str">
        <f t="shared" si="23"/>
        <v>0.999999910000008-0.000299999973000002i</v>
      </c>
      <c r="V40">
        <f t="shared" si="9"/>
        <v>46.75117584290939</v>
      </c>
      <c r="W40">
        <f t="shared" si="10"/>
        <v>-89.120883995549278</v>
      </c>
      <c r="X40">
        <f t="shared" si="24"/>
        <v>-3.9086501795238646E-7</v>
      </c>
      <c r="Y40">
        <f t="shared" si="11"/>
        <v>-1.7188736914277858E-2</v>
      </c>
      <c r="AA40" s="123">
        <f t="shared" si="25"/>
        <v>16.220536706384436</v>
      </c>
      <c r="AB40" s="123">
        <f t="shared" si="26"/>
        <v>-0.49653511855500099</v>
      </c>
      <c r="AC40">
        <f t="shared" si="27"/>
        <v>32.77179031754757</v>
      </c>
      <c r="AD40">
        <f t="shared" si="28"/>
        <v>-89.131255674971555</v>
      </c>
      <c r="AE40" s="123">
        <f t="shared" si="29"/>
        <v>48.992327023932006</v>
      </c>
      <c r="AF40" s="123">
        <f t="shared" si="30"/>
        <v>-89.627790793526557</v>
      </c>
      <c r="AI40" s="123">
        <f t="shared" si="31"/>
        <v>0</v>
      </c>
      <c r="AJ40" s="123">
        <f t="shared" si="32"/>
        <v>0</v>
      </c>
      <c r="AK40" s="123">
        <f t="shared" si="33"/>
        <v>0</v>
      </c>
      <c r="AL40" s="123">
        <f t="shared" si="34"/>
        <v>0</v>
      </c>
      <c r="AM40" s="123">
        <f t="shared" si="35"/>
        <v>0</v>
      </c>
      <c r="AN40" s="123">
        <f t="shared" si="36"/>
        <v>0</v>
      </c>
      <c r="AO40" s="123">
        <f t="shared" si="37"/>
        <v>0</v>
      </c>
      <c r="AP40" s="123"/>
      <c r="AQ40" s="123">
        <f t="shared" si="38"/>
        <v>0</v>
      </c>
      <c r="AR40" s="123">
        <f t="shared" si="39"/>
        <v>0</v>
      </c>
      <c r="AS40" s="123">
        <f t="shared" si="40"/>
        <v>0</v>
      </c>
      <c r="AW40" t="str">
        <f t="shared" si="12"/>
        <v>8000</v>
      </c>
      <c r="AX40" t="str">
        <f t="shared" si="13"/>
        <v>3952-317674.603199896i</v>
      </c>
      <c r="AY40" t="str">
        <f t="shared" si="41"/>
        <v>7992.43095219604-201.179238431069i</v>
      </c>
      <c r="AZ40">
        <f t="shared" si="14"/>
        <v>4.0769285502384367</v>
      </c>
      <c r="BA40">
        <f t="shared" si="15"/>
        <v>-1.4419005022293254</v>
      </c>
      <c r="BB40">
        <f t="shared" si="16"/>
        <v>-1.8391800197388661</v>
      </c>
      <c r="BC40">
        <f t="shared" si="17"/>
        <v>0.27532589486049031</v>
      </c>
      <c r="BD40" s="123">
        <f t="shared" si="42"/>
        <v>-1.8391817926481144</v>
      </c>
      <c r="BE40" s="123">
        <f t="shared" si="43"/>
        <v>0.23327675073249407</v>
      </c>
      <c r="BF40">
        <f t="shared" si="44"/>
        <v>50.828104393147825</v>
      </c>
      <c r="BG40">
        <f t="shared" si="45"/>
        <v>-90.562784497778608</v>
      </c>
      <c r="BH40" s="123">
        <f t="shared" si="46"/>
        <v>48.988922600499713</v>
      </c>
      <c r="BI40" s="123">
        <f t="shared" si="47"/>
        <v>-90.329507747046108</v>
      </c>
      <c r="BL40" s="123">
        <f t="shared" si="48"/>
        <v>0</v>
      </c>
      <c r="BM40" s="123">
        <f t="shared" si="49"/>
        <v>0</v>
      </c>
      <c r="BN40" s="123">
        <f t="shared" si="50"/>
        <v>0</v>
      </c>
      <c r="BO40" s="123">
        <f t="shared" si="51"/>
        <v>0</v>
      </c>
      <c r="BP40" s="123">
        <f t="shared" si="52"/>
        <v>0</v>
      </c>
      <c r="BQ40" s="123">
        <f t="shared" si="53"/>
        <v>0</v>
      </c>
      <c r="BR40" s="123">
        <f t="shared" si="54"/>
        <v>0</v>
      </c>
      <c r="BS40" s="123"/>
      <c r="BT40" s="123">
        <f t="shared" si="55"/>
        <v>0</v>
      </c>
      <c r="BU40" s="123">
        <f t="shared" si="56"/>
        <v>0</v>
      </c>
      <c r="BV40" s="123">
        <f t="shared" si="57"/>
        <v>0</v>
      </c>
      <c r="BX40" s="123">
        <f t="shared" si="58"/>
        <v>0</v>
      </c>
      <c r="BY40" s="123"/>
    </row>
    <row r="41" spans="5:77" x14ac:dyDescent="0.25">
      <c r="E41">
        <v>30</v>
      </c>
      <c r="F41">
        <v>65</v>
      </c>
      <c r="G41" s="58">
        <f t="shared" si="0"/>
        <v>-2.0807059283441797E-6</v>
      </c>
      <c r="H41" s="58">
        <f t="shared" si="18"/>
        <v>-4.5553238567681016E-2</v>
      </c>
      <c r="I41">
        <f t="shared" si="19"/>
        <v>16.220342281723791</v>
      </c>
      <c r="J41">
        <f t="shared" si="1"/>
        <v>-0.49233635308067236</v>
      </c>
      <c r="K41" t="str">
        <f t="shared" si="2"/>
        <v>37499.996481642-11.4864446723086i</v>
      </c>
      <c r="L41" t="str">
        <f t="shared" si="3"/>
        <v>100000000-2448538095.43305i</v>
      </c>
      <c r="M41" t="str">
        <f t="shared" si="4"/>
        <v>149999.624773255-9.17380909178576i</v>
      </c>
      <c r="N41">
        <f t="shared" si="20"/>
        <v>-13.979383001629696</v>
      </c>
      <c r="O41">
        <f t="shared" si="5"/>
        <v>-1.1236676907283581E-2</v>
      </c>
      <c r="P41" t="str">
        <f t="shared" si="6"/>
        <v>-544967.303679734i</v>
      </c>
      <c r="Q41" t="str">
        <f t="shared" si="7"/>
        <v>7350-317991.96044585i</v>
      </c>
      <c r="R41" t="str">
        <f t="shared" si="21"/>
        <v>2931.00215700586-200840.0295899i</v>
      </c>
      <c r="S41" t="str">
        <f t="shared" si="8"/>
        <v>99337236.8761092-8114003.78547435i</v>
      </c>
      <c r="T41" t="str">
        <f t="shared" si="22"/>
        <v>3333.15271233044-200794.517847026i</v>
      </c>
      <c r="U41" t="str">
        <f t="shared" si="23"/>
        <v>0.999999894375011-0.000324999965671879i</v>
      </c>
      <c r="V41">
        <f t="shared" si="9"/>
        <v>46.056233120143872</v>
      </c>
      <c r="W41">
        <f t="shared" si="10"/>
        <v>-89.067627416537832</v>
      </c>
      <c r="X41">
        <f t="shared" si="24"/>
        <v>-4.5872352328954592E-7</v>
      </c>
      <c r="Y41">
        <f t="shared" si="11"/>
        <v>-1.8621131560149343E-2</v>
      </c>
      <c r="AA41" s="123">
        <f t="shared" si="25"/>
        <v>16.220340201017862</v>
      </c>
      <c r="AB41" s="123">
        <f t="shared" si="26"/>
        <v>-0.53788959164835337</v>
      </c>
      <c r="AC41">
        <f t="shared" si="27"/>
        <v>32.076850118514173</v>
      </c>
      <c r="AD41">
        <f t="shared" si="28"/>
        <v>-89.078864093445119</v>
      </c>
      <c r="AE41" s="123">
        <f t="shared" si="29"/>
        <v>48.297190319532035</v>
      </c>
      <c r="AF41" s="123">
        <f t="shared" si="30"/>
        <v>-89.616753685093471</v>
      </c>
      <c r="AI41" s="123">
        <f t="shared" si="31"/>
        <v>0</v>
      </c>
      <c r="AJ41" s="123">
        <f t="shared" si="32"/>
        <v>0</v>
      </c>
      <c r="AK41" s="123">
        <f t="shared" si="33"/>
        <v>0</v>
      </c>
      <c r="AL41" s="123">
        <f t="shared" si="34"/>
        <v>0</v>
      </c>
      <c r="AM41" s="123">
        <f t="shared" si="35"/>
        <v>0</v>
      </c>
      <c r="AN41" s="123">
        <f t="shared" si="36"/>
        <v>0</v>
      </c>
      <c r="AO41" s="123">
        <f t="shared" si="37"/>
        <v>0</v>
      </c>
      <c r="AP41" s="123"/>
      <c r="AQ41" s="123">
        <f t="shared" si="38"/>
        <v>0</v>
      </c>
      <c r="AR41" s="123">
        <f t="shared" si="39"/>
        <v>0</v>
      </c>
      <c r="AS41" s="123">
        <f t="shared" si="40"/>
        <v>0</v>
      </c>
      <c r="AW41" t="str">
        <f t="shared" si="12"/>
        <v>8000</v>
      </c>
      <c r="AX41" t="str">
        <f t="shared" si="13"/>
        <v>3952-293238.095261443i</v>
      </c>
      <c r="AY41" t="str">
        <f t="shared" si="41"/>
        <v>7991.11906080336-217.890703995181i</v>
      </c>
      <c r="AZ41">
        <f t="shared" si="14"/>
        <v>4.0759795800979202</v>
      </c>
      <c r="BA41">
        <f t="shared" si="15"/>
        <v>-1.5618748442531136</v>
      </c>
      <c r="BB41">
        <f t="shared" si="16"/>
        <v>-1.8390150579656099</v>
      </c>
      <c r="BC41">
        <f t="shared" si="17"/>
        <v>0.29824276714366982</v>
      </c>
      <c r="BD41" s="123">
        <f t="shared" si="42"/>
        <v>-1.8390171386715384</v>
      </c>
      <c r="BE41" s="123">
        <f t="shared" si="43"/>
        <v>0.25268952857598881</v>
      </c>
      <c r="BF41">
        <f t="shared" si="44"/>
        <v>50.132212700241794</v>
      </c>
      <c r="BG41">
        <f t="shared" si="45"/>
        <v>-90.629502260790943</v>
      </c>
      <c r="BH41" s="123">
        <f t="shared" si="46"/>
        <v>48.293195561570258</v>
      </c>
      <c r="BI41" s="123">
        <f t="shared" si="47"/>
        <v>-90.376812732214958</v>
      </c>
      <c r="BL41" s="123">
        <f t="shared" si="48"/>
        <v>0</v>
      </c>
      <c r="BM41" s="123">
        <f t="shared" si="49"/>
        <v>0</v>
      </c>
      <c r="BN41" s="123">
        <f t="shared" si="50"/>
        <v>0</v>
      </c>
      <c r="BO41" s="123">
        <f t="shared" si="51"/>
        <v>0</v>
      </c>
      <c r="BP41" s="123">
        <f t="shared" si="52"/>
        <v>0</v>
      </c>
      <c r="BQ41" s="123">
        <f t="shared" si="53"/>
        <v>0</v>
      </c>
      <c r="BR41" s="123">
        <f t="shared" si="54"/>
        <v>0</v>
      </c>
      <c r="BS41" s="123"/>
      <c r="BT41" s="123">
        <f t="shared" si="55"/>
        <v>0</v>
      </c>
      <c r="BU41" s="123">
        <f t="shared" si="56"/>
        <v>0</v>
      </c>
      <c r="BV41" s="123">
        <f t="shared" si="57"/>
        <v>0</v>
      </c>
      <c r="BX41" s="123">
        <f t="shared" si="58"/>
        <v>0</v>
      </c>
      <c r="BY41" s="123"/>
    </row>
    <row r="42" spans="5:77" x14ac:dyDescent="0.25">
      <c r="E42">
        <v>31</v>
      </c>
      <c r="F42">
        <v>70</v>
      </c>
      <c r="G42" s="58">
        <f t="shared" si="0"/>
        <v>-2.4131263180273645E-6</v>
      </c>
      <c r="H42" s="58">
        <f t="shared" si="18"/>
        <v>-4.9057332790330324E-2</v>
      </c>
      <c r="I42">
        <f t="shared" si="19"/>
        <v>16.220130410142573</v>
      </c>
      <c r="J42">
        <f t="shared" si="1"/>
        <v>-0.53018110602837842</v>
      </c>
      <c r="K42" t="str">
        <f t="shared" si="2"/>
        <v>37499.9959195374-12.3700171539895i</v>
      </c>
      <c r="L42" t="str">
        <f t="shared" si="3"/>
        <v>100000000-2273642517.18783i</v>
      </c>
      <c r="M42" t="str">
        <f t="shared" si="4"/>
        <v>149999.564941874-9.8768512459458i</v>
      </c>
      <c r="N42">
        <f t="shared" si="20"/>
        <v>-13.979380277418974</v>
      </c>
      <c r="O42">
        <f t="shared" si="5"/>
        <v>-1.2101839787891625E-2</v>
      </c>
      <c r="P42" t="str">
        <f t="shared" si="6"/>
        <v>-506041.06770261i</v>
      </c>
      <c r="Q42" t="str">
        <f t="shared" si="7"/>
        <v>7350-295278.248985432i</v>
      </c>
      <c r="R42" t="str">
        <f t="shared" si="21"/>
        <v>2930.96819050977-186498.016321158i</v>
      </c>
      <c r="S42" t="str">
        <f t="shared" si="8"/>
        <v>99232164.6675276-8728915.29054128i</v>
      </c>
      <c r="T42" t="str">
        <f t="shared" si="22"/>
        <v>3277.590184229-186455.858677077i</v>
      </c>
      <c r="U42" t="str">
        <f t="shared" si="23"/>
        <v>0.999999877500015-0.000349999957125005i</v>
      </c>
      <c r="V42">
        <f t="shared" si="9"/>
        <v>45.412861906582762</v>
      </c>
      <c r="W42">
        <f t="shared" si="10"/>
        <v>-89.013009313204435</v>
      </c>
      <c r="X42">
        <f t="shared" si="24"/>
        <v>-5.3201070806763932E-7</v>
      </c>
      <c r="Y42">
        <f t="shared" si="11"/>
        <v>-2.0053526182744336E-2</v>
      </c>
      <c r="AA42" s="123">
        <f t="shared" si="25"/>
        <v>16.220127997016256</v>
      </c>
      <c r="AB42" s="123">
        <f t="shared" si="26"/>
        <v>-0.57923843881870873</v>
      </c>
      <c r="AC42">
        <f t="shared" si="27"/>
        <v>31.433481629163786</v>
      </c>
      <c r="AD42">
        <f t="shared" si="28"/>
        <v>-89.025111152992324</v>
      </c>
      <c r="AE42" s="123">
        <f t="shared" si="29"/>
        <v>47.653609626180042</v>
      </c>
      <c r="AF42" s="123">
        <f t="shared" si="30"/>
        <v>-89.60434959181103</v>
      </c>
      <c r="AI42" s="123">
        <f t="shared" si="31"/>
        <v>0</v>
      </c>
      <c r="AJ42" s="123">
        <f t="shared" si="32"/>
        <v>0</v>
      </c>
      <c r="AK42" s="123">
        <f t="shared" si="33"/>
        <v>0</v>
      </c>
      <c r="AL42" s="123">
        <f t="shared" si="34"/>
        <v>0</v>
      </c>
      <c r="AM42" s="123">
        <f t="shared" si="35"/>
        <v>0</v>
      </c>
      <c r="AN42" s="123">
        <f t="shared" si="36"/>
        <v>0</v>
      </c>
      <c r="AO42" s="123">
        <f t="shared" si="37"/>
        <v>0</v>
      </c>
      <c r="AP42" s="123"/>
      <c r="AQ42" s="123">
        <f t="shared" si="38"/>
        <v>0</v>
      </c>
      <c r="AR42" s="123">
        <f t="shared" si="39"/>
        <v>0</v>
      </c>
      <c r="AS42" s="123">
        <f t="shared" si="40"/>
        <v>0</v>
      </c>
      <c r="AW42" t="str">
        <f t="shared" si="12"/>
        <v>8000</v>
      </c>
      <c r="AX42" t="str">
        <f t="shared" si="13"/>
        <v>3952-272292.517028482i</v>
      </c>
      <c r="AY42" t="str">
        <f t="shared" si="41"/>
        <v>7989.70294094024-234.589368254421i</v>
      </c>
      <c r="AZ42">
        <f t="shared" si="14"/>
        <v>4.0749549824431144</v>
      </c>
      <c r="BA42">
        <f t="shared" si="15"/>
        <v>-1.6818050860440794</v>
      </c>
      <c r="BB42">
        <f t="shared" si="16"/>
        <v>-1.838836932979905</v>
      </c>
      <c r="BC42">
        <f t="shared" si="17"/>
        <v>0.32115317685568401</v>
      </c>
      <c r="BD42" s="123">
        <f t="shared" si="42"/>
        <v>-1.8388393461062231</v>
      </c>
      <c r="BE42" s="123">
        <f t="shared" si="43"/>
        <v>0.2720958440653537</v>
      </c>
      <c r="BF42">
        <f t="shared" si="44"/>
        <v>49.487816889025879</v>
      </c>
      <c r="BG42">
        <f t="shared" si="45"/>
        <v>-90.694814399248514</v>
      </c>
      <c r="BH42" s="123">
        <f t="shared" si="46"/>
        <v>47.648977542919653</v>
      </c>
      <c r="BI42" s="123">
        <f t="shared" si="47"/>
        <v>-90.422718555183167</v>
      </c>
      <c r="BL42" s="123">
        <f t="shared" si="48"/>
        <v>0</v>
      </c>
      <c r="BM42" s="123">
        <f t="shared" si="49"/>
        <v>0</v>
      </c>
      <c r="BN42" s="123">
        <f t="shared" si="50"/>
        <v>0</v>
      </c>
      <c r="BO42" s="123">
        <f t="shared" si="51"/>
        <v>0</v>
      </c>
      <c r="BP42" s="123">
        <f t="shared" si="52"/>
        <v>0</v>
      </c>
      <c r="BQ42" s="123">
        <f t="shared" si="53"/>
        <v>0</v>
      </c>
      <c r="BR42" s="123">
        <f t="shared" si="54"/>
        <v>0</v>
      </c>
      <c r="BS42" s="123"/>
      <c r="BT42" s="123">
        <f t="shared" si="55"/>
        <v>0</v>
      </c>
      <c r="BU42" s="123">
        <f t="shared" si="56"/>
        <v>0</v>
      </c>
      <c r="BV42" s="123">
        <f t="shared" si="57"/>
        <v>0</v>
      </c>
      <c r="BX42" s="123">
        <f t="shared" si="58"/>
        <v>0</v>
      </c>
      <c r="BY42" s="123"/>
    </row>
    <row r="43" spans="5:77" x14ac:dyDescent="0.25">
      <c r="E43">
        <v>32</v>
      </c>
      <c r="F43">
        <v>75</v>
      </c>
      <c r="G43" s="58">
        <f t="shared" si="0"/>
        <v>-2.7701704125556324E-6</v>
      </c>
      <c r="H43" s="58">
        <f t="shared" si="18"/>
        <v>-5.2561426779249174E-2</v>
      </c>
      <c r="I43">
        <f t="shared" si="19"/>
        <v>16.21990286957513</v>
      </c>
      <c r="J43">
        <f t="shared" si="1"/>
        <v>-0.56801980164044696</v>
      </c>
      <c r="K43" t="str">
        <f t="shared" si="2"/>
        <v>37499.9953157958-13.253589594466i</v>
      </c>
      <c r="L43" t="str">
        <f t="shared" si="3"/>
        <v>100000000-2122066349.37531i</v>
      </c>
      <c r="M43" t="str">
        <f t="shared" si="4"/>
        <v>149999.500714086-10.5793094180495i</v>
      </c>
      <c r="N43">
        <f t="shared" si="20"/>
        <v>-13.979377353056162</v>
      </c>
      <c r="O43">
        <f t="shared" si="5"/>
        <v>-1.2967180628647103E-2</v>
      </c>
      <c r="P43" t="str">
        <f t="shared" si="6"/>
        <v>-472304.996522436i</v>
      </c>
      <c r="Q43" t="str">
        <f t="shared" si="7"/>
        <v>7350-275593.032386403i</v>
      </c>
      <c r="R43" t="str">
        <f t="shared" si="21"/>
        <v>2930.9317088538-174068.527417922i</v>
      </c>
      <c r="S43" t="str">
        <f t="shared" si="8"/>
        <v>99119556.6351816-9341796.18505903i</v>
      </c>
      <c r="T43" t="str">
        <f t="shared" si="22"/>
        <v>3232.75604604472-174029.257968695i</v>
      </c>
      <c r="U43" t="str">
        <f t="shared" si="23"/>
        <v>0.99999985937502-0.000374999947265632i</v>
      </c>
      <c r="V43">
        <f t="shared" si="9"/>
        <v>44.813943099130441</v>
      </c>
      <c r="W43">
        <f t="shared" si="10"/>
        <v>-88.957304187743645</v>
      </c>
      <c r="X43">
        <f t="shared" si="24"/>
        <v>-6.1072656953109756E-7</v>
      </c>
      <c r="Y43">
        <f t="shared" si="11"/>
        <v>-2.1485920780272443E-2</v>
      </c>
      <c r="AA43" s="123">
        <f t="shared" si="25"/>
        <v>16.219900099404718</v>
      </c>
      <c r="AB43" s="123">
        <f t="shared" si="26"/>
        <v>-0.6205812284196961</v>
      </c>
      <c r="AC43">
        <f t="shared" si="27"/>
        <v>30.834565746074279</v>
      </c>
      <c r="AD43">
        <f t="shared" si="28"/>
        <v>-88.970271368372295</v>
      </c>
      <c r="AE43" s="123">
        <f t="shared" si="29"/>
        <v>47.054465845479001</v>
      </c>
      <c r="AF43" s="123">
        <f t="shared" si="30"/>
        <v>-89.59085259679199</v>
      </c>
      <c r="AI43" s="123">
        <f t="shared" si="31"/>
        <v>0</v>
      </c>
      <c r="AJ43" s="123">
        <f t="shared" si="32"/>
        <v>0</v>
      </c>
      <c r="AK43" s="123">
        <f t="shared" si="33"/>
        <v>0</v>
      </c>
      <c r="AL43" s="123">
        <f t="shared" si="34"/>
        <v>0</v>
      </c>
      <c r="AM43" s="123">
        <f t="shared" si="35"/>
        <v>0</v>
      </c>
      <c r="AN43" s="123">
        <f t="shared" si="36"/>
        <v>0</v>
      </c>
      <c r="AO43" s="123">
        <f t="shared" si="37"/>
        <v>0</v>
      </c>
      <c r="AP43" s="123"/>
      <c r="AQ43" s="123">
        <f t="shared" si="38"/>
        <v>0</v>
      </c>
      <c r="AR43" s="123">
        <f t="shared" si="39"/>
        <v>0</v>
      </c>
      <c r="AS43" s="123">
        <f t="shared" si="40"/>
        <v>0</v>
      </c>
      <c r="AW43" t="str">
        <f t="shared" si="12"/>
        <v>8000</v>
      </c>
      <c r="AX43" t="str">
        <f t="shared" si="13"/>
        <v>3952-254139.682559917i</v>
      </c>
      <c r="AY43" t="str">
        <f t="shared" si="41"/>
        <v>7988.18275875177-251.274258664998i</v>
      </c>
      <c r="AZ43">
        <f t="shared" si="14"/>
        <v>4.0738548240395867</v>
      </c>
      <c r="BA43">
        <f t="shared" si="15"/>
        <v>-1.801687861277284</v>
      </c>
      <c r="BB43">
        <f t="shared" si="16"/>
        <v>-1.8386456525538257</v>
      </c>
      <c r="BC43">
        <f t="shared" si="17"/>
        <v>0.34405662917272661</v>
      </c>
      <c r="BD43" s="123">
        <f t="shared" si="42"/>
        <v>-1.8386484227242383</v>
      </c>
      <c r="BE43" s="123">
        <f t="shared" si="43"/>
        <v>0.29149520239347743</v>
      </c>
      <c r="BF43">
        <f t="shared" si="44"/>
        <v>48.887797923170027</v>
      </c>
      <c r="BG43">
        <f t="shared" si="45"/>
        <v>-90.758992049020932</v>
      </c>
      <c r="BH43" s="123">
        <f t="shared" si="46"/>
        <v>47.049149500445786</v>
      </c>
      <c r="BI43" s="123">
        <f t="shared" si="47"/>
        <v>-90.467496846627455</v>
      </c>
      <c r="BL43" s="123">
        <f t="shared" si="48"/>
        <v>0</v>
      </c>
      <c r="BM43" s="123">
        <f t="shared" si="49"/>
        <v>0</v>
      </c>
      <c r="BN43" s="123">
        <f t="shared" si="50"/>
        <v>0</v>
      </c>
      <c r="BO43" s="123">
        <f t="shared" si="51"/>
        <v>0</v>
      </c>
      <c r="BP43" s="123">
        <f t="shared" si="52"/>
        <v>0</v>
      </c>
      <c r="BQ43" s="123">
        <f t="shared" si="53"/>
        <v>0</v>
      </c>
      <c r="BR43" s="123">
        <f t="shared" si="54"/>
        <v>0</v>
      </c>
      <c r="BS43" s="123"/>
      <c r="BT43" s="123">
        <f t="shared" si="55"/>
        <v>0</v>
      </c>
      <c r="BU43" s="123">
        <f t="shared" si="56"/>
        <v>0</v>
      </c>
      <c r="BV43" s="123">
        <f t="shared" si="57"/>
        <v>0</v>
      </c>
      <c r="BX43" s="123">
        <f t="shared" si="58"/>
        <v>0</v>
      </c>
      <c r="BY43" s="123"/>
    </row>
    <row r="44" spans="5:77" x14ac:dyDescent="0.25">
      <c r="E44">
        <v>33</v>
      </c>
      <c r="F44">
        <v>80</v>
      </c>
      <c r="G44" s="58">
        <f t="shared" ref="G44:G75" si="59">20*LOG(IMABS(IMDIV(1,IMSUM(0,IMSUM(COMPLEX(0,2*PI*F44/Wsh),COMPLEX(1-(F44/fsw_sh)^2,0))))))</f>
        <v>-3.1518381956789873E-6</v>
      </c>
      <c r="H44" s="58">
        <f t="shared" ref="H44:H75" si="60">180/PI*IMARGUMENT(IMDIV(1,IMSUM(0,IMSUM(COMPLEX(0,2*PI*F44/Wsh),COMPLEX(1-(F44/fsw_sh)^2,0)))))</f>
        <v>-5.6065520517742481E-2</v>
      </c>
      <c r="I44">
        <f t="shared" ref="I44:I75" si="61">20*LOG(IMABS(IMPRODUCT(A_COMP2VOUT,IMDIV(COMPLEX(1, 2*PI*F44/Wesr_zero),COMPLEX(1, 2*PI*F44/Wload_pole)))))</f>
        <v>16.219659665417229</v>
      </c>
      <c r="J44">
        <f t="shared" ref="J44:J75" si="62">180/PI*(IMARGUMENT(IMPRODUCT(A_COMP2VOUT,IMDIV(COMPLEX(1, 2*PI*F44/Wesr_zero),COMPLEX(1, 2*PI*F44/Wload_pole)))))</f>
        <v>-0.60585200853510079</v>
      </c>
      <c r="K44" t="str">
        <f t="shared" ref="K44:K75" si="63">IMDIV(IMPRODUCT(COMPLEX(R.fbb,0),IMDIV(COMPLEX(1,0),COMPLEX(0,2*PI*F44*C.fbb))),IMSUM(COMPLEX(R.fbb,0),IMDIV(COMPLEX(1,0),COMPLEX(0,2*PI*F44*C.fbb))) )</f>
        <v>37499.9946704166-14.1371619907948i</v>
      </c>
      <c r="L44" t="str">
        <f t="shared" ref="L44:L75" si="64">IMSUM(COMPLEX(R.ff,0),IMDIV(COMPLEX(1,0),COMPLEX(0,2*PI*F44*C.ff)))</f>
        <v>100000000-1989437202.53935i</v>
      </c>
      <c r="M44" t="str">
        <f t="shared" ref="M44:M75" si="65">IMDIV(IMPRODUCT(COMPLEX(R.fbt,0),L44),IMSUM(COMPLEX(R.fbt,0),L44))</f>
        <v>149999.43209747-11.2811424924587i</v>
      </c>
      <c r="N44">
        <f t="shared" si="20"/>
        <v>-13.97937422889121</v>
      </c>
      <c r="O44">
        <f t="shared" ref="O44:O75" si="66">180/PI*IMARGUMENT((IMDIV(K44,IMSUM(K44,M44))))</f>
        <v>-1.3832711959156438E-2</v>
      </c>
      <c r="P44" t="str">
        <f t="shared" ref="P44:P75" si="67">IMDIV(COMPLEX(1,0),COMPLEX(0,2*PI*F44*C.hf))</f>
        <v>-442785.934239784i</v>
      </c>
      <c r="Q44" t="str">
        <f t="shared" ref="Q44:Q75" si="68">IMSUM(R.comp,0,IMDIV(COMPLEX(1,0),COMPLEX(0,2*PI*F44*C.comp)))</f>
        <v>7350-258368.467862253i</v>
      </c>
      <c r="R44" t="str">
        <f t="shared" si="21"/>
        <v>2930.89271222585-163192.964543738i</v>
      </c>
      <c r="S44" t="str">
        <f t="shared" ref="S44:S75" si="69">IMDIV(IMPRODUCT(COMPLEX(R.eaout,0),IMDIV(1,COMPLEX(0,2*PI*F44*C.eaout))),IMSUM(COMPLEX(R.eaout,0),IMDIV(1,COMPLEX(0,2*PI*F44*C.eaout))))</f>
        <v>98999464.8094362-9952509.6527874i</v>
      </c>
      <c r="T44" t="str">
        <f t="shared" si="22"/>
        <v>3196.05341862084-163156.208978716i</v>
      </c>
      <c r="U44" t="str">
        <f t="shared" si="23"/>
        <v>0.999999840000026-0.00039999993600001i</v>
      </c>
      <c r="V44">
        <f t="shared" ref="V44:V75" si="70">20*LOG(IMABS(IMPRODUCT(IMPRODUCT(COMPLEX(GM,0),T44),U44)))</f>
        <v>44.253737598841489</v>
      </c>
      <c r="W44">
        <f t="shared" ref="W44:W75" si="71">180/PI*IMARGUMENT((IMPRODUCT(IMPRODUCT(COMPLEX(GM,0),T44),U44)))</f>
        <v>-88.900718069216225</v>
      </c>
      <c r="X44">
        <f t="shared" si="24"/>
        <v>-6.9487111168482278E-7</v>
      </c>
      <c r="Y44">
        <f t="shared" ref="Y44:Y75" si="72">180/PI*IMARGUMENT((U44))</f>
        <v>-2.2918315350943182E-2</v>
      </c>
      <c r="AA44" s="123">
        <f t="shared" si="25"/>
        <v>16.219656513579032</v>
      </c>
      <c r="AB44" s="123">
        <f t="shared" si="26"/>
        <v>-0.66191752905284329</v>
      </c>
      <c r="AC44">
        <f t="shared" si="27"/>
        <v>30.274363369950279</v>
      </c>
      <c r="AD44">
        <f t="shared" si="28"/>
        <v>-88.914550781175379</v>
      </c>
      <c r="AE44" s="123">
        <f t="shared" si="29"/>
        <v>46.494019883529312</v>
      </c>
      <c r="AF44" s="123">
        <f t="shared" si="30"/>
        <v>-89.576468310228222</v>
      </c>
      <c r="AI44" s="123">
        <f t="shared" si="31"/>
        <v>0</v>
      </c>
      <c r="AJ44" s="123">
        <f t="shared" si="32"/>
        <v>0</v>
      </c>
      <c r="AK44" s="123">
        <f t="shared" si="33"/>
        <v>0</v>
      </c>
      <c r="AL44" s="123">
        <f t="shared" si="34"/>
        <v>0</v>
      </c>
      <c r="AM44" s="123">
        <f t="shared" si="35"/>
        <v>0</v>
      </c>
      <c r="AN44" s="123">
        <f t="shared" si="36"/>
        <v>0</v>
      </c>
      <c r="AO44" s="123">
        <f t="shared" si="37"/>
        <v>0</v>
      </c>
      <c r="AP44" s="123"/>
      <c r="AQ44" s="123">
        <f t="shared" si="38"/>
        <v>0</v>
      </c>
      <c r="AR44" s="123">
        <f t="shared" si="39"/>
        <v>0</v>
      </c>
      <c r="AS44" s="123">
        <f t="shared" si="40"/>
        <v>0</v>
      </c>
      <c r="AW44" t="str">
        <f t="shared" ref="AW44:AW75" si="73">COMPLEX(R.imon,0)</f>
        <v>8000</v>
      </c>
      <c r="AX44" t="str">
        <f t="shared" ref="AX44:AX75" si="74">IMSUM(R.imonhf,0,IMDIV(COMPLEX(1,0),COMPLEX(0,2*PI*F44*C.imon)))</f>
        <v>3952-238255.952399922i</v>
      </c>
      <c r="AY44" t="str">
        <f t="shared" si="41"/>
        <v>7986.55869244507-267.944405371861i</v>
      </c>
      <c r="AZ44">
        <f t="shared" ref="AZ44:AZ75" si="75">20*LOG(IMABS(IMDIV(IMPRODUCT(IMPRODUCT(COMPLEX(-1,0),COMPLEX(GM.imon,0)),AY44),COMPLEX(A.s_typ,0))))</f>
        <v>4.0726791765324482</v>
      </c>
      <c r="BA44">
        <f t="shared" ref="BA44:BA75" si="76">180/PI*(IMARGUMENT(IMDIV(IMPRODUCT(IMPRODUCT(COMPLEX(1,0),COMPLEX(GM.imon,0)),AY44),COMPLEX(A.s_typ,0))))</f>
        <v>-1.9215198093809933</v>
      </c>
      <c r="BB44">
        <f t="shared" ref="BB44:BB75" si="77">20*LOG(IMABS(IMPRODUCT(A_COMP2CS,IMPRODUCT(IMDIV(COMPLEX(1, 2*PI*F44/Wesr_zero),COMPLEX(1, 2*PI*F44/Wload_pole)),IMDIV(COMPLEX(1, 2*PI*F44/WloadZ),COMPLEX(1, 2*PI*F44/Wesr_zero))))))</f>
        <v>-1.8384412250306668</v>
      </c>
      <c r="BC44">
        <f t="shared" ref="BC44:BC75" si="78">180/PI*(IMARGUMENT(IMPRODUCT(A_COMP2CS,IMPRODUCT(IMDIV(COMPLEX(1, 2*PI*F44/Wesr_zero),COMPLEX(1, 2*PI*F44/Wload_pole)),IMDIV(COMPLEX(1, 2*PI*F44/WloadZ),COMPLEX(1, 2*PI*F44/Wesr_zero))))))</f>
        <v>0.36695262978023341</v>
      </c>
      <c r="BD44" s="123">
        <f t="shared" si="42"/>
        <v>-1.8384443768688625</v>
      </c>
      <c r="BE44" s="123">
        <f t="shared" si="43"/>
        <v>0.31088710926249091</v>
      </c>
      <c r="BF44">
        <f t="shared" si="44"/>
        <v>48.326416775373936</v>
      </c>
      <c r="BG44">
        <f t="shared" si="45"/>
        <v>-90.822237878597221</v>
      </c>
      <c r="BH44" s="123">
        <f t="shared" si="46"/>
        <v>46.487972398505072</v>
      </c>
      <c r="BI44" s="123">
        <f t="shared" si="47"/>
        <v>-90.511350769334726</v>
      </c>
      <c r="BL44" s="123">
        <f t="shared" si="48"/>
        <v>0</v>
      </c>
      <c r="BM44" s="123">
        <f t="shared" si="49"/>
        <v>0</v>
      </c>
      <c r="BN44" s="123">
        <f t="shared" si="50"/>
        <v>0</v>
      </c>
      <c r="BO44" s="123">
        <f t="shared" si="51"/>
        <v>0</v>
      </c>
      <c r="BP44" s="123">
        <f t="shared" si="52"/>
        <v>0</v>
      </c>
      <c r="BQ44" s="123">
        <f t="shared" si="53"/>
        <v>0</v>
      </c>
      <c r="BR44" s="123">
        <f t="shared" si="54"/>
        <v>0</v>
      </c>
      <c r="BS44" s="123"/>
      <c r="BT44" s="123">
        <f t="shared" si="55"/>
        <v>0</v>
      </c>
      <c r="BU44" s="123">
        <f t="shared" si="56"/>
        <v>0</v>
      </c>
      <c r="BV44" s="123">
        <f t="shared" si="57"/>
        <v>0</v>
      </c>
      <c r="BX44" s="123">
        <f t="shared" si="58"/>
        <v>0</v>
      </c>
      <c r="BY44" s="123"/>
    </row>
    <row r="45" spans="5:77" x14ac:dyDescent="0.25">
      <c r="E45">
        <v>34</v>
      </c>
      <c r="F45">
        <v>85</v>
      </c>
      <c r="G45" s="58">
        <f t="shared" si="59"/>
        <v>-3.5581296831796693E-6</v>
      </c>
      <c r="H45" s="58">
        <f t="shared" si="60"/>
        <v>-5.9569613989115498E-2</v>
      </c>
      <c r="I45">
        <f t="shared" si="61"/>
        <v>16.219400803434901</v>
      </c>
      <c r="J45">
        <f t="shared" si="62"/>
        <v>-0.64367729559600806</v>
      </c>
      <c r="K45" t="str">
        <f t="shared" si="63"/>
        <v>37499.9939834001-15.020734340033i</v>
      </c>
      <c r="L45" t="str">
        <f t="shared" si="64"/>
        <v>100000000-1872411484.74292i</v>
      </c>
      <c r="M45" t="str">
        <f t="shared" si="65"/>
        <v>149999.359100121-11.9823094762722i</v>
      </c>
      <c r="N45">
        <f t="shared" si="20"/>
        <v>-13.97937090529785</v>
      </c>
      <c r="O45">
        <f t="shared" si="66"/>
        <v>-1.4698446271666311E-2</v>
      </c>
      <c r="P45" t="str">
        <f t="shared" si="67"/>
        <v>-416739.702813914i</v>
      </c>
      <c r="Q45" t="str">
        <f t="shared" si="68"/>
        <v>7350-243170.322693885i</v>
      </c>
      <c r="R45" t="str">
        <f t="shared" si="21"/>
        <v>2930.85120082669-153597.105440159i</v>
      </c>
      <c r="S45" t="str">
        <f t="shared" si="69"/>
        <v>98871944.4823321-10560920.5335447i</v>
      </c>
      <c r="T45" t="str">
        <f t="shared" si="22"/>
        <v>3165.62596503749-153562.558353625i</v>
      </c>
      <c r="U45" t="str">
        <f t="shared" si="23"/>
        <v>0.999999819375033-0.000424999923234389i</v>
      </c>
      <c r="V45">
        <f t="shared" si="70"/>
        <v>43.727551180449275</v>
      </c>
      <c r="W45">
        <f t="shared" si="71"/>
        <v>-88.84340865246935</v>
      </c>
      <c r="X45">
        <f t="shared" si="24"/>
        <v>-7.8444433372225859E-7</v>
      </c>
      <c r="Y45">
        <f t="shared" si="72"/>
        <v>-2.4350709892966046E-2</v>
      </c>
      <c r="AA45" s="123">
        <f t="shared" si="25"/>
        <v>16.219397245305217</v>
      </c>
      <c r="AB45" s="123">
        <f t="shared" si="26"/>
        <v>-0.70324690958512359</v>
      </c>
      <c r="AC45">
        <f t="shared" si="27"/>
        <v>29.748180275151427</v>
      </c>
      <c r="AD45">
        <f t="shared" si="28"/>
        <v>-88.858107098741016</v>
      </c>
      <c r="AE45" s="123">
        <f t="shared" si="29"/>
        <v>45.967577520456643</v>
      </c>
      <c r="AF45" s="123">
        <f t="shared" si="30"/>
        <v>-89.561354008326134</v>
      </c>
      <c r="AI45" s="123">
        <f t="shared" si="31"/>
        <v>0</v>
      </c>
      <c r="AJ45" s="123">
        <f t="shared" si="32"/>
        <v>0</v>
      </c>
      <c r="AK45" s="123">
        <f t="shared" si="33"/>
        <v>0</v>
      </c>
      <c r="AL45" s="123">
        <f t="shared" si="34"/>
        <v>0</v>
      </c>
      <c r="AM45" s="123">
        <f t="shared" si="35"/>
        <v>0</v>
      </c>
      <c r="AN45" s="123">
        <f t="shared" si="36"/>
        <v>0</v>
      </c>
      <c r="AO45" s="123">
        <f t="shared" si="37"/>
        <v>0</v>
      </c>
      <c r="AP45" s="123"/>
      <c r="AQ45" s="123">
        <f t="shared" si="38"/>
        <v>0</v>
      </c>
      <c r="AR45" s="123">
        <f t="shared" si="39"/>
        <v>0</v>
      </c>
      <c r="AS45" s="123">
        <f t="shared" si="40"/>
        <v>0</v>
      </c>
      <c r="AW45" t="str">
        <f t="shared" si="73"/>
        <v>8000</v>
      </c>
      <c r="AX45" t="str">
        <f t="shared" si="74"/>
        <v>3952-224240.896376397i</v>
      </c>
      <c r="AY45" t="str">
        <f t="shared" si="41"/>
        <v>7984.83093223709-284.598841394995i</v>
      </c>
      <c r="AZ45">
        <f t="shared" si="75"/>
        <v>4.0714281164318251</v>
      </c>
      <c r="BA45">
        <f t="shared" si="76"/>
        <v>-2.0412975759387879</v>
      </c>
      <c r="BB45">
        <f t="shared" si="77"/>
        <v>-1.8382236593245298</v>
      </c>
      <c r="BC45">
        <f t="shared" si="78"/>
        <v>0.38984068490895912</v>
      </c>
      <c r="BD45" s="123">
        <f t="shared" si="42"/>
        <v>-1.8382272174542129</v>
      </c>
      <c r="BE45" s="123">
        <f t="shared" si="43"/>
        <v>0.33027107091984365</v>
      </c>
      <c r="BF45">
        <f t="shared" si="44"/>
        <v>47.7989792968811</v>
      </c>
      <c r="BG45">
        <f t="shared" si="45"/>
        <v>-90.884706228408135</v>
      </c>
      <c r="BH45" s="123">
        <f t="shared" si="46"/>
        <v>45.960752079426889</v>
      </c>
      <c r="BI45" s="123">
        <f t="shared" si="47"/>
        <v>-90.554435157488285</v>
      </c>
      <c r="BL45" s="123">
        <f t="shared" si="48"/>
        <v>0</v>
      </c>
      <c r="BM45" s="123">
        <f t="shared" si="49"/>
        <v>0</v>
      </c>
      <c r="BN45" s="123">
        <f t="shared" si="50"/>
        <v>0</v>
      </c>
      <c r="BO45" s="123">
        <f t="shared" si="51"/>
        <v>0</v>
      </c>
      <c r="BP45" s="123">
        <f t="shared" si="52"/>
        <v>0</v>
      </c>
      <c r="BQ45" s="123">
        <f t="shared" si="53"/>
        <v>0</v>
      </c>
      <c r="BR45" s="123">
        <f t="shared" si="54"/>
        <v>0</v>
      </c>
      <c r="BS45" s="123"/>
      <c r="BT45" s="123">
        <f t="shared" si="55"/>
        <v>0</v>
      </c>
      <c r="BU45" s="123">
        <f t="shared" si="56"/>
        <v>0</v>
      </c>
      <c r="BV45" s="123">
        <f t="shared" si="57"/>
        <v>0</v>
      </c>
      <c r="BX45" s="123">
        <f t="shared" si="58"/>
        <v>0</v>
      </c>
      <c r="BY45" s="123"/>
    </row>
    <row r="46" spans="5:77" x14ac:dyDescent="0.25">
      <c r="E46">
        <v>35</v>
      </c>
      <c r="F46">
        <v>90</v>
      </c>
      <c r="G46" s="58">
        <f t="shared" si="59"/>
        <v>-3.9890448486189112E-6</v>
      </c>
      <c r="H46" s="58">
        <f t="shared" si="60"/>
        <v>-6.3073707176672544E-2</v>
      </c>
      <c r="I46">
        <f t="shared" si="61"/>
        <v>16.21912628976413</v>
      </c>
      <c r="J46">
        <f t="shared" si="62"/>
        <v>-0.68149523198987927</v>
      </c>
      <c r="K46" t="str">
        <f t="shared" si="63"/>
        <v>37499.9932547463-15.9043066392373i</v>
      </c>
      <c r="L46" t="str">
        <f t="shared" si="64"/>
        <v>100000000-1768388624.47942i</v>
      </c>
      <c r="M46" t="str">
        <f t="shared" si="65"/>
        <v>149999.28173064-12.6827695072758i</v>
      </c>
      <c r="N46">
        <f t="shared" si="20"/>
        <v>-13.979367382673209</v>
      </c>
      <c r="O46">
        <f t="shared" si="66"/>
        <v>-1.556439601864246E-2</v>
      </c>
      <c r="P46" t="str">
        <f t="shared" si="67"/>
        <v>-393587.49710203i</v>
      </c>
      <c r="Q46" t="str">
        <f t="shared" si="68"/>
        <v>7350-229660.860322003i</v>
      </c>
      <c r="R46" t="str">
        <f t="shared" si="21"/>
        <v>2930.80717487007-145067.66612729i</v>
      </c>
      <c r="S46" t="str">
        <f t="shared" si="69"/>
        <v>98737054.1447743-11166895.4185724i</v>
      </c>
      <c r="T46" t="str">
        <f t="shared" si="22"/>
        <v>3140.118208083-145035.074979985i</v>
      </c>
      <c r="U46" t="str">
        <f t="shared" si="23"/>
        <v>0.999999797500041-0.000449999908875018i</v>
      </c>
      <c r="V46">
        <f t="shared" si="70"/>
        <v>43.23149529680191</v>
      </c>
      <c r="W46">
        <f t="shared" si="71"/>
        <v>-88.785498724116422</v>
      </c>
      <c r="X46">
        <f t="shared" si="24"/>
        <v>-8.794462377400096E-7</v>
      </c>
      <c r="Y46">
        <f t="shared" si="72"/>
        <v>-2.5783104404550491E-2</v>
      </c>
      <c r="AA46" s="123">
        <f t="shared" si="25"/>
        <v>16.219122300719281</v>
      </c>
      <c r="AB46" s="123">
        <f t="shared" si="26"/>
        <v>-0.74456893916655176</v>
      </c>
      <c r="AC46">
        <f t="shared" si="27"/>
        <v>29.2521279141287</v>
      </c>
      <c r="AD46">
        <f t="shared" si="28"/>
        <v>-88.801063120135069</v>
      </c>
      <c r="AE46" s="123">
        <f t="shared" si="29"/>
        <v>45.471250214847984</v>
      </c>
      <c r="AF46" s="123">
        <f t="shared" si="30"/>
        <v>-89.545632059301624</v>
      </c>
      <c r="AI46" s="123">
        <f t="shared" si="31"/>
        <v>0</v>
      </c>
      <c r="AJ46" s="123">
        <f t="shared" si="32"/>
        <v>0</v>
      </c>
      <c r="AK46" s="123">
        <f t="shared" si="33"/>
        <v>0</v>
      </c>
      <c r="AL46" s="123">
        <f t="shared" si="34"/>
        <v>0</v>
      </c>
      <c r="AM46" s="123">
        <f t="shared" si="35"/>
        <v>0</v>
      </c>
      <c r="AN46" s="123">
        <f t="shared" si="36"/>
        <v>0</v>
      </c>
      <c r="AO46" s="123">
        <f t="shared" si="37"/>
        <v>0</v>
      </c>
      <c r="AP46" s="123"/>
      <c r="AQ46" s="123">
        <f t="shared" si="38"/>
        <v>0</v>
      </c>
      <c r="AR46" s="123">
        <f t="shared" si="39"/>
        <v>0</v>
      </c>
      <c r="AS46" s="123">
        <f t="shared" si="40"/>
        <v>0</v>
      </c>
      <c r="AW46" t="str">
        <f t="shared" si="73"/>
        <v>8000</v>
      </c>
      <c r="AX46" t="str">
        <f t="shared" si="74"/>
        <v>3952-211783.068799931i</v>
      </c>
      <c r="AY46" t="str">
        <f t="shared" si="41"/>
        <v>7982.9996802991-301.236602814566i</v>
      </c>
      <c r="AZ46">
        <f t="shared" si="75"/>
        <v>4.0701017250978166</v>
      </c>
      <c r="BA46">
        <f t="shared" si="76"/>
        <v>-2.1610178130899449</v>
      </c>
      <c r="BB46">
        <f t="shared" si="77"/>
        <v>-1.837992964918447</v>
      </c>
      <c r="BC46">
        <f t="shared" si="78"/>
        <v>0.41272030137075355</v>
      </c>
      <c r="BD46" s="123">
        <f t="shared" si="42"/>
        <v>-1.8379969539632957</v>
      </c>
      <c r="BE46" s="123">
        <f t="shared" si="43"/>
        <v>0.34964659419408101</v>
      </c>
      <c r="BF46">
        <f t="shared" si="44"/>
        <v>47.301597021899724</v>
      </c>
      <c r="BG46">
        <f t="shared" si="45"/>
        <v>-90.946516537206364</v>
      </c>
      <c r="BH46" s="123">
        <f t="shared" si="46"/>
        <v>45.463600067936426</v>
      </c>
      <c r="BI46" s="123">
        <f t="shared" si="47"/>
        <v>-90.59686994301228</v>
      </c>
      <c r="BL46" s="123">
        <f t="shared" si="48"/>
        <v>0</v>
      </c>
      <c r="BM46" s="123">
        <f t="shared" si="49"/>
        <v>0</v>
      </c>
      <c r="BN46" s="123">
        <f t="shared" si="50"/>
        <v>0</v>
      </c>
      <c r="BO46" s="123">
        <f t="shared" si="51"/>
        <v>0</v>
      </c>
      <c r="BP46" s="123">
        <f t="shared" si="52"/>
        <v>0</v>
      </c>
      <c r="BQ46" s="123">
        <f t="shared" si="53"/>
        <v>0</v>
      </c>
      <c r="BR46" s="123">
        <f t="shared" si="54"/>
        <v>0</v>
      </c>
      <c r="BS46" s="123"/>
      <c r="BT46" s="123">
        <f t="shared" si="55"/>
        <v>0</v>
      </c>
      <c r="BU46" s="123">
        <f t="shared" si="56"/>
        <v>0</v>
      </c>
      <c r="BV46" s="123">
        <f t="shared" si="57"/>
        <v>0</v>
      </c>
      <c r="BX46" s="123">
        <f t="shared" si="58"/>
        <v>0</v>
      </c>
      <c r="BY46" s="123"/>
    </row>
    <row r="47" spans="5:77" x14ac:dyDescent="0.25">
      <c r="E47">
        <v>36</v>
      </c>
      <c r="F47">
        <v>95</v>
      </c>
      <c r="G47" s="58">
        <f t="shared" si="59"/>
        <v>-4.4445837081977868E-6</v>
      </c>
      <c r="H47" s="58">
        <f t="shared" si="60"/>
        <v>-6.6577800063719661E-2</v>
      </c>
      <c r="I47">
        <f t="shared" si="61"/>
        <v>16.218836130910404</v>
      </c>
      <c r="J47">
        <f t="shared" si="62"/>
        <v>-0.71930538718399906</v>
      </c>
      <c r="K47" t="str">
        <f t="shared" si="63"/>
        <v>37499.9924844549-16.7878788854644i</v>
      </c>
      <c r="L47" t="str">
        <f t="shared" si="64"/>
        <v>100000000-1675315538.9805i</v>
      </c>
      <c r="M47" t="str">
        <f t="shared" si="65"/>
        <v>149999.199998133-13.3824818617131i</v>
      </c>
      <c r="N47">
        <f t="shared" si="20"/>
        <v>-13.979363661437853</v>
      </c>
      <c r="O47">
        <f t="shared" si="66"/>
        <v>-1.6430573610405109E-2</v>
      </c>
      <c r="P47" t="str">
        <f t="shared" si="67"/>
        <v>-372872.365675608i</v>
      </c>
      <c r="Q47" t="str">
        <f t="shared" si="68"/>
        <v>7350-217573.446620845i</v>
      </c>
      <c r="R47" t="str">
        <f t="shared" si="21"/>
        <v>2930.7606345827-137436.264514703i</v>
      </c>
      <c r="S47" t="str">
        <f t="shared" si="69"/>
        <v>98594855.4204535-11770302.743142i</v>
      </c>
      <c r="T47" t="str">
        <f t="shared" si="22"/>
        <v>3118.52170145658-137405.418027317i</v>
      </c>
      <c r="U47" t="str">
        <f t="shared" si="23"/>
        <v>0.999999774375051-0.000474999892828149i</v>
      </c>
      <c r="V47">
        <f t="shared" si="70"/>
        <v>42.762312640344518</v>
      </c>
      <c r="W47">
        <f t="shared" si="71"/>
        <v>-88.727085348747565</v>
      </c>
      <c r="X47">
        <f t="shared" si="24"/>
        <v>-9.7987681330860141E-7</v>
      </c>
      <c r="Y47">
        <f t="shared" si="72"/>
        <v>-2.7215498883906099E-2</v>
      </c>
      <c r="AA47" s="123">
        <f t="shared" si="25"/>
        <v>16.218831686326695</v>
      </c>
      <c r="AB47" s="123">
        <f t="shared" si="26"/>
        <v>-0.78588318724771877</v>
      </c>
      <c r="AC47">
        <f t="shared" si="27"/>
        <v>28.782948978906667</v>
      </c>
      <c r="AD47">
        <f t="shared" si="28"/>
        <v>-88.743515922357972</v>
      </c>
      <c r="AE47" s="123">
        <f t="shared" si="29"/>
        <v>45.001780665233362</v>
      </c>
      <c r="AF47" s="123">
        <f t="shared" si="30"/>
        <v>-89.529399109605691</v>
      </c>
      <c r="AI47" s="123">
        <f t="shared" si="31"/>
        <v>0</v>
      </c>
      <c r="AJ47" s="123">
        <f t="shared" si="32"/>
        <v>0</v>
      </c>
      <c r="AK47" s="123">
        <f t="shared" si="33"/>
        <v>0</v>
      </c>
      <c r="AL47" s="123">
        <f t="shared" si="34"/>
        <v>0</v>
      </c>
      <c r="AM47" s="123">
        <f t="shared" si="35"/>
        <v>0</v>
      </c>
      <c r="AN47" s="123">
        <f t="shared" si="36"/>
        <v>0</v>
      </c>
      <c r="AO47" s="123">
        <f t="shared" si="37"/>
        <v>0</v>
      </c>
      <c r="AP47" s="123"/>
      <c r="AQ47" s="123">
        <f t="shared" si="38"/>
        <v>0</v>
      </c>
      <c r="AR47" s="123">
        <f t="shared" si="39"/>
        <v>0</v>
      </c>
      <c r="AS47" s="123">
        <f t="shared" si="40"/>
        <v>0</v>
      </c>
      <c r="AW47" t="str">
        <f t="shared" si="73"/>
        <v>8000</v>
      </c>
      <c r="AX47" t="str">
        <f t="shared" si="74"/>
        <v>3952-200636.591494671i</v>
      </c>
      <c r="AY47" t="str">
        <f t="shared" si="41"/>
        <v>7981.06515069776-317.856728954815i</v>
      </c>
      <c r="AZ47">
        <f t="shared" si="75"/>
        <v>4.068700088724662</v>
      </c>
      <c r="BA47">
        <f t="shared" si="76"/>
        <v>-2.2806771799278396</v>
      </c>
      <c r="BB47">
        <f t="shared" si="77"/>
        <v>-1.8377491518645814</v>
      </c>
      <c r="BC47">
        <f t="shared" si="78"/>
        <v>0.43559098659444451</v>
      </c>
      <c r="BD47" s="123">
        <f t="shared" si="42"/>
        <v>-1.8377535964482896</v>
      </c>
      <c r="BE47" s="123">
        <f t="shared" si="43"/>
        <v>0.36901318653072485</v>
      </c>
      <c r="BF47">
        <f t="shared" si="44"/>
        <v>46.83101272906918</v>
      </c>
      <c r="BG47">
        <f t="shared" si="45"/>
        <v>-91.0077625286754</v>
      </c>
      <c r="BH47" s="123">
        <f t="shared" si="46"/>
        <v>44.993259132620892</v>
      </c>
      <c r="BI47" s="123">
        <f t="shared" si="47"/>
        <v>-90.638749342144678</v>
      </c>
      <c r="BL47" s="123">
        <f t="shared" si="48"/>
        <v>0</v>
      </c>
      <c r="BM47" s="123">
        <f t="shared" si="49"/>
        <v>0</v>
      </c>
      <c r="BN47" s="123">
        <f t="shared" si="50"/>
        <v>0</v>
      </c>
      <c r="BO47" s="123">
        <f t="shared" si="51"/>
        <v>0</v>
      </c>
      <c r="BP47" s="123">
        <f t="shared" si="52"/>
        <v>0</v>
      </c>
      <c r="BQ47" s="123">
        <f t="shared" si="53"/>
        <v>0</v>
      </c>
      <c r="BR47" s="123">
        <f t="shared" si="54"/>
        <v>0</v>
      </c>
      <c r="BS47" s="123"/>
      <c r="BT47" s="123">
        <f t="shared" si="55"/>
        <v>0</v>
      </c>
      <c r="BU47" s="123">
        <f t="shared" si="56"/>
        <v>0</v>
      </c>
      <c r="BV47" s="123">
        <f t="shared" si="57"/>
        <v>0</v>
      </c>
      <c r="BX47" s="123">
        <f t="shared" si="58"/>
        <v>0</v>
      </c>
      <c r="BY47" s="123"/>
    </row>
    <row r="48" spans="5:77" x14ac:dyDescent="0.25">
      <c r="E48">
        <v>37</v>
      </c>
      <c r="F48">
        <v>100</v>
      </c>
      <c r="G48" s="58">
        <f t="shared" si="59"/>
        <v>-4.9247462320390461E-6</v>
      </c>
      <c r="H48" s="58">
        <f t="shared" si="60"/>
        <v>-7.0081892633561474E-2</v>
      </c>
      <c r="I48">
        <f t="shared" si="61"/>
        <v>16.21853033374839</v>
      </c>
      <c r="J48">
        <f t="shared" si="62"/>
        <v>-0.75710733096372718</v>
      </c>
      <c r="K48" t="str">
        <f t="shared" si="63"/>
        <v>37499.9916725265-17.6714510757714i</v>
      </c>
      <c r="L48" t="str">
        <f t="shared" si="64"/>
        <v>100000000-1591549762.03148i</v>
      </c>
      <c r="M48" t="str">
        <f t="shared" si="65"/>
        <v>149999.113912213-14.0814059621297i</v>
      </c>
      <c r="N48">
        <f t="shared" si="20"/>
        <v>-13.979359742035486</v>
      </c>
      <c r="O48">
        <f t="shared" si="66"/>
        <v>-1.7296991412740798E-2</v>
      </c>
      <c r="P48" t="str">
        <f t="shared" si="67"/>
        <v>-354228.747391827i</v>
      </c>
      <c r="Q48" t="str">
        <f t="shared" si="68"/>
        <v>7350-206694.774289803i</v>
      </c>
      <c r="R48" t="str">
        <f t="shared" si="21"/>
        <v>2930.71158020418-130568.194929071i</v>
      </c>
      <c r="S48" t="str">
        <f t="shared" si="69"/>
        <v>98445412.9966396-12371012.8762776i</v>
      </c>
      <c r="T48" t="str">
        <f t="shared" si="22"/>
        <v>3100.07362624777-130538.914509694i</v>
      </c>
      <c r="U48" t="str">
        <f t="shared" si="23"/>
        <v>0.999999750000062-0.000499999875000031i</v>
      </c>
      <c r="V48">
        <f t="shared" si="70"/>
        <v>42.317247500041788</v>
      </c>
      <c r="W48">
        <f t="shared" si="71"/>
        <v>-88.668246299284363</v>
      </c>
      <c r="X48">
        <f t="shared" si="24"/>
        <v>-1.0857360731525995E-6</v>
      </c>
      <c r="Y48">
        <f t="shared" si="72"/>
        <v>-2.8647893329242342E-2</v>
      </c>
      <c r="AA48" s="123">
        <f t="shared" si="25"/>
        <v>16.218525409002158</v>
      </c>
      <c r="AB48" s="123">
        <f t="shared" si="26"/>
        <v>-0.82718922359728864</v>
      </c>
      <c r="AC48">
        <f t="shared" si="27"/>
        <v>28.337887758006303</v>
      </c>
      <c r="AD48">
        <f t="shared" si="28"/>
        <v>-88.685543290697098</v>
      </c>
      <c r="AE48" s="123">
        <f t="shared" si="29"/>
        <v>44.556413167008458</v>
      </c>
      <c r="AF48" s="123">
        <f t="shared" si="30"/>
        <v>-89.512732514294385</v>
      </c>
      <c r="AI48" s="123">
        <f t="shared" si="31"/>
        <v>0</v>
      </c>
      <c r="AJ48" s="123">
        <f t="shared" si="32"/>
        <v>0</v>
      </c>
      <c r="AK48" s="123">
        <f t="shared" si="33"/>
        <v>0</v>
      </c>
      <c r="AL48" s="123">
        <f t="shared" si="34"/>
        <v>0</v>
      </c>
      <c r="AM48" s="123">
        <f t="shared" si="35"/>
        <v>0</v>
      </c>
      <c r="AN48" s="123">
        <f t="shared" si="36"/>
        <v>0</v>
      </c>
      <c r="AO48" s="123">
        <f t="shared" si="37"/>
        <v>0</v>
      </c>
      <c r="AP48" s="123"/>
      <c r="AQ48" s="123">
        <f t="shared" si="38"/>
        <v>0</v>
      </c>
      <c r="AR48" s="123">
        <f t="shared" si="39"/>
        <v>0</v>
      </c>
      <c r="AS48" s="123">
        <f t="shared" si="40"/>
        <v>0</v>
      </c>
      <c r="AW48" t="str">
        <f t="shared" si="73"/>
        <v>8000</v>
      </c>
      <c r="AX48" t="str">
        <f t="shared" si="74"/>
        <v>3952-190604.761919938i</v>
      </c>
      <c r="AY48" t="str">
        <f t="shared" si="41"/>
        <v>7979.02756933282-334.458262566616i</v>
      </c>
      <c r="AZ48">
        <f t="shared" si="75"/>
        <v>4.0672232983236505</v>
      </c>
      <c r="BA48">
        <f t="shared" si="76"/>
        <v>-2.4002723428962804</v>
      </c>
      <c r="BB48">
        <f t="shared" si="77"/>
        <v>-1.8374922307819741</v>
      </c>
      <c r="BC48">
        <f t="shared" si="78"/>
        <v>0.45845224866145939</v>
      </c>
      <c r="BD48" s="123">
        <f t="shared" si="42"/>
        <v>-1.8374971555282062</v>
      </c>
      <c r="BE48" s="123">
        <f t="shared" si="43"/>
        <v>0.38837035602789793</v>
      </c>
      <c r="BF48">
        <f t="shared" si="44"/>
        <v>46.384470798365442</v>
      </c>
      <c r="BG48">
        <f t="shared" si="45"/>
        <v>-91.068518642180649</v>
      </c>
      <c r="BH48" s="123">
        <f t="shared" si="46"/>
        <v>44.546973642837237</v>
      </c>
      <c r="BI48" s="123">
        <f t="shared" si="47"/>
        <v>-90.680148286152757</v>
      </c>
      <c r="BL48" s="123">
        <f t="shared" si="48"/>
        <v>0</v>
      </c>
      <c r="BM48" s="123">
        <f t="shared" si="49"/>
        <v>0</v>
      </c>
      <c r="BN48" s="123">
        <f t="shared" si="50"/>
        <v>0</v>
      </c>
      <c r="BO48" s="123">
        <f t="shared" si="51"/>
        <v>0</v>
      </c>
      <c r="BP48" s="123">
        <f t="shared" si="52"/>
        <v>0</v>
      </c>
      <c r="BQ48" s="123">
        <f t="shared" si="53"/>
        <v>0</v>
      </c>
      <c r="BR48" s="123">
        <f t="shared" si="54"/>
        <v>0</v>
      </c>
      <c r="BS48" s="123"/>
      <c r="BT48" s="123">
        <f t="shared" si="55"/>
        <v>0</v>
      </c>
      <c r="BU48" s="123">
        <f t="shared" si="56"/>
        <v>0</v>
      </c>
      <c r="BV48" s="123">
        <f t="shared" si="57"/>
        <v>0</v>
      </c>
      <c r="BX48" s="123">
        <f t="shared" si="58"/>
        <v>0</v>
      </c>
      <c r="BY48" s="123"/>
    </row>
    <row r="49" spans="5:77" x14ac:dyDescent="0.25">
      <c r="E49">
        <v>38</v>
      </c>
      <c r="F49">
        <v>150</v>
      </c>
      <c r="G49" s="58">
        <f t="shared" si="59"/>
        <v>-1.1080671565265836E-5</v>
      </c>
      <c r="H49" s="58">
        <f t="shared" si="60"/>
        <v>-0.10512279721280021</v>
      </c>
      <c r="I49">
        <f t="shared" si="61"/>
        <v>16.214614030575504</v>
      </c>
      <c r="J49">
        <f t="shared" si="62"/>
        <v>-1.1345807560790713</v>
      </c>
      <c r="K49" t="str">
        <f t="shared" si="63"/>
        <v>37499.98126319-26.5071692557322i</v>
      </c>
      <c r="L49" t="str">
        <f t="shared" si="64"/>
        <v>100000000-1061033174.68765i</v>
      </c>
      <c r="M49" t="str">
        <f t="shared" si="65"/>
        <v>149998.016083374-21.0184858324611i</v>
      </c>
      <c r="N49">
        <f t="shared" si="20"/>
        <v>-13.979309762788779</v>
      </c>
      <c r="O49">
        <f t="shared" si="66"/>
        <v>-2.5977065000178139E-2</v>
      </c>
      <c r="P49" t="str">
        <f t="shared" si="67"/>
        <v>-236152.498261218i</v>
      </c>
      <c r="Q49" t="str">
        <f t="shared" si="68"/>
        <v>7350-137796.516193202i</v>
      </c>
      <c r="R49" t="str">
        <f t="shared" si="21"/>
        <v>2930.08282336477-87077.4528099143i</v>
      </c>
      <c r="S49" t="str">
        <f t="shared" si="69"/>
        <v>96568854.4214767-18202796.4299806i</v>
      </c>
      <c r="T49" t="str">
        <f t="shared" si="22"/>
        <v>3004.82864742492-87058.012556195i</v>
      </c>
      <c r="U49" t="str">
        <f t="shared" si="23"/>
        <v>0.999999437500317-0.000749999578125237i</v>
      </c>
      <c r="V49">
        <f t="shared" si="70"/>
        <v>38.801343206152758</v>
      </c>
      <c r="W49">
        <f t="shared" si="71"/>
        <v>-88.066197007859273</v>
      </c>
      <c r="X49">
        <f t="shared" si="24"/>
        <v>-2.4429057691341332E-6</v>
      </c>
      <c r="Y49">
        <f t="shared" si="72"/>
        <v>-4.2971835517631958E-2</v>
      </c>
      <c r="AA49" s="123">
        <f t="shared" si="25"/>
        <v>16.214602949903938</v>
      </c>
      <c r="AB49" s="123">
        <f t="shared" si="26"/>
        <v>-1.2397035532918714</v>
      </c>
      <c r="AC49">
        <f t="shared" si="27"/>
        <v>24.822033443363978</v>
      </c>
      <c r="AD49">
        <f t="shared" si="28"/>
        <v>-88.09217407285945</v>
      </c>
      <c r="AE49" s="123">
        <f t="shared" si="29"/>
        <v>41.036636393267912</v>
      </c>
      <c r="AF49" s="123">
        <f t="shared" si="30"/>
        <v>-89.331877626151325</v>
      </c>
      <c r="AI49" s="123">
        <f t="shared" si="31"/>
        <v>0</v>
      </c>
      <c r="AJ49" s="123">
        <f t="shared" si="32"/>
        <v>0</v>
      </c>
      <c r="AK49" s="123">
        <f t="shared" si="33"/>
        <v>0</v>
      </c>
      <c r="AL49" s="123">
        <f t="shared" si="34"/>
        <v>0</v>
      </c>
      <c r="AM49" s="123">
        <f t="shared" si="35"/>
        <v>0</v>
      </c>
      <c r="AN49" s="123">
        <f t="shared" si="36"/>
        <v>0</v>
      </c>
      <c r="AO49" s="123">
        <f t="shared" si="37"/>
        <v>0</v>
      </c>
      <c r="AP49" s="123"/>
      <c r="AQ49" s="123">
        <f t="shared" si="38"/>
        <v>0</v>
      </c>
      <c r="AR49" s="123">
        <f t="shared" si="39"/>
        <v>0</v>
      </c>
      <c r="AS49" s="123">
        <f t="shared" si="40"/>
        <v>0</v>
      </c>
      <c r="AW49" t="str">
        <f t="shared" si="73"/>
        <v>8000</v>
      </c>
      <c r="AX49" t="str">
        <f t="shared" si="74"/>
        <v>3952-127069.841279958i</v>
      </c>
      <c r="AY49" t="str">
        <f t="shared" si="41"/>
        <v>7953.04192607306-499.243222950582i</v>
      </c>
      <c r="AZ49">
        <f t="shared" si="75"/>
        <v>4.0483453510038103</v>
      </c>
      <c r="BA49">
        <f t="shared" si="76"/>
        <v>-3.5919654151165115</v>
      </c>
      <c r="BB49">
        <f t="shared" si="77"/>
        <v>-1.8342048176928596</v>
      </c>
      <c r="BC49">
        <f t="shared" si="78"/>
        <v>0.68643891117838762</v>
      </c>
      <c r="BD49" s="123">
        <f t="shared" si="42"/>
        <v>-1.8342158983644248</v>
      </c>
      <c r="BE49" s="123">
        <f t="shared" si="43"/>
        <v>0.58131611396558736</v>
      </c>
      <c r="BF49">
        <f t="shared" si="44"/>
        <v>42.849688557156568</v>
      </c>
      <c r="BG49">
        <f t="shared" si="45"/>
        <v>-91.658162422975778</v>
      </c>
      <c r="BH49" s="123">
        <f t="shared" si="46"/>
        <v>41.015472658792142</v>
      </c>
      <c r="BI49" s="123">
        <f t="shared" si="47"/>
        <v>-91.076846309010193</v>
      </c>
      <c r="BL49" s="123">
        <f t="shared" si="48"/>
        <v>0</v>
      </c>
      <c r="BM49" s="123">
        <f t="shared" si="49"/>
        <v>0</v>
      </c>
      <c r="BN49" s="123">
        <f t="shared" si="50"/>
        <v>0</v>
      </c>
      <c r="BO49" s="123">
        <f t="shared" si="51"/>
        <v>0</v>
      </c>
      <c r="BP49" s="123">
        <f t="shared" si="52"/>
        <v>0</v>
      </c>
      <c r="BQ49" s="123">
        <f t="shared" si="53"/>
        <v>0</v>
      </c>
      <c r="BR49" s="123">
        <f t="shared" si="54"/>
        <v>0</v>
      </c>
      <c r="BS49" s="123"/>
      <c r="BT49" s="123">
        <f t="shared" si="55"/>
        <v>0</v>
      </c>
      <c r="BU49" s="123">
        <f t="shared" si="56"/>
        <v>0</v>
      </c>
      <c r="BV49" s="123">
        <f t="shared" si="57"/>
        <v>0</v>
      </c>
      <c r="BX49" s="123">
        <f t="shared" si="58"/>
        <v>0</v>
      </c>
      <c r="BY49" s="123"/>
    </row>
    <row r="50" spans="5:77" x14ac:dyDescent="0.25">
      <c r="E50">
        <v>39</v>
      </c>
      <c r="F50">
        <v>200</v>
      </c>
      <c r="G50" s="58">
        <f t="shared" si="59"/>
        <v>-1.9698953123788512E-5</v>
      </c>
      <c r="H50" s="58">
        <f t="shared" si="60"/>
        <v>-0.14016365170714276</v>
      </c>
      <c r="I50">
        <f t="shared" si="61"/>
        <v>16.209144179724234</v>
      </c>
      <c r="J50">
        <f t="shared" si="62"/>
        <v>-1.5107628339990213</v>
      </c>
      <c r="K50" t="str">
        <f t="shared" si="63"/>
        <v>37499.9666901285-35.3428786061923i</v>
      </c>
      <c r="L50" t="str">
        <f t="shared" si="64"/>
        <v>100000000-795774881.01574i</v>
      </c>
      <c r="M50" t="str">
        <f t="shared" si="65"/>
        <v>149996.497096001-27.8334799110754i</v>
      </c>
      <c r="N50">
        <f t="shared" si="20"/>
        <v>-13.979240621719192</v>
      </c>
      <c r="O50">
        <f t="shared" si="66"/>
        <v>-3.4694343515271994E-2</v>
      </c>
      <c r="P50" t="str">
        <f t="shared" si="67"/>
        <v>-177114.373695914i</v>
      </c>
      <c r="Q50" t="str">
        <f t="shared" si="68"/>
        <v>7350-103347.387144901i</v>
      </c>
      <c r="R50" t="str">
        <f t="shared" si="21"/>
        <v>2929.2030168971-65341.6613177934i</v>
      </c>
      <c r="S50" t="str">
        <f t="shared" si="69"/>
        <v>94058738.236205-23639534.3658365i</v>
      </c>
      <c r="T50" t="str">
        <f t="shared" si="22"/>
        <v>2970.83300240202-65327.1003211024i</v>
      </c>
      <c r="U50" t="str">
        <f t="shared" si="23"/>
        <v>0.999999000001-0.000999999000001i</v>
      </c>
      <c r="V50">
        <f t="shared" si="70"/>
        <v>36.310835620147252</v>
      </c>
      <c r="W50">
        <f t="shared" si="71"/>
        <v>-87.453509463816815</v>
      </c>
      <c r="X50">
        <f t="shared" si="24"/>
        <v>-4.3429426478763223E-6</v>
      </c>
      <c r="Y50">
        <f t="shared" si="72"/>
        <v>-5.7295772334547579E-2</v>
      </c>
      <c r="AA50" s="123">
        <f t="shared" si="25"/>
        <v>16.209124480771109</v>
      </c>
      <c r="AB50" s="123">
        <f t="shared" si="26"/>
        <v>-1.6509264857061641</v>
      </c>
      <c r="AC50">
        <f t="shared" si="27"/>
        <v>22.331594998428059</v>
      </c>
      <c r="AD50">
        <f t="shared" si="28"/>
        <v>-87.488203807332084</v>
      </c>
      <c r="AE50" s="123">
        <f t="shared" si="29"/>
        <v>38.540719479199169</v>
      </c>
      <c r="AF50" s="123">
        <f t="shared" si="30"/>
        <v>-89.139130293038249</v>
      </c>
      <c r="AI50" s="123">
        <f t="shared" si="31"/>
        <v>0</v>
      </c>
      <c r="AJ50" s="123">
        <f t="shared" si="32"/>
        <v>0</v>
      </c>
      <c r="AK50" s="123">
        <f t="shared" si="33"/>
        <v>0</v>
      </c>
      <c r="AL50" s="123">
        <f t="shared" si="34"/>
        <v>0</v>
      </c>
      <c r="AM50" s="123">
        <f t="shared" si="35"/>
        <v>0</v>
      </c>
      <c r="AN50" s="123">
        <f t="shared" si="36"/>
        <v>0</v>
      </c>
      <c r="AO50" s="123">
        <f t="shared" si="37"/>
        <v>0</v>
      </c>
      <c r="AP50" s="123"/>
      <c r="AQ50" s="123">
        <f t="shared" si="38"/>
        <v>0</v>
      </c>
      <c r="AR50" s="123">
        <f t="shared" si="39"/>
        <v>0</v>
      </c>
      <c r="AS50" s="123">
        <f t="shared" si="40"/>
        <v>0</v>
      </c>
      <c r="AW50" t="str">
        <f t="shared" si="73"/>
        <v>8000</v>
      </c>
      <c r="AX50" t="str">
        <f t="shared" si="74"/>
        <v>3952-95302.3809599688i</v>
      </c>
      <c r="AY50" t="str">
        <f t="shared" si="41"/>
        <v>7917.08451801655-661.148163609894i</v>
      </c>
      <c r="AZ50">
        <f t="shared" si="75"/>
        <v>4.0220870774811806</v>
      </c>
      <c r="BA50">
        <f t="shared" si="76"/>
        <v>-4.7736406175835251</v>
      </c>
      <c r="BB50">
        <f t="shared" si="77"/>
        <v>-1.8296224422698912</v>
      </c>
      <c r="BC50">
        <f t="shared" si="78"/>
        <v>0.91294834817065917</v>
      </c>
      <c r="BD50" s="123">
        <f t="shared" si="42"/>
        <v>-1.8296421412230151</v>
      </c>
      <c r="BE50" s="123">
        <f t="shared" si="43"/>
        <v>0.77278469646351644</v>
      </c>
      <c r="BF50">
        <f t="shared" si="44"/>
        <v>40.332922697628433</v>
      </c>
      <c r="BG50">
        <f t="shared" si="45"/>
        <v>-92.227150081400339</v>
      </c>
      <c r="BH50" s="123">
        <f t="shared" si="46"/>
        <v>38.503280556405421</v>
      </c>
      <c r="BI50" s="123">
        <f t="shared" si="47"/>
        <v>-91.454365384936821</v>
      </c>
      <c r="BL50" s="123">
        <f t="shared" si="48"/>
        <v>0</v>
      </c>
      <c r="BM50" s="123">
        <f t="shared" si="49"/>
        <v>0</v>
      </c>
      <c r="BN50" s="123">
        <f t="shared" si="50"/>
        <v>0</v>
      </c>
      <c r="BO50" s="123">
        <f t="shared" si="51"/>
        <v>0</v>
      </c>
      <c r="BP50" s="123">
        <f t="shared" si="52"/>
        <v>0</v>
      </c>
      <c r="BQ50" s="123">
        <f t="shared" si="53"/>
        <v>0</v>
      </c>
      <c r="BR50" s="123">
        <f t="shared" si="54"/>
        <v>0</v>
      </c>
      <c r="BS50" s="123"/>
      <c r="BT50" s="123">
        <f t="shared" si="55"/>
        <v>0</v>
      </c>
      <c r="BU50" s="123">
        <f t="shared" si="56"/>
        <v>0</v>
      </c>
      <c r="BV50" s="123">
        <f t="shared" si="57"/>
        <v>0</v>
      </c>
      <c r="BX50" s="123">
        <f t="shared" si="58"/>
        <v>0</v>
      </c>
      <c r="BY50" s="123"/>
    </row>
    <row r="51" spans="5:77" x14ac:dyDescent="0.25">
      <c r="E51">
        <v>40</v>
      </c>
      <c r="F51">
        <v>250</v>
      </c>
      <c r="G51" s="58">
        <f t="shared" si="59"/>
        <v>-3.0779576986221033E-5</v>
      </c>
      <c r="H51" s="58">
        <f t="shared" si="60"/>
        <v>-0.17520443942188033</v>
      </c>
      <c r="I51">
        <f t="shared" si="61"/>
        <v>16.202133656514786</v>
      </c>
      <c r="J51">
        <f t="shared" si="62"/>
        <v>-1.8852313029045304</v>
      </c>
      <c r="K51" t="str">
        <f t="shared" si="63"/>
        <v>37499.9479533519-44.1785761840001i</v>
      </c>
      <c r="L51" t="str">
        <f t="shared" si="64"/>
        <v>100000000-636619904.812592i</v>
      </c>
      <c r="M51" t="str">
        <f t="shared" si="65"/>
        <v>149994.574298055-34.4893645081905i</v>
      </c>
      <c r="N51">
        <f t="shared" si="20"/>
        <v>-13.979153119876045</v>
      </c>
      <c r="O51">
        <f t="shared" si="66"/>
        <v>-4.3460110947054438E-2</v>
      </c>
      <c r="P51" t="str">
        <f t="shared" si="67"/>
        <v>-141691.498956731i</v>
      </c>
      <c r="Q51" t="str">
        <f t="shared" si="68"/>
        <v>7350-82677.909715921i</v>
      </c>
      <c r="R51" t="str">
        <f t="shared" si="21"/>
        <v>2928.07261320912-52307.8362660752i</v>
      </c>
      <c r="S51" t="str">
        <f t="shared" si="69"/>
        <v>91016987.1665936-28593823.8746673i</v>
      </c>
      <c r="T51" t="str">
        <f t="shared" si="22"/>
        <v>2954.37455923867-52296.1929757789i</v>
      </c>
      <c r="U51" t="str">
        <f t="shared" si="23"/>
        <v>0.999998437502441-0.00124999804687805i</v>
      </c>
      <c r="V51">
        <f t="shared" si="70"/>
        <v>34.38323301850955</v>
      </c>
      <c r="W51">
        <f t="shared" si="71"/>
        <v>-86.838257828046423</v>
      </c>
      <c r="X51">
        <f t="shared" si="24"/>
        <v>-6.7858459807662682E-6</v>
      </c>
      <c r="Y51">
        <f t="shared" si="72"/>
        <v>-7.1619701989503917E-2</v>
      </c>
      <c r="AA51" s="123">
        <f t="shared" si="25"/>
        <v>16.202102876937801</v>
      </c>
      <c r="AB51" s="123">
        <f t="shared" si="26"/>
        <v>-2.0604357423264106</v>
      </c>
      <c r="AC51">
        <f t="shared" si="27"/>
        <v>20.404079898633505</v>
      </c>
      <c r="AD51">
        <f t="shared" si="28"/>
        <v>-86.881717938993475</v>
      </c>
      <c r="AE51" s="123">
        <f t="shared" si="29"/>
        <v>36.606182775571305</v>
      </c>
      <c r="AF51" s="123">
        <f t="shared" si="30"/>
        <v>-88.94215368131988</v>
      </c>
      <c r="AI51" s="123">
        <f t="shared" si="31"/>
        <v>0</v>
      </c>
      <c r="AJ51" s="123">
        <f t="shared" si="32"/>
        <v>0</v>
      </c>
      <c r="AK51" s="123">
        <f t="shared" si="33"/>
        <v>0</v>
      </c>
      <c r="AL51" s="123">
        <f t="shared" si="34"/>
        <v>0</v>
      </c>
      <c r="AM51" s="123">
        <f t="shared" si="35"/>
        <v>0</v>
      </c>
      <c r="AN51" s="123">
        <f t="shared" si="36"/>
        <v>0</v>
      </c>
      <c r="AO51" s="123">
        <f t="shared" si="37"/>
        <v>0</v>
      </c>
      <c r="AP51" s="123"/>
      <c r="AQ51" s="123">
        <f t="shared" si="38"/>
        <v>0</v>
      </c>
      <c r="AR51" s="123">
        <f t="shared" si="39"/>
        <v>0</v>
      </c>
      <c r="AS51" s="123">
        <f t="shared" si="40"/>
        <v>0</v>
      </c>
      <c r="AW51" t="str">
        <f t="shared" si="73"/>
        <v>8000</v>
      </c>
      <c r="AX51" t="str">
        <f t="shared" si="74"/>
        <v>3952-76241.9047679751i</v>
      </c>
      <c r="AY51" t="str">
        <f t="shared" si="41"/>
        <v>7871.56324511206-819.299099303423i</v>
      </c>
      <c r="AZ51">
        <f t="shared" si="75"/>
        <v>3.988615338652127</v>
      </c>
      <c r="BA51">
        <f t="shared" si="76"/>
        <v>-5.9421448730427695</v>
      </c>
      <c r="BB51">
        <f t="shared" si="77"/>
        <v>-1.823764843742999</v>
      </c>
      <c r="BC51">
        <f t="shared" si="78"/>
        <v>1.1375048641643326</v>
      </c>
      <c r="BD51" s="123">
        <f t="shared" si="42"/>
        <v>-1.8237956233199852</v>
      </c>
      <c r="BE51" s="123">
        <f t="shared" si="43"/>
        <v>0.96230042474245225</v>
      </c>
      <c r="BF51">
        <f t="shared" si="44"/>
        <v>38.371848357161674</v>
      </c>
      <c r="BG51">
        <f t="shared" si="45"/>
        <v>-92.780402701089187</v>
      </c>
      <c r="BH51" s="123">
        <f t="shared" si="46"/>
        <v>36.548052733841686</v>
      </c>
      <c r="BI51" s="123">
        <f t="shared" si="47"/>
        <v>-91.818102276346735</v>
      </c>
      <c r="BL51" s="123">
        <f t="shared" si="48"/>
        <v>0</v>
      </c>
      <c r="BM51" s="123">
        <f t="shared" si="49"/>
        <v>0</v>
      </c>
      <c r="BN51" s="123">
        <f t="shared" si="50"/>
        <v>0</v>
      </c>
      <c r="BO51" s="123">
        <f t="shared" si="51"/>
        <v>0</v>
      </c>
      <c r="BP51" s="123">
        <f t="shared" si="52"/>
        <v>0</v>
      </c>
      <c r="BQ51" s="123">
        <f t="shared" si="53"/>
        <v>0</v>
      </c>
      <c r="BR51" s="123">
        <f t="shared" si="54"/>
        <v>0</v>
      </c>
      <c r="BS51" s="123"/>
      <c r="BT51" s="123">
        <f t="shared" si="55"/>
        <v>0</v>
      </c>
      <c r="BU51" s="123">
        <f t="shared" si="56"/>
        <v>0</v>
      </c>
      <c r="BV51" s="123">
        <f t="shared" si="57"/>
        <v>0</v>
      </c>
      <c r="BX51" s="123">
        <f t="shared" si="58"/>
        <v>0</v>
      </c>
      <c r="BY51" s="123"/>
    </row>
    <row r="52" spans="5:77" x14ac:dyDescent="0.25">
      <c r="E52">
        <v>41</v>
      </c>
      <c r="F52">
        <v>300</v>
      </c>
      <c r="G52" s="58">
        <f t="shared" si="59"/>
        <v>-4.4322525283689037E-5</v>
      </c>
      <c r="H52" s="58">
        <f t="shared" si="60"/>
        <v>-0.21024514366252556</v>
      </c>
      <c r="I52">
        <f t="shared" si="61"/>
        <v>16.193598875912876</v>
      </c>
      <c r="J52">
        <f t="shared" si="62"/>
        <v>-2.2575708231171308</v>
      </c>
      <c r="K52" t="str">
        <f t="shared" si="63"/>
        <v>37499.9250528726-53.0142590460169i</v>
      </c>
      <c r="L52" t="str">
        <f t="shared" si="64"/>
        <v>100000000-530516587.343826i</v>
      </c>
      <c r="M52" t="str">
        <f t="shared" si="65"/>
        <v>149992.2691387-40.9520734301575i</v>
      </c>
      <c r="N52">
        <f t="shared" si="20"/>
        <v>-13.979048247728885</v>
      </c>
      <c r="O52">
        <f t="shared" si="66"/>
        <v>-5.2284750934896977E-2</v>
      </c>
      <c r="P52" t="str">
        <f t="shared" si="67"/>
        <v>-118076.249130609i</v>
      </c>
      <c r="Q52" t="str">
        <f t="shared" si="68"/>
        <v>7350-68898.2580966009i</v>
      </c>
      <c r="R52" t="str">
        <f t="shared" si="21"/>
        <v>2926.69219297108-43624.9796630594i</v>
      </c>
      <c r="S52" t="str">
        <f t="shared" si="69"/>
        <v>87556301.8795051-33007941.3041086i</v>
      </c>
      <c r="T52" t="str">
        <f t="shared" si="22"/>
        <v>2944.66765767082-43615.2779896703i</v>
      </c>
      <c r="U52" t="str">
        <f t="shared" si="23"/>
        <v>0.999997750005062-0.00149999662500759i</v>
      </c>
      <c r="V52">
        <f t="shared" si="70"/>
        <v>32.812514242962656</v>
      </c>
      <c r="W52">
        <f t="shared" si="71"/>
        <v>-86.223521919566622</v>
      </c>
      <c r="X52">
        <f t="shared" si="24"/>
        <v>-9.7716148536074405E-6</v>
      </c>
      <c r="Y52">
        <f t="shared" si="72"/>
        <v>-8.5943622692021368E-2</v>
      </c>
      <c r="AA52" s="123">
        <f t="shared" si="25"/>
        <v>16.193554553387592</v>
      </c>
      <c r="AB52" s="123">
        <f t="shared" si="26"/>
        <v>-2.4678159667796562</v>
      </c>
      <c r="AC52">
        <f t="shared" si="27"/>
        <v>18.833465995233773</v>
      </c>
      <c r="AD52">
        <f t="shared" si="28"/>
        <v>-86.275806670501524</v>
      </c>
      <c r="AE52" s="123">
        <f t="shared" si="29"/>
        <v>35.027020548621365</v>
      </c>
      <c r="AF52" s="123">
        <f t="shared" si="30"/>
        <v>-88.743622637281177</v>
      </c>
      <c r="AI52" s="123">
        <f t="shared" si="31"/>
        <v>0</v>
      </c>
      <c r="AJ52" s="123">
        <f t="shared" si="32"/>
        <v>0</v>
      </c>
      <c r="AK52" s="123">
        <f t="shared" si="33"/>
        <v>0</v>
      </c>
      <c r="AL52" s="123">
        <f t="shared" si="34"/>
        <v>0</v>
      </c>
      <c r="AM52" s="123">
        <f t="shared" si="35"/>
        <v>0</v>
      </c>
      <c r="AN52" s="123">
        <f t="shared" si="36"/>
        <v>0</v>
      </c>
      <c r="AO52" s="123">
        <f t="shared" si="37"/>
        <v>0</v>
      </c>
      <c r="AP52" s="123"/>
      <c r="AQ52" s="123">
        <f t="shared" si="38"/>
        <v>0</v>
      </c>
      <c r="AR52" s="123">
        <f t="shared" si="39"/>
        <v>0</v>
      </c>
      <c r="AS52" s="123">
        <f t="shared" si="40"/>
        <v>0</v>
      </c>
      <c r="AW52" t="str">
        <f t="shared" si="73"/>
        <v>8000</v>
      </c>
      <c r="AX52" t="str">
        <f t="shared" si="74"/>
        <v>3952-63534.9206399792i</v>
      </c>
      <c r="AY52" t="str">
        <f t="shared" si="41"/>
        <v>7816.98257447551-972.891366000006i</v>
      </c>
      <c r="AZ52">
        <f t="shared" si="75"/>
        <v>3.9481391469931264</v>
      </c>
      <c r="BA52">
        <f t="shared" si="76"/>
        <v>-7.0944778405486559</v>
      </c>
      <c r="BB52">
        <f t="shared" si="77"/>
        <v>-1.8166570305737166</v>
      </c>
      <c r="BC52">
        <f t="shared" si="78"/>
        <v>1.3596467577548801</v>
      </c>
      <c r="BD52" s="123">
        <f t="shared" si="42"/>
        <v>-1.8167013530990004</v>
      </c>
      <c r="BE52" s="123">
        <f t="shared" si="43"/>
        <v>1.1494016140923544</v>
      </c>
      <c r="BF52">
        <f t="shared" si="44"/>
        <v>36.760653389955785</v>
      </c>
      <c r="BG52">
        <f t="shared" si="45"/>
        <v>-93.317999760115271</v>
      </c>
      <c r="BH52" s="123">
        <f t="shared" si="46"/>
        <v>34.943952036856786</v>
      </c>
      <c r="BI52" s="123">
        <f t="shared" si="47"/>
        <v>-92.168598146022916</v>
      </c>
      <c r="BL52" s="123">
        <f t="shared" si="48"/>
        <v>0</v>
      </c>
      <c r="BM52" s="123">
        <f t="shared" si="49"/>
        <v>0</v>
      </c>
      <c r="BN52" s="123">
        <f t="shared" si="50"/>
        <v>0</v>
      </c>
      <c r="BO52" s="123">
        <f t="shared" si="51"/>
        <v>0</v>
      </c>
      <c r="BP52" s="123">
        <f t="shared" si="52"/>
        <v>0</v>
      </c>
      <c r="BQ52" s="123">
        <f t="shared" si="53"/>
        <v>0</v>
      </c>
      <c r="BR52" s="123">
        <f t="shared" si="54"/>
        <v>0</v>
      </c>
      <c r="BS52" s="123"/>
      <c r="BT52" s="123">
        <f t="shared" si="55"/>
        <v>0</v>
      </c>
      <c r="BU52" s="123">
        <f t="shared" si="56"/>
        <v>0</v>
      </c>
      <c r="BV52" s="123">
        <f t="shared" si="57"/>
        <v>0</v>
      </c>
      <c r="BX52" s="123">
        <f t="shared" si="58"/>
        <v>0</v>
      </c>
      <c r="BY52" s="123"/>
    </row>
    <row r="53" spans="5:77" x14ac:dyDescent="0.25">
      <c r="E53">
        <v>42</v>
      </c>
      <c r="F53">
        <v>350</v>
      </c>
      <c r="G53" s="58">
        <f t="shared" si="59"/>
        <v>-6.0327776140916273E-5</v>
      </c>
      <c r="H53" s="58">
        <f t="shared" si="60"/>
        <v>-0.24528574773486486</v>
      </c>
      <c r="I53">
        <f t="shared" si="61"/>
        <v>16.183559690631959</v>
      </c>
      <c r="J53">
        <f t="shared" si="62"/>
        <v>-2.6273745900922498</v>
      </c>
      <c r="K53" t="str">
        <f t="shared" si="63"/>
        <v>37499.8979887057-61.8499242491202i</v>
      </c>
      <c r="L53" t="str">
        <f t="shared" si="64"/>
        <v>100000000-454728503.437566i</v>
      </c>
      <c r="M53" t="str">
        <f t="shared" si="65"/>
        <v>149989.606589041-47.1910155846339i</v>
      </c>
      <c r="N53">
        <f t="shared" si="20"/>
        <v>-13.978927158447849</v>
      </c>
      <c r="O53">
        <f t="shared" si="66"/>
        <v>-6.117758911646709E-2</v>
      </c>
      <c r="P53" t="str">
        <f t="shared" si="67"/>
        <v>-101208.213540522i</v>
      </c>
      <c r="Q53" t="str">
        <f t="shared" si="68"/>
        <v>7350-59055.6497970864i</v>
      </c>
      <c r="R53" t="str">
        <f t="shared" si="21"/>
        <v>2925.06246437056-37428.3753032636i</v>
      </c>
      <c r="S53" t="str">
        <f t="shared" si="69"/>
        <v>83791100.4704235-36853243.127271i</v>
      </c>
      <c r="T53" t="str">
        <f t="shared" si="22"/>
        <v>2938.01718087307-37420.0588528022i</v>
      </c>
      <c r="U53" t="str">
        <f t="shared" si="23"/>
        <v>0.999996937509379-0.00174999464064141i</v>
      </c>
      <c r="V53">
        <f t="shared" si="70"/>
        <v>31.488766041263059</v>
      </c>
      <c r="W53">
        <f t="shared" si="71"/>
        <v>-85.61094565668246</v>
      </c>
      <c r="X53">
        <f t="shared" si="24"/>
        <v>-1.3300248140581823E-5</v>
      </c>
      <c r="Y53">
        <f t="shared" si="72"/>
        <v>-0.10026753265162704</v>
      </c>
      <c r="AA53" s="123">
        <f t="shared" si="25"/>
        <v>16.183499362855819</v>
      </c>
      <c r="AB53" s="123">
        <f t="shared" si="26"/>
        <v>-2.8726603378271145</v>
      </c>
      <c r="AC53">
        <f t="shared" si="27"/>
        <v>17.50983888281521</v>
      </c>
      <c r="AD53">
        <f t="shared" si="28"/>
        <v>-85.672123245798929</v>
      </c>
      <c r="AE53" s="123">
        <f t="shared" si="29"/>
        <v>33.693338245671029</v>
      </c>
      <c r="AF53" s="123">
        <f t="shared" si="30"/>
        <v>-88.544783583626042</v>
      </c>
      <c r="AI53" s="123">
        <f t="shared" si="31"/>
        <v>0</v>
      </c>
      <c r="AJ53" s="123">
        <f t="shared" si="32"/>
        <v>0</v>
      </c>
      <c r="AK53" s="123">
        <f t="shared" si="33"/>
        <v>0</v>
      </c>
      <c r="AL53" s="123">
        <f t="shared" si="34"/>
        <v>0</v>
      </c>
      <c r="AM53" s="123">
        <f t="shared" si="35"/>
        <v>0</v>
      </c>
      <c r="AN53" s="123">
        <f t="shared" si="36"/>
        <v>0</v>
      </c>
      <c r="AO53" s="123">
        <f t="shared" si="37"/>
        <v>0</v>
      </c>
      <c r="AP53" s="123"/>
      <c r="AQ53" s="123">
        <f t="shared" si="38"/>
        <v>0</v>
      </c>
      <c r="AR53" s="123">
        <f t="shared" si="39"/>
        <v>0</v>
      </c>
      <c r="AS53" s="123">
        <f t="shared" si="40"/>
        <v>0</v>
      </c>
      <c r="AW53" t="str">
        <f t="shared" si="73"/>
        <v>8000</v>
      </c>
      <c r="AX53" t="str">
        <f t="shared" si="74"/>
        <v>3952-54458.5034056965i</v>
      </c>
      <c r="AY53" t="str">
        <f t="shared" si="41"/>
        <v>7753.93000296956-1121.20178809587i</v>
      </c>
      <c r="AZ53">
        <f t="shared" si="75"/>
        <v>3.9009058255201481</v>
      </c>
      <c r="BA53">
        <f t="shared" si="76"/>
        <v>-8.227821934198662</v>
      </c>
      <c r="BB53">
        <f t="shared" si="77"/>
        <v>-1.8083290130424314</v>
      </c>
      <c r="BC53">
        <f t="shared" si="78"/>
        <v>1.5789294162993612</v>
      </c>
      <c r="BD53" s="123">
        <f t="shared" si="42"/>
        <v>-1.8083893408185723</v>
      </c>
      <c r="BE53" s="123">
        <f t="shared" si="43"/>
        <v>1.3336436685644963</v>
      </c>
      <c r="BF53">
        <f t="shared" si="44"/>
        <v>35.389671866783203</v>
      </c>
      <c r="BG53">
        <f t="shared" si="45"/>
        <v>-93.838767590881119</v>
      </c>
      <c r="BH53" s="123">
        <f t="shared" si="46"/>
        <v>33.581282525964632</v>
      </c>
      <c r="BI53" s="123">
        <f t="shared" si="47"/>
        <v>-92.505123922316628</v>
      </c>
      <c r="BL53" s="123">
        <f t="shared" si="48"/>
        <v>0</v>
      </c>
      <c r="BM53" s="123">
        <f t="shared" si="49"/>
        <v>0</v>
      </c>
      <c r="BN53" s="123">
        <f t="shared" si="50"/>
        <v>0</v>
      </c>
      <c r="BO53" s="123">
        <f t="shared" si="51"/>
        <v>0</v>
      </c>
      <c r="BP53" s="123">
        <f t="shared" si="52"/>
        <v>0</v>
      </c>
      <c r="BQ53" s="123">
        <f t="shared" si="53"/>
        <v>0</v>
      </c>
      <c r="BR53" s="123">
        <f t="shared" si="54"/>
        <v>0</v>
      </c>
      <c r="BS53" s="123"/>
      <c r="BT53" s="123">
        <f t="shared" si="55"/>
        <v>0</v>
      </c>
      <c r="BU53" s="123">
        <f t="shared" si="56"/>
        <v>0</v>
      </c>
      <c r="BV53" s="123">
        <f t="shared" si="57"/>
        <v>0</v>
      </c>
      <c r="BX53" s="123">
        <f t="shared" si="58"/>
        <v>0</v>
      </c>
      <c r="BY53" s="123"/>
    </row>
    <row r="54" spans="5:77" x14ac:dyDescent="0.25">
      <c r="E54">
        <v>43</v>
      </c>
      <c r="F54">
        <v>400</v>
      </c>
      <c r="G54" s="58">
        <f t="shared" si="59"/>
        <v>-7.8795303729153489E-5</v>
      </c>
      <c r="H54" s="58">
        <f t="shared" si="60"/>
        <v>-0.2803262349450158</v>
      </c>
      <c r="I54">
        <f t="shared" si="61"/>
        <v>16.17203926915893</v>
      </c>
      <c r="J54">
        <f t="shared" si="62"/>
        <v>-2.9942458718472502</v>
      </c>
      <c r="K54" t="str">
        <f t="shared" si="63"/>
        <v>37499.8667608694-70.6855688502079i</v>
      </c>
      <c r="L54" t="str">
        <f t="shared" si="64"/>
        <v>100000000-397887440.50787i</v>
      </c>
      <c r="M54" t="str">
        <f t="shared" si="65"/>
        <v>149986.614496866-53.1794666202371i</v>
      </c>
      <c r="N54">
        <f t="shared" si="20"/>
        <v>-13.978791138135962</v>
      </c>
      <c r="O54">
        <f t="shared" si="66"/>
        <v>-7.0146773786730732E-2</v>
      </c>
      <c r="P54" t="str">
        <f t="shared" si="67"/>
        <v>-88557.1868479568i</v>
      </c>
      <c r="Q54" t="str">
        <f t="shared" si="68"/>
        <v>7350-51673.6935724506i</v>
      </c>
      <c r="R54" t="str">
        <f t="shared" si="21"/>
        <v>2923.18426220607-32785.6626683328i</v>
      </c>
      <c r="S54" t="str">
        <f t="shared" si="69"/>
        <v>79830008.8590708-40126930.7506537i</v>
      </c>
      <c r="T54" t="str">
        <f t="shared" si="22"/>
        <v>2932.8801744356-32778.3841914323i</v>
      </c>
      <c r="U54" t="str">
        <f t="shared" si="23"/>
        <v>0.999996000016-0.001999992000032i</v>
      </c>
      <c r="V54">
        <f t="shared" si="70"/>
        <v>30.346364463829158</v>
      </c>
      <c r="W54">
        <f t="shared" si="71"/>
        <v>-85.001625129262663</v>
      </c>
      <c r="X54">
        <f t="shared" si="24"/>
        <v>-1.7371744533178545E-5</v>
      </c>
      <c r="Y54">
        <f t="shared" si="72"/>
        <v>-0.11459143007785606</v>
      </c>
      <c r="AA54" s="123">
        <f t="shared" si="25"/>
        <v>16.171960473855201</v>
      </c>
      <c r="AB54" s="123">
        <f t="shared" si="26"/>
        <v>-3.2745721067922662</v>
      </c>
      <c r="AC54">
        <f t="shared" si="27"/>
        <v>16.367573325693193</v>
      </c>
      <c r="AD54">
        <f t="shared" si="28"/>
        <v>-85.071771903049395</v>
      </c>
      <c r="AE54" s="123">
        <f t="shared" si="29"/>
        <v>32.539533799548394</v>
      </c>
      <c r="AF54" s="123">
        <f t="shared" si="30"/>
        <v>-88.346344009841658</v>
      </c>
      <c r="AI54" s="123">
        <f t="shared" si="31"/>
        <v>0</v>
      </c>
      <c r="AJ54" s="123">
        <f t="shared" si="32"/>
        <v>0</v>
      </c>
      <c r="AK54" s="123">
        <f t="shared" si="33"/>
        <v>0</v>
      </c>
      <c r="AL54" s="123">
        <f t="shared" si="34"/>
        <v>0</v>
      </c>
      <c r="AM54" s="123">
        <f t="shared" si="35"/>
        <v>0</v>
      </c>
      <c r="AN54" s="123">
        <f t="shared" si="36"/>
        <v>0</v>
      </c>
      <c r="AO54" s="123">
        <f t="shared" si="37"/>
        <v>0</v>
      </c>
      <c r="AP54" s="123"/>
      <c r="AQ54" s="123">
        <f t="shared" si="38"/>
        <v>0</v>
      </c>
      <c r="AR54" s="123">
        <f t="shared" si="39"/>
        <v>0</v>
      </c>
      <c r="AS54" s="123">
        <f t="shared" si="40"/>
        <v>0</v>
      </c>
      <c r="AW54" t="str">
        <f t="shared" si="73"/>
        <v>8000</v>
      </c>
      <c r="AX54" t="str">
        <f t="shared" si="74"/>
        <v>3952-47651.1904799844i</v>
      </c>
      <c r="AY54" t="str">
        <f t="shared" si="41"/>
        <v>7683.06096733973-1263.59790962486i</v>
      </c>
      <c r="AZ54">
        <f t="shared" si="75"/>
        <v>3.8471966228464618</v>
      </c>
      <c r="BA54">
        <f t="shared" si="76"/>
        <v>-9.3395675235976316</v>
      </c>
      <c r="BB54">
        <f t="shared" si="77"/>
        <v>-1.7988154876425089</v>
      </c>
      <c r="BC54">
        <f t="shared" si="78"/>
        <v>1.7949281571067515</v>
      </c>
      <c r="BD54" s="123">
        <f t="shared" si="42"/>
        <v>-1.798894282946238</v>
      </c>
      <c r="BE54" s="123">
        <f t="shared" si="43"/>
        <v>1.5146019221617357</v>
      </c>
      <c r="BF54">
        <f t="shared" si="44"/>
        <v>34.193561086675622</v>
      </c>
      <c r="BG54">
        <f t="shared" si="45"/>
        <v>-94.3411926528603</v>
      </c>
      <c r="BH54" s="123">
        <f t="shared" si="46"/>
        <v>32.394666803729386</v>
      </c>
      <c r="BI54" s="123">
        <f t="shared" si="47"/>
        <v>-92.82659073069857</v>
      </c>
      <c r="BL54" s="123">
        <f t="shared" si="48"/>
        <v>0</v>
      </c>
      <c r="BM54" s="123">
        <f t="shared" si="49"/>
        <v>0</v>
      </c>
      <c r="BN54" s="123">
        <f t="shared" si="50"/>
        <v>0</v>
      </c>
      <c r="BO54" s="123">
        <f t="shared" si="51"/>
        <v>0</v>
      </c>
      <c r="BP54" s="123">
        <f t="shared" si="52"/>
        <v>0</v>
      </c>
      <c r="BQ54" s="123">
        <f t="shared" si="53"/>
        <v>0</v>
      </c>
      <c r="BR54" s="123">
        <f t="shared" si="54"/>
        <v>0</v>
      </c>
      <c r="BS54" s="123"/>
      <c r="BT54" s="123">
        <f t="shared" si="55"/>
        <v>0</v>
      </c>
      <c r="BU54" s="123">
        <f t="shared" si="56"/>
        <v>0</v>
      </c>
      <c r="BV54" s="123">
        <f t="shared" si="57"/>
        <v>0</v>
      </c>
      <c r="BX54" s="123">
        <f t="shared" si="58"/>
        <v>0</v>
      </c>
      <c r="BY54" s="123"/>
    </row>
    <row r="55" spans="5:77" x14ac:dyDescent="0.25">
      <c r="E55">
        <v>44</v>
      </c>
      <c r="F55">
        <v>450</v>
      </c>
      <c r="G55" s="58">
        <f t="shared" si="59"/>
        <v>-9.9725078231333343E-5</v>
      </c>
      <c r="H55" s="58">
        <f t="shared" si="60"/>
        <v>-0.31536658859948202</v>
      </c>
      <c r="I55">
        <f t="shared" si="61"/>
        <v>16.159063955161344</v>
      </c>
      <c r="J55">
        <f t="shared" si="62"/>
        <v>-3.3577994584147519</v>
      </c>
      <c r="K55" t="str">
        <f t="shared" si="63"/>
        <v>37499.8313693845-79.5211899062002i</v>
      </c>
      <c r="L55" t="str">
        <f t="shared" si="64"/>
        <v>100000000-353677724.895884i</v>
      </c>
      <c r="M55" t="str">
        <f t="shared" si="65"/>
        <v>149983.322904863-58.894828415333i</v>
      </c>
      <c r="N55">
        <f t="shared" si="20"/>
        <v>-13.978641574372491</v>
      </c>
      <c r="O55">
        <f t="shared" si="66"/>
        <v>-7.9199196755882051E-2</v>
      </c>
      <c r="P55" t="str">
        <f t="shared" si="67"/>
        <v>-78717.499420406i</v>
      </c>
      <c r="Q55" t="str">
        <f t="shared" si="68"/>
        <v>7350-45932.1720644006i</v>
      </c>
      <c r="R55" t="str">
        <f t="shared" si="21"/>
        <v>2921.05854682084-29178.8615633848i</v>
      </c>
      <c r="S55" t="str">
        <f t="shared" si="69"/>
        <v>75770488.3379985-42847192.7997749i</v>
      </c>
      <c r="T55" t="str">
        <f t="shared" si="22"/>
        <v>2928.52008582666-29172.3897674157i</v>
      </c>
      <c r="U55" t="str">
        <f t="shared" si="23"/>
        <v>0.999994937525629-0.00224998860943266i</v>
      </c>
      <c r="V55">
        <f t="shared" si="70"/>
        <v>29.342965093348617</v>
      </c>
      <c r="W55">
        <f t="shared" si="71"/>
        <v>-84.396403355310056</v>
      </c>
      <c r="X55">
        <f t="shared" si="24"/>
        <v>-2.1986102492940332E-5</v>
      </c>
      <c r="Y55">
        <f t="shared" si="72"/>
        <v>-0.12891531318025223</v>
      </c>
      <c r="AA55" s="123">
        <f t="shared" si="25"/>
        <v>16.158964230083111</v>
      </c>
      <c r="AB55" s="123">
        <f t="shared" si="26"/>
        <v>-3.673166047014234</v>
      </c>
      <c r="AC55">
        <f t="shared" si="27"/>
        <v>15.364323518976127</v>
      </c>
      <c r="AD55">
        <f t="shared" si="28"/>
        <v>-84.475602552065936</v>
      </c>
      <c r="AE55" s="123">
        <f t="shared" si="29"/>
        <v>31.523287749059236</v>
      </c>
      <c r="AF55" s="123">
        <f t="shared" si="30"/>
        <v>-88.148768599080171</v>
      </c>
      <c r="AI55" s="123">
        <f t="shared" si="31"/>
        <v>0</v>
      </c>
      <c r="AJ55" s="123">
        <f t="shared" si="32"/>
        <v>0</v>
      </c>
      <c r="AK55" s="123">
        <f t="shared" si="33"/>
        <v>0</v>
      </c>
      <c r="AL55" s="123">
        <f t="shared" si="34"/>
        <v>0</v>
      </c>
      <c r="AM55" s="123">
        <f t="shared" si="35"/>
        <v>0</v>
      </c>
      <c r="AN55" s="123">
        <f t="shared" si="36"/>
        <v>0</v>
      </c>
      <c r="AO55" s="123">
        <f t="shared" si="37"/>
        <v>0</v>
      </c>
      <c r="AP55" s="123"/>
      <c r="AQ55" s="123">
        <f t="shared" si="38"/>
        <v>0</v>
      </c>
      <c r="AR55" s="123">
        <f t="shared" si="39"/>
        <v>0</v>
      </c>
      <c r="AS55" s="123">
        <f t="shared" si="40"/>
        <v>0</v>
      </c>
      <c r="AW55" t="str">
        <f t="shared" si="73"/>
        <v>8000</v>
      </c>
      <c r="AX55" t="str">
        <f t="shared" si="74"/>
        <v>3952-42356.6137599861i</v>
      </c>
      <c r="AY55" t="str">
        <f t="shared" si="41"/>
        <v>7605.08288780058-1399.54414228915i</v>
      </c>
      <c r="AZ55">
        <f t="shared" si="75"/>
        <v>3.7873219380986418</v>
      </c>
      <c r="BA55">
        <f t="shared" si="76"/>
        <v>-10.427332910577363</v>
      </c>
      <c r="BB55">
        <f t="shared" si="77"/>
        <v>-1.7881554794365382</v>
      </c>
      <c r="BC55">
        <f t="shared" si="78"/>
        <v>2.0072407793073936</v>
      </c>
      <c r="BD55" s="123">
        <f t="shared" si="42"/>
        <v>-1.7882552045147695</v>
      </c>
      <c r="BE55" s="123">
        <f t="shared" si="43"/>
        <v>1.6918741907079116</v>
      </c>
      <c r="BF55">
        <f t="shared" si="44"/>
        <v>33.13028703144726</v>
      </c>
      <c r="BG55">
        <f t="shared" si="45"/>
        <v>-94.823736265887419</v>
      </c>
      <c r="BH55" s="123">
        <f t="shared" si="46"/>
        <v>31.342031826932491</v>
      </c>
      <c r="BI55" s="123">
        <f t="shared" si="47"/>
        <v>-93.131862075179512</v>
      </c>
      <c r="BL55" s="123">
        <f t="shared" si="48"/>
        <v>0</v>
      </c>
      <c r="BM55" s="123">
        <f t="shared" si="49"/>
        <v>0</v>
      </c>
      <c r="BN55" s="123">
        <f t="shared" si="50"/>
        <v>0</v>
      </c>
      <c r="BO55" s="123">
        <f t="shared" si="51"/>
        <v>0</v>
      </c>
      <c r="BP55" s="123">
        <f t="shared" si="52"/>
        <v>0</v>
      </c>
      <c r="BQ55" s="123">
        <f t="shared" si="53"/>
        <v>0</v>
      </c>
      <c r="BR55" s="123">
        <f t="shared" si="54"/>
        <v>0</v>
      </c>
      <c r="BS55" s="123"/>
      <c r="BT55" s="123">
        <f t="shared" si="55"/>
        <v>0</v>
      </c>
      <c r="BU55" s="123">
        <f t="shared" si="56"/>
        <v>0</v>
      </c>
      <c r="BV55" s="123">
        <f t="shared" si="57"/>
        <v>0</v>
      </c>
      <c r="BX55" s="123">
        <f t="shared" si="58"/>
        <v>0</v>
      </c>
      <c r="BY55" s="123"/>
    </row>
    <row r="56" spans="5:77" x14ac:dyDescent="0.25">
      <c r="E56">
        <v>45</v>
      </c>
      <c r="F56">
        <v>500</v>
      </c>
      <c r="G56" s="58">
        <f t="shared" si="59"/>
        <v>-1.231170658747088E-4</v>
      </c>
      <c r="H56" s="58">
        <f t="shared" si="60"/>
        <v>-0.35040679200520708</v>
      </c>
      <c r="I56">
        <f t="shared" si="61"/>
        <v>16.14466310992756</v>
      </c>
      <c r="J56">
        <f t="shared" si="62"/>
        <v>-3.7176630122715588</v>
      </c>
      <c r="K56" t="str">
        <f t="shared" si="63"/>
        <v>37499.7918142746-88.3567844740428i</v>
      </c>
      <c r="L56" t="str">
        <f t="shared" si="64"/>
        <v>100000000-318309952.406296i</v>
      </c>
      <c r="M56" t="str">
        <f t="shared" si="65"/>
        <v>149979.763361126-64.3187574313334i</v>
      </c>
      <c r="N56">
        <f t="shared" si="20"/>
        <v>-13.978479924394891</v>
      </c>
      <c r="O56">
        <f t="shared" si="66"/>
        <v>-8.8340454105543795E-2</v>
      </c>
      <c r="P56" t="str">
        <f t="shared" si="67"/>
        <v>-70845.7494783654i</v>
      </c>
      <c r="Q56" t="str">
        <f t="shared" si="68"/>
        <v>7350-41338.9548579605i</v>
      </c>
      <c r="R56" t="str">
        <f t="shared" si="21"/>
        <v>2918.68640287942-26297.181973946i</v>
      </c>
      <c r="S56" t="str">
        <f t="shared" si="69"/>
        <v>71695688.4761569-45047720.2702373i</v>
      </c>
      <c r="T56" t="str">
        <f t="shared" si="22"/>
        <v>2924.54955871661-26291.3550484312i</v>
      </c>
      <c r="U56" t="str">
        <f t="shared" si="23"/>
        <v>0.999993750039062-0.00249998437509766i</v>
      </c>
      <c r="V56">
        <f t="shared" si="70"/>
        <v>28.449639878326288</v>
      </c>
      <c r="W56">
        <f t="shared" si="71"/>
        <v>-83.795987144977929</v>
      </c>
      <c r="X56">
        <f t="shared" si="24"/>
        <v>-2.7143320298713954E-5</v>
      </c>
      <c r="Y56">
        <f t="shared" si="72"/>
        <v>-0.14323918016837212</v>
      </c>
      <c r="AA56" s="123">
        <f t="shared" si="25"/>
        <v>16.144539992861684</v>
      </c>
      <c r="AB56" s="123">
        <f t="shared" si="26"/>
        <v>-4.0680698042767656</v>
      </c>
      <c r="AC56">
        <f t="shared" si="27"/>
        <v>14.471159953931396</v>
      </c>
      <c r="AD56">
        <f t="shared" si="28"/>
        <v>-83.884327599083477</v>
      </c>
      <c r="AE56" s="123">
        <f t="shared" si="29"/>
        <v>30.615699946793079</v>
      </c>
      <c r="AF56" s="123">
        <f t="shared" si="30"/>
        <v>-87.952397403360237</v>
      </c>
      <c r="AI56" s="123">
        <f t="shared" si="31"/>
        <v>0</v>
      </c>
      <c r="AJ56" s="123">
        <f t="shared" si="32"/>
        <v>0</v>
      </c>
      <c r="AK56" s="123">
        <f t="shared" si="33"/>
        <v>0</v>
      </c>
      <c r="AL56" s="123">
        <f t="shared" si="34"/>
        <v>0</v>
      </c>
      <c r="AM56" s="123">
        <f t="shared" si="35"/>
        <v>0</v>
      </c>
      <c r="AN56" s="123">
        <f t="shared" si="36"/>
        <v>0</v>
      </c>
      <c r="AO56" s="123">
        <f t="shared" si="37"/>
        <v>0</v>
      </c>
      <c r="AP56" s="123"/>
      <c r="AQ56" s="123">
        <f t="shared" si="38"/>
        <v>0</v>
      </c>
      <c r="AR56" s="123">
        <f t="shared" si="39"/>
        <v>0</v>
      </c>
      <c r="AS56" s="123">
        <f t="shared" si="40"/>
        <v>0</v>
      </c>
      <c r="AW56" t="str">
        <f t="shared" si="73"/>
        <v>8000</v>
      </c>
      <c r="AX56" t="str">
        <f t="shared" si="74"/>
        <v>3952-38120.9523839875i</v>
      </c>
      <c r="AY56" t="str">
        <f t="shared" si="41"/>
        <v>7520.73901546457-1528.6048503161i</v>
      </c>
      <c r="AZ56">
        <f t="shared" si="75"/>
        <v>3.7216163126264261</v>
      </c>
      <c r="BA56">
        <f t="shared" si="76"/>
        <v>-11.488978905425585</v>
      </c>
      <c r="BB56">
        <f t="shared" si="77"/>
        <v>-1.7763919491638169</v>
      </c>
      <c r="BC56">
        <f t="shared" si="78"/>
        <v>2.2154897977011481</v>
      </c>
      <c r="BD56" s="123">
        <f t="shared" si="42"/>
        <v>-1.7765150662296916</v>
      </c>
      <c r="BE56" s="123">
        <f t="shared" si="43"/>
        <v>1.8650830056959409</v>
      </c>
      <c r="BF56">
        <f t="shared" si="44"/>
        <v>32.171256190952711</v>
      </c>
      <c r="BG56">
        <f t="shared" si="45"/>
        <v>-95.284966050403511</v>
      </c>
      <c r="BH56" s="123">
        <f t="shared" si="46"/>
        <v>30.394741124723019</v>
      </c>
      <c r="BI56" s="123">
        <f t="shared" si="47"/>
        <v>-93.419883044707575</v>
      </c>
      <c r="BL56" s="123">
        <f t="shared" si="48"/>
        <v>0</v>
      </c>
      <c r="BM56" s="123">
        <f t="shared" si="49"/>
        <v>0</v>
      </c>
      <c r="BN56" s="123">
        <f t="shared" si="50"/>
        <v>0</v>
      </c>
      <c r="BO56" s="123">
        <f t="shared" si="51"/>
        <v>0</v>
      </c>
      <c r="BP56" s="123">
        <f t="shared" si="52"/>
        <v>0</v>
      </c>
      <c r="BQ56" s="123">
        <f t="shared" si="53"/>
        <v>0</v>
      </c>
      <c r="BR56" s="123">
        <f t="shared" si="54"/>
        <v>0</v>
      </c>
      <c r="BS56" s="123"/>
      <c r="BT56" s="123">
        <f t="shared" si="55"/>
        <v>0</v>
      </c>
      <c r="BU56" s="123">
        <f t="shared" si="56"/>
        <v>0</v>
      </c>
      <c r="BV56" s="123">
        <f t="shared" si="57"/>
        <v>0</v>
      </c>
      <c r="BX56" s="123">
        <f t="shared" si="58"/>
        <v>0</v>
      </c>
      <c r="BY56" s="123"/>
    </row>
    <row r="57" spans="5:77" x14ac:dyDescent="0.25">
      <c r="E57">
        <v>46</v>
      </c>
      <c r="F57">
        <v>550</v>
      </c>
      <c r="G57" s="58">
        <f t="shared" si="59"/>
        <v>-1.4897122890078981E-4</v>
      </c>
      <c r="H57" s="58">
        <f t="shared" si="60"/>
        <v>-0.38544682846963052</v>
      </c>
      <c r="I57">
        <f t="shared" si="61"/>
        <v>16.128868939652897</v>
      </c>
      <c r="J57">
        <f t="shared" si="62"/>
        <v>-4.0734783101907492</v>
      </c>
      <c r="K57" t="str">
        <f t="shared" si="63"/>
        <v>37499.7480955659-97.1923496107119i</v>
      </c>
      <c r="L57" t="str">
        <f t="shared" si="64"/>
        <v>100000000-289372684.005724i</v>
      </c>
      <c r="M57" t="str">
        <f t="shared" si="65"/>
        <v>149975.968248237-69.4371693373072i</v>
      </c>
      <c r="N57">
        <f t="shared" si="20"/>
        <v>-13.978307684132652</v>
      </c>
      <c r="O57">
        <f t="shared" si="66"/>
        <v>-9.7574844599228258E-2</v>
      </c>
      <c r="P57" t="str">
        <f t="shared" si="67"/>
        <v>-64405.226798514i</v>
      </c>
      <c r="Q57" t="str">
        <f t="shared" si="68"/>
        <v>7350-37580.8680526914i</v>
      </c>
      <c r="R57" t="str">
        <f t="shared" si="21"/>
        <v>2916.06903799003-23942.8467303354i</v>
      </c>
      <c r="S57" t="str">
        <f t="shared" si="69"/>
        <v>67673254.248958-46772385.9157483i</v>
      </c>
      <c r="T57" t="str">
        <f t="shared" si="22"/>
        <v>2920.74942112719-23937.5470401432i</v>
      </c>
      <c r="U57" t="str">
        <f t="shared" si="23"/>
        <v>0.999992437557191-0.00274997920328228i</v>
      </c>
      <c r="V57">
        <f t="shared" si="70"/>
        <v>27.645740191887857</v>
      </c>
      <c r="W57">
        <f t="shared" si="71"/>
        <v>-83.200999378186168</v>
      </c>
      <c r="X57">
        <f t="shared" si="24"/>
        <v>-3.2843396005182155E-5</v>
      </c>
      <c r="Y57">
        <f t="shared" si="72"/>
        <v>-0.15756302925178148</v>
      </c>
      <c r="AA57" s="123">
        <f t="shared" si="25"/>
        <v>16.128719968423997</v>
      </c>
      <c r="AB57" s="123">
        <f t="shared" si="26"/>
        <v>-4.4589251386603799</v>
      </c>
      <c r="AC57">
        <f t="shared" si="27"/>
        <v>13.667432507755205</v>
      </c>
      <c r="AD57">
        <f t="shared" si="28"/>
        <v>-83.29857422278539</v>
      </c>
      <c r="AE57" s="123">
        <f t="shared" si="29"/>
        <v>29.796152476179202</v>
      </c>
      <c r="AF57" s="123">
        <f t="shared" si="30"/>
        <v>-87.757499361445767</v>
      </c>
      <c r="AI57" s="123">
        <f t="shared" si="31"/>
        <v>0</v>
      </c>
      <c r="AJ57" s="123">
        <f t="shared" si="32"/>
        <v>0</v>
      </c>
      <c r="AK57" s="123">
        <f t="shared" si="33"/>
        <v>0</v>
      </c>
      <c r="AL57" s="123">
        <f t="shared" si="34"/>
        <v>0</v>
      </c>
      <c r="AM57" s="123">
        <f t="shared" si="35"/>
        <v>0</v>
      </c>
      <c r="AN57" s="123">
        <f t="shared" si="36"/>
        <v>0</v>
      </c>
      <c r="AO57" s="123">
        <f t="shared" si="37"/>
        <v>0</v>
      </c>
      <c r="AP57" s="123"/>
      <c r="AQ57" s="123">
        <f t="shared" si="38"/>
        <v>0</v>
      </c>
      <c r="AR57" s="123">
        <f t="shared" si="39"/>
        <v>0</v>
      </c>
      <c r="AS57" s="123">
        <f t="shared" si="40"/>
        <v>0</v>
      </c>
      <c r="AW57" t="str">
        <f t="shared" si="73"/>
        <v>8000</v>
      </c>
      <c r="AX57" t="str">
        <f t="shared" si="74"/>
        <v>3952-34655.4112581705i</v>
      </c>
      <c r="AY57" t="str">
        <f t="shared" si="41"/>
        <v>7430.79269769466-1650.44454087561i</v>
      </c>
      <c r="AZ57">
        <f t="shared" si="75"/>
        <v>3.6504333405362299</v>
      </c>
      <c r="BA57">
        <f t="shared" si="76"/>
        <v>-12.522618042335687</v>
      </c>
      <c r="BB57">
        <f t="shared" si="77"/>
        <v>-1.7635713723084665</v>
      </c>
      <c r="BC57">
        <f t="shared" si="78"/>
        <v>2.4193243374334394</v>
      </c>
      <c r="BD57" s="123">
        <f t="shared" si="42"/>
        <v>-1.7637203435373674</v>
      </c>
      <c r="BE57" s="123">
        <f t="shared" si="43"/>
        <v>2.0338775089638088</v>
      </c>
      <c r="BF57">
        <f t="shared" si="44"/>
        <v>31.296173532424085</v>
      </c>
      <c r="BG57">
        <f t="shared" si="45"/>
        <v>-95.723617420521862</v>
      </c>
      <c r="BH57" s="123">
        <f t="shared" si="46"/>
        <v>29.532453188886716</v>
      </c>
      <c r="BI57" s="123">
        <f t="shared" si="47"/>
        <v>-93.68973991155805</v>
      </c>
      <c r="BL57" s="123">
        <f t="shared" si="48"/>
        <v>0</v>
      </c>
      <c r="BM57" s="123">
        <f t="shared" si="49"/>
        <v>0</v>
      </c>
      <c r="BN57" s="123">
        <f t="shared" si="50"/>
        <v>0</v>
      </c>
      <c r="BO57" s="123">
        <f t="shared" si="51"/>
        <v>0</v>
      </c>
      <c r="BP57" s="123">
        <f t="shared" si="52"/>
        <v>0</v>
      </c>
      <c r="BQ57" s="123">
        <f t="shared" si="53"/>
        <v>0</v>
      </c>
      <c r="BR57" s="123">
        <f t="shared" si="54"/>
        <v>0</v>
      </c>
      <c r="BS57" s="123"/>
      <c r="BT57" s="123">
        <f t="shared" si="55"/>
        <v>0</v>
      </c>
      <c r="BU57" s="123">
        <f t="shared" si="56"/>
        <v>0</v>
      </c>
      <c r="BV57" s="123">
        <f t="shared" si="57"/>
        <v>0</v>
      </c>
      <c r="BX57" s="123">
        <f t="shared" si="58"/>
        <v>0</v>
      </c>
      <c r="BY57" s="123"/>
    </row>
    <row r="58" spans="5:77" x14ac:dyDescent="0.25">
      <c r="E58">
        <v>47</v>
      </c>
      <c r="F58">
        <v>600</v>
      </c>
      <c r="G58" s="58">
        <f t="shared" si="59"/>
        <v>-1.7728752556419013E-4</v>
      </c>
      <c r="H58" s="58">
        <f t="shared" si="60"/>
        <v>-0.42048668130074068</v>
      </c>
      <c r="I58">
        <f t="shared" si="61"/>
        <v>16.11171630951257</v>
      </c>
      <c r="J58">
        <f t="shared" si="62"/>
        <v>-4.4249023685658022</v>
      </c>
      <c r="K58" t="str">
        <f t="shared" si="63"/>
        <v>37499.7002132877-106.027882373216i</v>
      </c>
      <c r="L58" t="str">
        <f t="shared" si="64"/>
        <v>100000000-265258293.671913i</v>
      </c>
      <c r="M58" t="str">
        <f t="shared" si="65"/>
        <v>149971.970153444-74.2401324944029i</v>
      </c>
      <c r="N58">
        <f t="shared" si="20"/>
        <v>-13.978126359130904</v>
      </c>
      <c r="O58">
        <f t="shared" si="66"/>
        <v>-0.10690540192662076</v>
      </c>
      <c r="P58" t="str">
        <f t="shared" si="67"/>
        <v>-59038.1245653045i</v>
      </c>
      <c r="Q58" t="str">
        <f t="shared" si="68"/>
        <v>7350-34449.1290483004i</v>
      </c>
      <c r="R58" t="str">
        <f t="shared" si="21"/>
        <v>2913.20778117596-21984.0028417774i</v>
      </c>
      <c r="S58" t="str">
        <f t="shared" si="69"/>
        <v>63755628.1675281-48070601.1374593i</v>
      </c>
      <c r="T58" t="str">
        <f t="shared" si="22"/>
        <v>2916.9884185016-21979.1421822945i</v>
      </c>
      <c r="U58" t="str">
        <f t="shared" si="23"/>
        <v>0.999991000080999-0.002999973000243i</v>
      </c>
      <c r="V58">
        <f t="shared" si="70"/>
        <v>26.916004674025594</v>
      </c>
      <c r="W58">
        <f t="shared" si="71"/>
        <v>-82.612004470856789</v>
      </c>
      <c r="X58">
        <f t="shared" si="24"/>
        <v>-3.9086327486256407E-5</v>
      </c>
      <c r="Y58">
        <f t="shared" si="72"/>
        <v>-0.17188685864006162</v>
      </c>
      <c r="AA58" s="123">
        <f t="shared" si="25"/>
        <v>16.111539021987006</v>
      </c>
      <c r="AB58" s="123">
        <f t="shared" si="26"/>
        <v>-4.8453890498665428</v>
      </c>
      <c r="AC58">
        <f t="shared" si="27"/>
        <v>12.937878314894689</v>
      </c>
      <c r="AD58">
        <f t="shared" si="28"/>
        <v>-82.718909872783414</v>
      </c>
      <c r="AE58" s="123">
        <f t="shared" si="29"/>
        <v>29.049417336881696</v>
      </c>
      <c r="AF58" s="123">
        <f t="shared" si="30"/>
        <v>-87.564298922649954</v>
      </c>
      <c r="AI58" s="123">
        <f t="shared" si="31"/>
        <v>0</v>
      </c>
      <c r="AJ58" s="123">
        <f t="shared" si="32"/>
        <v>0</v>
      </c>
      <c r="AK58" s="123">
        <f t="shared" si="33"/>
        <v>0</v>
      </c>
      <c r="AL58" s="123">
        <f t="shared" si="34"/>
        <v>0</v>
      </c>
      <c r="AM58" s="123">
        <f t="shared" si="35"/>
        <v>0</v>
      </c>
      <c r="AN58" s="123">
        <f t="shared" si="36"/>
        <v>0</v>
      </c>
      <c r="AO58" s="123">
        <f t="shared" si="37"/>
        <v>0</v>
      </c>
      <c r="AP58" s="123"/>
      <c r="AQ58" s="123">
        <f t="shared" si="38"/>
        <v>0</v>
      </c>
      <c r="AR58" s="123">
        <f t="shared" si="39"/>
        <v>0</v>
      </c>
      <c r="AS58" s="123">
        <f t="shared" si="40"/>
        <v>0</v>
      </c>
      <c r="AW58" t="str">
        <f t="shared" si="73"/>
        <v>8000</v>
      </c>
      <c r="AX58" t="str">
        <f t="shared" si="74"/>
        <v>3952-31767.4603199896i</v>
      </c>
      <c r="AY58" t="str">
        <f t="shared" si="41"/>
        <v>7336.01258762329-1764.82544976991i</v>
      </c>
      <c r="AZ58">
        <f t="shared" si="75"/>
        <v>3.5741406382838505</v>
      </c>
      <c r="BA58">
        <f t="shared" si="76"/>
        <v>-13.526618665773297</v>
      </c>
      <c r="BB58">
        <f t="shared" si="77"/>
        <v>-1.7497432975632288</v>
      </c>
      <c r="BC58">
        <f t="shared" si="78"/>
        <v>2.6184216760692793</v>
      </c>
      <c r="BD58" s="123">
        <f t="shared" si="42"/>
        <v>-1.7499205850887929</v>
      </c>
      <c r="BE58" s="123">
        <f t="shared" si="43"/>
        <v>2.1979349947685387</v>
      </c>
      <c r="BF58">
        <f t="shared" si="44"/>
        <v>30.490145312309444</v>
      </c>
      <c r="BG58">
        <f t="shared" si="45"/>
        <v>-96.138623136630088</v>
      </c>
      <c r="BH58" s="123">
        <f t="shared" si="46"/>
        <v>28.740224727220649</v>
      </c>
      <c r="BI58" s="123">
        <f t="shared" si="47"/>
        <v>-93.940688141861543</v>
      </c>
      <c r="BL58" s="123">
        <f t="shared" si="48"/>
        <v>0</v>
      </c>
      <c r="BM58" s="123">
        <f t="shared" si="49"/>
        <v>0</v>
      </c>
      <c r="BN58" s="123">
        <f t="shared" si="50"/>
        <v>0</v>
      </c>
      <c r="BO58" s="123">
        <f t="shared" si="51"/>
        <v>0</v>
      </c>
      <c r="BP58" s="123">
        <f t="shared" si="52"/>
        <v>0</v>
      </c>
      <c r="BQ58" s="123">
        <f t="shared" si="53"/>
        <v>0</v>
      </c>
      <c r="BR58" s="123">
        <f t="shared" si="54"/>
        <v>0</v>
      </c>
      <c r="BS58" s="123"/>
      <c r="BT58" s="123">
        <f t="shared" si="55"/>
        <v>0</v>
      </c>
      <c r="BU58" s="123">
        <f t="shared" si="56"/>
        <v>0</v>
      </c>
      <c r="BV58" s="123">
        <f t="shared" si="57"/>
        <v>0</v>
      </c>
      <c r="BX58" s="123">
        <f t="shared" si="58"/>
        <v>0</v>
      </c>
      <c r="BY58" s="123"/>
    </row>
    <row r="59" spans="5:77" x14ac:dyDescent="0.25">
      <c r="E59">
        <v>48</v>
      </c>
      <c r="F59">
        <v>650</v>
      </c>
      <c r="G59" s="58">
        <f t="shared" si="59"/>
        <v>-2.0806591017484997E-4</v>
      </c>
      <c r="H59" s="58">
        <f t="shared" si="60"/>
        <v>-0.45552633380713503</v>
      </c>
      <c r="I59">
        <f t="shared" si="61"/>
        <v>16.093242546554222</v>
      </c>
      <c r="J59">
        <f t="shared" si="62"/>
        <v>-4.7716084459212595</v>
      </c>
      <c r="K59" t="str">
        <f t="shared" si="63"/>
        <v>37499.6481674718-114.863379818601i</v>
      </c>
      <c r="L59" t="str">
        <f t="shared" si="64"/>
        <v>100000000-244853809.543305i</v>
      </c>
      <c r="M59" t="str">
        <f t="shared" si="65"/>
        <v>149967.801297731-78.7216666292765i</v>
      </c>
      <c r="N59">
        <f t="shared" si="20"/>
        <v>-13.977937438186029</v>
      </c>
      <c r="O59">
        <f t="shared" si="66"/>
        <v>-0.11633395582225177</v>
      </c>
      <c r="P59" t="str">
        <f t="shared" si="67"/>
        <v>-54496.7303679734i</v>
      </c>
      <c r="Q59" t="str">
        <f t="shared" si="68"/>
        <v>7350-31799.196044585i</v>
      </c>
      <c r="R59" t="str">
        <f t="shared" si="21"/>
        <v>2910.10408119959-20329.3660626557i</v>
      </c>
      <c r="S59" t="str">
        <f t="shared" si="69"/>
        <v>59981346.5243983-48993598.7814723i</v>
      </c>
      <c r="T59" t="str">
        <f t="shared" si="22"/>
        <v>2913.18435473311-20324.8765938671i</v>
      </c>
      <c r="U59" t="str">
        <f t="shared" si="23"/>
        <v>0.999989437611565-0.00324996567223759i</v>
      </c>
      <c r="V59">
        <f t="shared" si="70"/>
        <v>26.24882882578985</v>
      </c>
      <c r="W59">
        <f t="shared" si="71"/>
        <v>-82.029521562681609</v>
      </c>
      <c r="X59">
        <f t="shared" si="24"/>
        <v>-4.587211239167966E-5</v>
      </c>
      <c r="Y59">
        <f t="shared" si="72"/>
        <v>-0.18621066654280816</v>
      </c>
      <c r="AA59" s="123">
        <f t="shared" si="25"/>
        <v>16.093034480644047</v>
      </c>
      <c r="AB59" s="123">
        <f t="shared" si="26"/>
        <v>-5.2271347797283942</v>
      </c>
      <c r="AC59">
        <f t="shared" si="27"/>
        <v>12.270891387603822</v>
      </c>
      <c r="AD59">
        <f t="shared" si="28"/>
        <v>-82.145855518503865</v>
      </c>
      <c r="AE59" s="123">
        <f t="shared" si="29"/>
        <v>28.363925868247868</v>
      </c>
      <c r="AF59" s="123">
        <f t="shared" si="30"/>
        <v>-87.372990298232253</v>
      </c>
      <c r="AI59" s="123">
        <f t="shared" si="31"/>
        <v>0</v>
      </c>
      <c r="AJ59" s="123">
        <f t="shared" si="32"/>
        <v>0</v>
      </c>
      <c r="AK59" s="123">
        <f t="shared" si="33"/>
        <v>0</v>
      </c>
      <c r="AL59" s="123">
        <f t="shared" si="34"/>
        <v>0</v>
      </c>
      <c r="AM59" s="123">
        <f t="shared" si="35"/>
        <v>0</v>
      </c>
      <c r="AN59" s="123">
        <f t="shared" si="36"/>
        <v>0</v>
      </c>
      <c r="AO59" s="123">
        <f t="shared" si="37"/>
        <v>0</v>
      </c>
      <c r="AP59" s="123"/>
      <c r="AQ59" s="123">
        <f t="shared" si="38"/>
        <v>0</v>
      </c>
      <c r="AR59" s="123">
        <f t="shared" si="39"/>
        <v>0</v>
      </c>
      <c r="AS59" s="123">
        <f t="shared" si="40"/>
        <v>0</v>
      </c>
      <c r="AW59" t="str">
        <f t="shared" si="73"/>
        <v>8000</v>
      </c>
      <c r="AX59" t="str">
        <f t="shared" si="74"/>
        <v>3952-29323.8095261443i</v>
      </c>
      <c r="AY59" t="str">
        <f t="shared" si="41"/>
        <v>7237.15921563147-1871.60289989933i</v>
      </c>
      <c r="AZ59">
        <f t="shared" si="75"/>
        <v>3.4931149964456196</v>
      </c>
      <c r="BA59">
        <f t="shared" si="76"/>
        <v>-14.499604278200666</v>
      </c>
      <c r="BB59">
        <f t="shared" si="77"/>
        <v>-1.7349598921368954</v>
      </c>
      <c r="BC59">
        <f t="shared" si="78"/>
        <v>2.8124884272638031</v>
      </c>
      <c r="BD59" s="123">
        <f t="shared" si="42"/>
        <v>-1.7351679580470702</v>
      </c>
      <c r="BE59" s="123">
        <f t="shared" si="43"/>
        <v>2.356962093456668</v>
      </c>
      <c r="BF59">
        <f t="shared" si="44"/>
        <v>29.74194382223547</v>
      </c>
      <c r="BG59">
        <f t="shared" si="45"/>
        <v>-96.529125840882273</v>
      </c>
      <c r="BH59" s="123">
        <f t="shared" si="46"/>
        <v>28.006775864188398</v>
      </c>
      <c r="BI59" s="123">
        <f t="shared" si="47"/>
        <v>-94.1721637474256</v>
      </c>
      <c r="BL59" s="123">
        <f t="shared" si="48"/>
        <v>0</v>
      </c>
      <c r="BM59" s="123">
        <f t="shared" si="49"/>
        <v>0</v>
      </c>
      <c r="BN59" s="123">
        <f t="shared" si="50"/>
        <v>0</v>
      </c>
      <c r="BO59" s="123">
        <f t="shared" si="51"/>
        <v>0</v>
      </c>
      <c r="BP59" s="123">
        <f t="shared" si="52"/>
        <v>0</v>
      </c>
      <c r="BQ59" s="123">
        <f t="shared" si="53"/>
        <v>0</v>
      </c>
      <c r="BR59" s="123">
        <f t="shared" si="54"/>
        <v>0</v>
      </c>
      <c r="BS59" s="123"/>
      <c r="BT59" s="123">
        <f t="shared" si="55"/>
        <v>0</v>
      </c>
      <c r="BU59" s="123">
        <f t="shared" si="56"/>
        <v>0</v>
      </c>
      <c r="BV59" s="123">
        <f t="shared" si="57"/>
        <v>0</v>
      </c>
      <c r="BX59" s="123">
        <f t="shared" si="58"/>
        <v>0</v>
      </c>
      <c r="BY59" s="123"/>
    </row>
    <row r="60" spans="5:77" x14ac:dyDescent="0.25">
      <c r="E60">
        <v>49</v>
      </c>
      <c r="F60">
        <v>700</v>
      </c>
      <c r="G60" s="58">
        <f t="shared" si="59"/>
        <v>-2.4130633305730493E-4</v>
      </c>
      <c r="H60" s="58">
        <f t="shared" si="60"/>
        <v>-0.490565769298068</v>
      </c>
      <c r="I60">
        <f t="shared" si="61"/>
        <v>16.073487233499844</v>
      </c>
      <c r="J60">
        <f t="shared" si="62"/>
        <v>-5.1132869180204095</v>
      </c>
      <c r="K60" t="str">
        <f t="shared" si="63"/>
        <v>37499.5919581528-123.698839003947i</v>
      </c>
      <c r="L60" t="str">
        <f t="shared" si="64"/>
        <v>100000000-227364251.718783i</v>
      </c>
      <c r="M60" t="str">
        <f t="shared" si="65"/>
        <v>149963.493036468-82.8794652623546i</v>
      </c>
      <c r="N60">
        <f t="shared" si="20"/>
        <v>-13.977742370279397</v>
      </c>
      <c r="O60">
        <f t="shared" si="66"/>
        <v>-0.12586121641679904</v>
      </c>
      <c r="P60" t="str">
        <f t="shared" si="67"/>
        <v>-50604.106770261i</v>
      </c>
      <c r="Q60" t="str">
        <f t="shared" si="68"/>
        <v>7350-29527.8248985432i</v>
      </c>
      <c r="R60" t="str">
        <f t="shared" si="21"/>
        <v>2906.75950474279-18913.7320747921i</v>
      </c>
      <c r="S60" t="str">
        <f t="shared" si="69"/>
        <v>56376883.3366101-49591686.3890639i</v>
      </c>
      <c r="T60" t="str">
        <f t="shared" si="22"/>
        <v>2909.28391163905-18909.5604969691i</v>
      </c>
      <c r="U60" t="str">
        <f t="shared" si="23"/>
        <v>0.999987750150061-0.00349995712552521i</v>
      </c>
      <c r="V60">
        <f t="shared" si="70"/>
        <v>25.63517781951029</v>
      </c>
      <c r="W60">
        <f t="shared" si="71"/>
        <v>-81.454031656978373</v>
      </c>
      <c r="X60">
        <f t="shared" si="24"/>
        <v>-5.3200748176918117E-5</v>
      </c>
      <c r="Y60">
        <f t="shared" si="72"/>
        <v>-0.20053445116963217</v>
      </c>
      <c r="AA60" s="123">
        <f t="shared" si="25"/>
        <v>16.073245927166788</v>
      </c>
      <c r="AB60" s="123">
        <f t="shared" si="26"/>
        <v>-5.6038526873184775</v>
      </c>
      <c r="AC60">
        <f t="shared" si="27"/>
        <v>11.657435449230892</v>
      </c>
      <c r="AD60">
        <f t="shared" si="28"/>
        <v>-81.579892873395167</v>
      </c>
      <c r="AE60" s="123">
        <f t="shared" si="29"/>
        <v>27.73068137639768</v>
      </c>
      <c r="AF60" s="123">
        <f t="shared" si="30"/>
        <v>-87.183745560713646</v>
      </c>
      <c r="AI60" s="123">
        <f t="shared" si="31"/>
        <v>0</v>
      </c>
      <c r="AJ60" s="123">
        <f t="shared" si="32"/>
        <v>0</v>
      </c>
      <c r="AK60" s="123">
        <f t="shared" si="33"/>
        <v>0</v>
      </c>
      <c r="AL60" s="123">
        <f t="shared" si="34"/>
        <v>0</v>
      </c>
      <c r="AM60" s="123">
        <f t="shared" si="35"/>
        <v>0</v>
      </c>
      <c r="AN60" s="123">
        <f t="shared" si="36"/>
        <v>0</v>
      </c>
      <c r="AO60" s="123">
        <f t="shared" si="37"/>
        <v>0</v>
      </c>
      <c r="AP60" s="123"/>
      <c r="AQ60" s="123">
        <f t="shared" si="38"/>
        <v>0</v>
      </c>
      <c r="AR60" s="123">
        <f t="shared" si="39"/>
        <v>0</v>
      </c>
      <c r="AS60" s="123">
        <f t="shared" si="40"/>
        <v>0</v>
      </c>
      <c r="AW60" t="str">
        <f t="shared" si="73"/>
        <v>8000</v>
      </c>
      <c r="AX60" t="str">
        <f t="shared" si="74"/>
        <v>3952-27229.2517028482i</v>
      </c>
      <c r="AY60" t="str">
        <f t="shared" si="41"/>
        <v>7134.97322262477-1970.71886302326i</v>
      </c>
      <c r="AZ60">
        <f t="shared" si="75"/>
        <v>3.4077378160898264</v>
      </c>
      <c r="BA60">
        <f t="shared" si="76"/>
        <v>-15.440448660061426</v>
      </c>
      <c r="BB60">
        <f t="shared" si="77"/>
        <v>-1.719275481188038</v>
      </c>
      <c r="BC60">
        <f t="shared" si="78"/>
        <v>3.0012613675380284</v>
      </c>
      <c r="BD60" s="123">
        <f t="shared" si="42"/>
        <v>-1.7195167875210953</v>
      </c>
      <c r="BE60" s="123">
        <f t="shared" si="43"/>
        <v>2.5106955982399604</v>
      </c>
      <c r="BF60">
        <f t="shared" si="44"/>
        <v>29.042915635600117</v>
      </c>
      <c r="BG60">
        <f t="shared" si="45"/>
        <v>-96.894480317039793</v>
      </c>
      <c r="BH60" s="123">
        <f t="shared" si="46"/>
        <v>27.323398848079023</v>
      </c>
      <c r="BI60" s="123">
        <f t="shared" si="47"/>
        <v>-94.383784718799831</v>
      </c>
      <c r="BL60" s="123">
        <f t="shared" si="48"/>
        <v>0</v>
      </c>
      <c r="BM60" s="123">
        <f t="shared" si="49"/>
        <v>0</v>
      </c>
      <c r="BN60" s="123">
        <f t="shared" si="50"/>
        <v>0</v>
      </c>
      <c r="BO60" s="123">
        <f t="shared" si="51"/>
        <v>0</v>
      </c>
      <c r="BP60" s="123">
        <f t="shared" si="52"/>
        <v>0</v>
      </c>
      <c r="BQ60" s="123">
        <f t="shared" si="53"/>
        <v>0</v>
      </c>
      <c r="BR60" s="123">
        <f t="shared" si="54"/>
        <v>0</v>
      </c>
      <c r="BS60" s="123"/>
      <c r="BT60" s="123">
        <f t="shared" si="55"/>
        <v>0</v>
      </c>
      <c r="BU60" s="123">
        <f t="shared" si="56"/>
        <v>0</v>
      </c>
      <c r="BV60" s="123">
        <f t="shared" si="57"/>
        <v>0</v>
      </c>
      <c r="BX60" s="123">
        <f t="shared" si="58"/>
        <v>0</v>
      </c>
      <c r="BY60" s="123"/>
    </row>
    <row r="61" spans="5:77" x14ac:dyDescent="0.25">
      <c r="E61">
        <v>50</v>
      </c>
      <c r="F61">
        <v>750</v>
      </c>
      <c r="G61" s="58">
        <f t="shared" si="59"/>
        <v>-2.7700874055815264E-4</v>
      </c>
      <c r="H61" s="58">
        <f t="shared" si="60"/>
        <v>-0.52560497108351301</v>
      </c>
      <c r="I61">
        <f t="shared" si="61"/>
        <v>16.05249199556846</v>
      </c>
      <c r="J61">
        <f t="shared" si="62"/>
        <v>-5.4496460226738712</v>
      </c>
      <c r="K61" t="str">
        <f t="shared" si="63"/>
        <v>37499.5315853684-132.534256986384i</v>
      </c>
      <c r="L61" t="str">
        <f t="shared" si="64"/>
        <v>100000000-212206634.937531i</v>
      </c>
      <c r="M61" t="str">
        <f t="shared" si="65"/>
        <v>149959.075439307-86.7145612672017i</v>
      </c>
      <c r="N61">
        <f t="shared" si="20"/>
        <v>-13.977542545163391</v>
      </c>
      <c r="O61">
        <f t="shared" si="66"/>
        <v>-0.13548687593040787</v>
      </c>
      <c r="P61" t="str">
        <f t="shared" si="67"/>
        <v>-47230.4996522436i</v>
      </c>
      <c r="Q61" t="str">
        <f t="shared" si="68"/>
        <v>7350-27559.3032386403i</v>
      </c>
      <c r="R61" t="str">
        <f t="shared" si="21"/>
        <v>2903.17573444819-17689.283198233i</v>
      </c>
      <c r="S61" t="str">
        <f t="shared" si="69"/>
        <v>52958695.7101873-49912384.4320678i</v>
      </c>
      <c r="T61" t="str">
        <f t="shared" si="22"/>
        <v>2905.25154800916-17685.3868710084i</v>
      </c>
      <c r="U61" t="str">
        <f t="shared" si="23"/>
        <v>0.999985937697751-0.00374994726636657i</v>
      </c>
      <c r="V61">
        <f t="shared" si="70"/>
        <v>25.067875408358908</v>
      </c>
      <c r="W61">
        <f t="shared" si="71"/>
        <v>-80.885981620772938</v>
      </c>
      <c r="X61">
        <f t="shared" si="24"/>
        <v>-6.1072232106051366E-5</v>
      </c>
      <c r="Y61">
        <f t="shared" si="72"/>
        <v>-0.21485821073016392</v>
      </c>
      <c r="AA61" s="123">
        <f t="shared" si="25"/>
        <v>16.052214986827902</v>
      </c>
      <c r="AB61" s="123">
        <f t="shared" si="26"/>
        <v>-5.9752509937573839</v>
      </c>
      <c r="AC61">
        <f t="shared" si="27"/>
        <v>11.090332863195517</v>
      </c>
      <c r="AD61">
        <f t="shared" si="28"/>
        <v>-81.021468496703349</v>
      </c>
      <c r="AE61" s="123">
        <f t="shared" si="29"/>
        <v>27.142547850023419</v>
      </c>
      <c r="AF61" s="123">
        <f t="shared" si="30"/>
        <v>-86.996719490460734</v>
      </c>
      <c r="AI61" s="123">
        <f t="shared" si="31"/>
        <v>0</v>
      </c>
      <c r="AJ61" s="123">
        <f t="shared" si="32"/>
        <v>0</v>
      </c>
      <c r="AK61" s="123">
        <f t="shared" si="33"/>
        <v>0</v>
      </c>
      <c r="AL61" s="123">
        <f t="shared" si="34"/>
        <v>0</v>
      </c>
      <c r="AM61" s="123">
        <f t="shared" si="35"/>
        <v>0</v>
      </c>
      <c r="AN61" s="123">
        <f t="shared" si="36"/>
        <v>0</v>
      </c>
      <c r="AO61" s="123">
        <f t="shared" si="37"/>
        <v>0</v>
      </c>
      <c r="AP61" s="123"/>
      <c r="AQ61" s="123">
        <f t="shared" si="38"/>
        <v>0</v>
      </c>
      <c r="AR61" s="123">
        <f t="shared" si="39"/>
        <v>0</v>
      </c>
      <c r="AS61" s="123">
        <f t="shared" si="40"/>
        <v>0</v>
      </c>
      <c r="AW61" t="str">
        <f t="shared" si="73"/>
        <v>8000</v>
      </c>
      <c r="AX61" t="str">
        <f t="shared" si="74"/>
        <v>3952-25413.9682559917i</v>
      </c>
      <c r="AY61" t="str">
        <f t="shared" si="41"/>
        <v>7030.16543755294-2062.19417533414i</v>
      </c>
      <c r="AZ61">
        <f t="shared" si="75"/>
        <v>3.3183909096297777</v>
      </c>
      <c r="BA61">
        <f t="shared" si="76"/>
        <v>-16.348267353657583</v>
      </c>
      <c r="BB61">
        <f t="shared" si="77"/>
        <v>-1.7027460883238632</v>
      </c>
      <c r="BC61">
        <f t="shared" si="78"/>
        <v>3.1845079144402679</v>
      </c>
      <c r="BD61" s="123">
        <f t="shared" si="42"/>
        <v>-1.7030230970644213</v>
      </c>
      <c r="BE61" s="123">
        <f t="shared" si="43"/>
        <v>2.6589029433567548</v>
      </c>
      <c r="BF61">
        <f t="shared" si="44"/>
        <v>28.386266317988685</v>
      </c>
      <c r="BG61">
        <f t="shared" si="45"/>
        <v>-97.234248974430528</v>
      </c>
      <c r="BH61" s="123">
        <f t="shared" si="46"/>
        <v>26.683243220924265</v>
      </c>
      <c r="BI61" s="123">
        <f t="shared" si="47"/>
        <v>-94.575346031073778</v>
      </c>
      <c r="BL61" s="123">
        <f t="shared" si="48"/>
        <v>0</v>
      </c>
      <c r="BM61" s="123">
        <f t="shared" si="49"/>
        <v>0</v>
      </c>
      <c r="BN61" s="123">
        <f t="shared" si="50"/>
        <v>0</v>
      </c>
      <c r="BO61" s="123">
        <f t="shared" si="51"/>
        <v>0</v>
      </c>
      <c r="BP61" s="123">
        <f t="shared" si="52"/>
        <v>0</v>
      </c>
      <c r="BQ61" s="123">
        <f t="shared" si="53"/>
        <v>0</v>
      </c>
      <c r="BR61" s="123">
        <f t="shared" si="54"/>
        <v>0</v>
      </c>
      <c r="BS61" s="123"/>
      <c r="BT61" s="123">
        <f t="shared" si="55"/>
        <v>0</v>
      </c>
      <c r="BU61" s="123">
        <f t="shared" si="56"/>
        <v>0</v>
      </c>
      <c r="BV61" s="123">
        <f t="shared" si="57"/>
        <v>0</v>
      </c>
      <c r="BX61" s="123">
        <f t="shared" si="58"/>
        <v>0</v>
      </c>
      <c r="BY61" s="123"/>
    </row>
    <row r="62" spans="5:77" x14ac:dyDescent="0.25">
      <c r="E62">
        <v>51</v>
      </c>
      <c r="F62">
        <v>800</v>
      </c>
      <c r="G62" s="58">
        <f t="shared" si="59"/>
        <v>-3.151730750534993E-4</v>
      </c>
      <c r="H62" s="58">
        <f t="shared" si="60"/>
        <v>-0.56064392247421235</v>
      </c>
      <c r="I62">
        <f t="shared" si="61"/>
        <v>16.03030028241913</v>
      </c>
      <c r="J62">
        <f t="shared" si="62"/>
        <v>-5.7804124730052795</v>
      </c>
      <c r="K62" t="str">
        <f t="shared" si="63"/>
        <v>37499.4670491585-141.36963082308i</v>
      </c>
      <c r="L62" t="str">
        <f t="shared" si="64"/>
        <v>100000000-198943720.253935i</v>
      </c>
      <c r="M62" t="str">
        <f t="shared" si="65"/>
        <v>149954.576952301-90.2309545134326i</v>
      </c>
      <c r="N62">
        <f t="shared" si="20"/>
        <v>-13.977339277740157</v>
      </c>
      <c r="O62">
        <f t="shared" si="66"/>
        <v>-0.14520972194374818</v>
      </c>
      <c r="P62" t="str">
        <f t="shared" si="67"/>
        <v>-44278.5934239784i</v>
      </c>
      <c r="Q62" t="str">
        <f t="shared" si="68"/>
        <v>7350-25836.8467862253i</v>
      </c>
      <c r="R62" t="str">
        <f t="shared" si="21"/>
        <v>2899.35456682569-16620.1550867746i</v>
      </c>
      <c r="S62" t="str">
        <f t="shared" si="69"/>
        <v>49735232.7439469-49999298.9780869i</v>
      </c>
      <c r="T62" t="str">
        <f t="shared" si="22"/>
        <v>2901.06309232486-16616.4993620693i</v>
      </c>
      <c r="U62" t="str">
        <f t="shared" si="23"/>
        <v>0.999984000255996-0.00399993600102398i</v>
      </c>
      <c r="V62">
        <f t="shared" si="70"/>
        <v>24.541122898999149</v>
      </c>
      <c r="W62">
        <f t="shared" si="71"/>
        <v>-80.325786498387117</v>
      </c>
      <c r="X62">
        <f t="shared" si="24"/>
        <v>-6.9486561212231803E-5</v>
      </c>
      <c r="Y62">
        <f t="shared" si="72"/>
        <v>-0.22918194343404966</v>
      </c>
      <c r="AA62" s="123">
        <f t="shared" si="25"/>
        <v>16.029985109344075</v>
      </c>
      <c r="AB62" s="123">
        <f t="shared" si="26"/>
        <v>-6.3410563954794918</v>
      </c>
      <c r="AC62">
        <f t="shared" si="27"/>
        <v>10.563783621258992</v>
      </c>
      <c r="AD62">
        <f t="shared" si="28"/>
        <v>-80.470996220330861</v>
      </c>
      <c r="AE62" s="123">
        <f t="shared" si="29"/>
        <v>26.593768730603067</v>
      </c>
      <c r="AF62" s="123">
        <f t="shared" si="30"/>
        <v>-86.812052615810359</v>
      </c>
      <c r="AI62" s="123">
        <f t="shared" si="31"/>
        <v>0</v>
      </c>
      <c r="AJ62" s="123">
        <f t="shared" si="32"/>
        <v>0</v>
      </c>
      <c r="AK62" s="123">
        <f t="shared" si="33"/>
        <v>0</v>
      </c>
      <c r="AL62" s="123">
        <f t="shared" si="34"/>
        <v>0</v>
      </c>
      <c r="AM62" s="123">
        <f t="shared" si="35"/>
        <v>0</v>
      </c>
      <c r="AN62" s="123">
        <f t="shared" si="36"/>
        <v>0</v>
      </c>
      <c r="AO62" s="123">
        <f t="shared" si="37"/>
        <v>0</v>
      </c>
      <c r="AP62" s="123"/>
      <c r="AQ62" s="123">
        <f t="shared" si="38"/>
        <v>0</v>
      </c>
      <c r="AR62" s="123">
        <f t="shared" si="39"/>
        <v>0</v>
      </c>
      <c r="AS62" s="123">
        <f t="shared" si="40"/>
        <v>0</v>
      </c>
      <c r="AW62" t="str">
        <f t="shared" si="73"/>
        <v>8000</v>
      </c>
      <c r="AX62" t="str">
        <f t="shared" si="74"/>
        <v>3952-23825.5952399922i</v>
      </c>
      <c r="AY62" t="str">
        <f t="shared" si="41"/>
        <v>6923.40887299937-2146.1198486349i</v>
      </c>
      <c r="AZ62">
        <f t="shared" si="75"/>
        <v>3.2254527232393606</v>
      </c>
      <c r="BA62">
        <f t="shared" si="76"/>
        <v>-17.222406145165458</v>
      </c>
      <c r="BB62">
        <f t="shared" si="77"/>
        <v>-1.6854289836183158</v>
      </c>
      <c r="BC62">
        <f t="shared" si="78"/>
        <v>3.362026270454836</v>
      </c>
      <c r="BD62" s="123">
        <f t="shared" si="42"/>
        <v>-1.6857441566933693</v>
      </c>
      <c r="BE62" s="123">
        <f t="shared" si="43"/>
        <v>2.8013823479806237</v>
      </c>
      <c r="BF62">
        <f t="shared" si="44"/>
        <v>27.766575622238509</v>
      </c>
      <c r="BG62">
        <f t="shared" si="45"/>
        <v>-97.548192643552568</v>
      </c>
      <c r="BH62" s="123">
        <f t="shared" si="46"/>
        <v>26.080831465545138</v>
      </c>
      <c r="BI62" s="123">
        <f t="shared" si="47"/>
        <v>-94.746810295571947</v>
      </c>
      <c r="BL62" s="123">
        <f t="shared" si="48"/>
        <v>0</v>
      </c>
      <c r="BM62" s="123">
        <f t="shared" si="49"/>
        <v>0</v>
      </c>
      <c r="BN62" s="123">
        <f t="shared" si="50"/>
        <v>0</v>
      </c>
      <c r="BO62" s="123">
        <f t="shared" si="51"/>
        <v>0</v>
      </c>
      <c r="BP62" s="123">
        <f t="shared" si="52"/>
        <v>0</v>
      </c>
      <c r="BQ62" s="123">
        <f t="shared" si="53"/>
        <v>0</v>
      </c>
      <c r="BR62" s="123">
        <f t="shared" si="54"/>
        <v>0</v>
      </c>
      <c r="BS62" s="123"/>
      <c r="BT62" s="123">
        <f t="shared" si="55"/>
        <v>0</v>
      </c>
      <c r="BU62" s="123">
        <f t="shared" si="56"/>
        <v>0</v>
      </c>
      <c r="BV62" s="123">
        <f t="shared" si="57"/>
        <v>0</v>
      </c>
      <c r="BX62" s="123">
        <f t="shared" si="58"/>
        <v>0</v>
      </c>
      <c r="BY62" s="123"/>
    </row>
    <row r="63" spans="5:77" x14ac:dyDescent="0.25">
      <c r="E63">
        <v>52</v>
      </c>
      <c r="F63">
        <v>850</v>
      </c>
      <c r="G63" s="58">
        <f t="shared" si="59"/>
        <v>-3.5579927494288553E-4</v>
      </c>
      <c r="H63" s="58">
        <f t="shared" si="60"/>
        <v>-0.59568260678173679</v>
      </c>
      <c r="I63">
        <f t="shared" si="61"/>
        <v>16.006957147270374</v>
      </c>
      <c r="J63">
        <f t="shared" si="62"/>
        <v>-6.1053319395159695</v>
      </c>
      <c r="K63" t="str">
        <f t="shared" si="63"/>
        <v>37499.3983495663-150.204957571259i</v>
      </c>
      <c r="L63" t="str">
        <f t="shared" si="64"/>
        <v>100000000-187241148.474292i</v>
      </c>
      <c r="M63" t="str">
        <f t="shared" si="65"/>
        <v>149950.0241412-93.4352191479035i</v>
      </c>
      <c r="N63">
        <f t="shared" si="20"/>
        <v>-13.977133796183727</v>
      </c>
      <c r="O63">
        <f t="shared" si="66"/>
        <v>-0.15502775690531043</v>
      </c>
      <c r="P63" t="str">
        <f t="shared" si="67"/>
        <v>-41673.9702813914i</v>
      </c>
      <c r="Q63" t="str">
        <f t="shared" si="68"/>
        <v>7350-24317.0322693885i</v>
      </c>
      <c r="R63" t="str">
        <f t="shared" si="21"/>
        <v>2895.29791002895-15678.9210615291i</v>
      </c>
      <c r="S63" t="str">
        <f t="shared" si="69"/>
        <v>46708765.095167-49891560.135971i</v>
      </c>
      <c r="T63" t="str">
        <f t="shared" si="22"/>
        <v>2896.70189036023-15675.4774015215i</v>
      </c>
      <c r="U63" t="str">
        <f t="shared" si="23"/>
        <v>0.999981937826248-0.00424992323576155i</v>
      </c>
      <c r="V63">
        <f t="shared" si="70"/>
        <v>24.050164303261312</v>
      </c>
      <c r="W63">
        <f t="shared" si="71"/>
        <v>-79.773830906036721</v>
      </c>
      <c r="X63">
        <f t="shared" si="24"/>
        <v>-7.8443732350719708E-5</v>
      </c>
      <c r="Y63">
        <f t="shared" si="72"/>
        <v>-0.24350564749095852</v>
      </c>
      <c r="AA63" s="123">
        <f t="shared" si="25"/>
        <v>16.006601347995431</v>
      </c>
      <c r="AB63" s="123">
        <f t="shared" si="26"/>
        <v>-6.7010145462977064</v>
      </c>
      <c r="AC63">
        <f t="shared" si="27"/>
        <v>10.073030507077585</v>
      </c>
      <c r="AD63">
        <f t="shared" si="28"/>
        <v>-79.928858662942034</v>
      </c>
      <c r="AE63" s="123">
        <f t="shared" si="29"/>
        <v>26.079631855073018</v>
      </c>
      <c r="AF63" s="123">
        <f t="shared" si="30"/>
        <v>-86.629873209239747</v>
      </c>
      <c r="AI63" s="123">
        <f t="shared" si="31"/>
        <v>0</v>
      </c>
      <c r="AJ63" s="123">
        <f t="shared" si="32"/>
        <v>0</v>
      </c>
      <c r="AK63" s="123">
        <f t="shared" si="33"/>
        <v>0</v>
      </c>
      <c r="AL63" s="123">
        <f t="shared" si="34"/>
        <v>0</v>
      </c>
      <c r="AM63" s="123">
        <f t="shared" si="35"/>
        <v>0</v>
      </c>
      <c r="AN63" s="123">
        <f t="shared" si="36"/>
        <v>0</v>
      </c>
      <c r="AO63" s="123">
        <f t="shared" si="37"/>
        <v>0</v>
      </c>
      <c r="AP63" s="123"/>
      <c r="AQ63" s="123">
        <f t="shared" si="38"/>
        <v>0</v>
      </c>
      <c r="AR63" s="123">
        <f t="shared" si="39"/>
        <v>0</v>
      </c>
      <c r="AS63" s="123">
        <f t="shared" si="40"/>
        <v>0</v>
      </c>
      <c r="AW63" t="str">
        <f t="shared" si="73"/>
        <v>8000</v>
      </c>
      <c r="AX63" t="str">
        <f t="shared" si="74"/>
        <v>3952-22424.0896376396i</v>
      </c>
      <c r="AY63" t="str">
        <f t="shared" si="41"/>
        <v>6815.33261868364-2222.64788733485i</v>
      </c>
      <c r="AZ63">
        <f t="shared" si="75"/>
        <v>3.1292950161588</v>
      </c>
      <c r="BA63">
        <f t="shared" si="76"/>
        <v>-18.062427187537615</v>
      </c>
      <c r="BB63">
        <f t="shared" si="77"/>
        <v>-1.6673822450006182</v>
      </c>
      <c r="BC63">
        <f t="shared" si="78"/>
        <v>3.5336452522735824</v>
      </c>
      <c r="BD63" s="123">
        <f t="shared" si="42"/>
        <v>-1.6677380442755609</v>
      </c>
      <c r="BE63" s="123">
        <f t="shared" si="43"/>
        <v>2.9379626454918455</v>
      </c>
      <c r="BF63">
        <f t="shared" si="44"/>
        <v>27.179459319420111</v>
      </c>
      <c r="BG63">
        <f t="shared" si="45"/>
        <v>-97.836258093574344</v>
      </c>
      <c r="BH63" s="123">
        <f t="shared" si="46"/>
        <v>25.511721275144552</v>
      </c>
      <c r="BI63" s="123">
        <f t="shared" si="47"/>
        <v>-94.898295448082493</v>
      </c>
      <c r="BL63" s="123">
        <f t="shared" si="48"/>
        <v>0</v>
      </c>
      <c r="BM63" s="123">
        <f t="shared" si="49"/>
        <v>0</v>
      </c>
      <c r="BN63" s="123">
        <f t="shared" si="50"/>
        <v>0</v>
      </c>
      <c r="BO63" s="123">
        <f t="shared" si="51"/>
        <v>0</v>
      </c>
      <c r="BP63" s="123">
        <f t="shared" si="52"/>
        <v>0</v>
      </c>
      <c r="BQ63" s="123">
        <f t="shared" si="53"/>
        <v>0</v>
      </c>
      <c r="BR63" s="123">
        <f t="shared" si="54"/>
        <v>0</v>
      </c>
      <c r="BS63" s="123"/>
      <c r="BT63" s="123">
        <f t="shared" si="55"/>
        <v>0</v>
      </c>
      <c r="BU63" s="123">
        <f t="shared" si="56"/>
        <v>0</v>
      </c>
      <c r="BV63" s="123">
        <f t="shared" si="57"/>
        <v>0</v>
      </c>
      <c r="BX63" s="123">
        <f t="shared" si="58"/>
        <v>0</v>
      </c>
      <c r="BY63" s="123"/>
    </row>
    <row r="64" spans="5:77" x14ac:dyDescent="0.25">
      <c r="E64">
        <v>53</v>
      </c>
      <c r="F64">
        <v>900</v>
      </c>
      <c r="G64" s="58">
        <f t="shared" si="59"/>
        <v>-3.9888727465765757E-4</v>
      </c>
      <c r="H64" s="58">
        <f t="shared" si="60"/>
        <v>-0.63072100731852909</v>
      </c>
      <c r="I64">
        <f t="shared" si="61"/>
        <v>15.982509025180649</v>
      </c>
      <c r="J64">
        <f t="shared" si="62"/>
        <v>-6.4241694027836038</v>
      </c>
      <c r="K64" t="str">
        <f t="shared" si="63"/>
        <v>37499.3254866376-159.040234288193i</v>
      </c>
      <c r="L64" t="str">
        <f t="shared" si="64"/>
        <v>100000000-176838862.447942i</v>
      </c>
      <c r="M64" t="str">
        <f t="shared" si="65"/>
        <v>149945.441511668-96.336105976427i</v>
      </c>
      <c r="N64">
        <f t="shared" si="20"/>
        <v>-13.976927233612974</v>
      </c>
      <c r="O64">
        <f t="shared" si="66"/>
        <v>-0.16493831916781931</v>
      </c>
      <c r="P64" t="str">
        <f t="shared" si="67"/>
        <v>-39358.749710203i</v>
      </c>
      <c r="Q64" t="str">
        <f t="shared" si="68"/>
        <v>7350-22966.0860322003i</v>
      </c>
      <c r="R64" t="str">
        <f t="shared" si="21"/>
        <v>2891.00778150718-14844.2483343601i</v>
      </c>
      <c r="S64" t="str">
        <f t="shared" si="69"/>
        <v>43876965.1639811-49623668.187639i</v>
      </c>
      <c r="T64" t="str">
        <f t="shared" si="22"/>
        <v>2892.15640594107-14840.9929526064i</v>
      </c>
      <c r="U64" t="str">
        <f t="shared" si="23"/>
        <v>0.999979750410054-0.00449990887684524i</v>
      </c>
      <c r="V64">
        <f t="shared" si="70"/>
        <v>23.591047431133866</v>
      </c>
      <c r="W64">
        <f t="shared" si="71"/>
        <v>-79.23046993108585</v>
      </c>
      <c r="X64">
        <f t="shared" si="24"/>
        <v>-8.7943742159342088E-5</v>
      </c>
      <c r="Y64">
        <f t="shared" si="72"/>
        <v>-0.25782932111057977</v>
      </c>
      <c r="AA64" s="123">
        <f t="shared" si="25"/>
        <v>15.982110137905991</v>
      </c>
      <c r="AB64" s="123">
        <f t="shared" si="26"/>
        <v>-7.054890410102133</v>
      </c>
      <c r="AC64">
        <f t="shared" si="27"/>
        <v>9.6141201975208919</v>
      </c>
      <c r="AD64">
        <f t="shared" si="28"/>
        <v>-79.395408250253666</v>
      </c>
      <c r="AE64" s="123">
        <f t="shared" si="29"/>
        <v>25.596230335426881</v>
      </c>
      <c r="AF64" s="123">
        <f t="shared" si="30"/>
        <v>-86.450298660355799</v>
      </c>
      <c r="AI64" s="123">
        <f t="shared" si="31"/>
        <v>0</v>
      </c>
      <c r="AJ64" s="123">
        <f t="shared" si="32"/>
        <v>0</v>
      </c>
      <c r="AK64" s="123">
        <f t="shared" si="33"/>
        <v>0</v>
      </c>
      <c r="AL64" s="123">
        <f t="shared" si="34"/>
        <v>0</v>
      </c>
      <c r="AM64" s="123">
        <f t="shared" si="35"/>
        <v>0</v>
      </c>
      <c r="AN64" s="123">
        <f t="shared" si="36"/>
        <v>0</v>
      </c>
      <c r="AO64" s="123">
        <f t="shared" si="37"/>
        <v>0</v>
      </c>
      <c r="AP64" s="123"/>
      <c r="AQ64" s="123">
        <f t="shared" si="38"/>
        <v>0</v>
      </c>
      <c r="AR64" s="123">
        <f t="shared" si="39"/>
        <v>0</v>
      </c>
      <c r="AS64" s="123">
        <f t="shared" si="40"/>
        <v>0</v>
      </c>
      <c r="AW64" t="str">
        <f t="shared" si="73"/>
        <v>8000</v>
      </c>
      <c r="AX64" t="str">
        <f t="shared" si="74"/>
        <v>3952-21178.3068799931i</v>
      </c>
      <c r="AY64" t="str">
        <f t="shared" si="41"/>
        <v>6706.51753684808-2291.9819736045i</v>
      </c>
      <c r="AZ64">
        <f t="shared" si="75"/>
        <v>3.0302800125156741</v>
      </c>
      <c r="BA64">
        <f t="shared" si="76"/>
        <v>-18.868093386985485</v>
      </c>
      <c r="BB64">
        <f t="shared" si="77"/>
        <v>-1.6486643381662138</v>
      </c>
      <c r="BC64">
        <f t="shared" si="78"/>
        <v>3.6992238293840685</v>
      </c>
      <c r="BD64" s="123">
        <f t="shared" si="42"/>
        <v>-1.6490632254408715</v>
      </c>
      <c r="BE64" s="123">
        <f t="shared" si="43"/>
        <v>3.0685028220655393</v>
      </c>
      <c r="BF64">
        <f t="shared" si="44"/>
        <v>26.621327443649541</v>
      </c>
      <c r="BG64">
        <f t="shared" si="45"/>
        <v>-98.098563318071342</v>
      </c>
      <c r="BH64" s="123">
        <f t="shared" si="46"/>
        <v>24.972264218208668</v>
      </c>
      <c r="BI64" s="123">
        <f t="shared" si="47"/>
        <v>-95.030060496005802</v>
      </c>
      <c r="BL64" s="123">
        <f t="shared" si="48"/>
        <v>0</v>
      </c>
      <c r="BM64" s="123">
        <f t="shared" si="49"/>
        <v>0</v>
      </c>
      <c r="BN64" s="123">
        <f t="shared" si="50"/>
        <v>0</v>
      </c>
      <c r="BO64" s="123">
        <f t="shared" si="51"/>
        <v>0</v>
      </c>
      <c r="BP64" s="123">
        <f t="shared" si="52"/>
        <v>0</v>
      </c>
      <c r="BQ64" s="123">
        <f t="shared" si="53"/>
        <v>0</v>
      </c>
      <c r="BR64" s="123">
        <f t="shared" si="54"/>
        <v>0</v>
      </c>
      <c r="BS64" s="123"/>
      <c r="BT64" s="123">
        <f t="shared" si="55"/>
        <v>0</v>
      </c>
      <c r="BU64" s="123">
        <f t="shared" si="56"/>
        <v>0</v>
      </c>
      <c r="BV64" s="123">
        <f t="shared" si="57"/>
        <v>0</v>
      </c>
      <c r="BX64" s="123">
        <f t="shared" si="58"/>
        <v>0</v>
      </c>
      <c r="BY64" s="123"/>
    </row>
    <row r="65" spans="5:77" x14ac:dyDescent="0.25">
      <c r="E65">
        <v>54</v>
      </c>
      <c r="F65">
        <v>950</v>
      </c>
      <c r="G65" s="58">
        <f t="shared" si="59"/>
        <v>-4.4443700467028396E-4</v>
      </c>
      <c r="H65" s="58">
        <f t="shared" si="60"/>
        <v>-0.66575910739798227</v>
      </c>
      <c r="I65">
        <f t="shared" si="61"/>
        <v>15.957003512376605</v>
      </c>
      <c r="J65">
        <f t="shared" si="62"/>
        <v>-6.7367093800029068</v>
      </c>
      <c r="K65" t="str">
        <f t="shared" si="63"/>
        <v>37499.2484604207-167.87545803121i</v>
      </c>
      <c r="L65" t="str">
        <f t="shared" si="64"/>
        <v>100000000-167531553.89805i</v>
      </c>
      <c r="M65" t="str">
        <f t="shared" si="65"/>
        <v>149940.851399739-98.9441528965227i</v>
      </c>
      <c r="N65">
        <f t="shared" si="20"/>
        <v>-13.976720623006491</v>
      </c>
      <c r="O65">
        <f t="shared" si="66"/>
        <v>-0.17493820160912066</v>
      </c>
      <c r="P65" t="str">
        <f t="shared" si="67"/>
        <v>-37287.2365675608i</v>
      </c>
      <c r="Q65" t="str">
        <f t="shared" si="68"/>
        <v>7350-21757.3446620845i</v>
      </c>
      <c r="R65" t="str">
        <f t="shared" si="21"/>
        <v>2886.48630553735-14099.2943722467i</v>
      </c>
      <c r="S65" t="str">
        <f t="shared" si="69"/>
        <v>41234217.9519307-49225613.912736i</v>
      </c>
      <c r="T65" t="str">
        <f t="shared" si="22"/>
        <v>2887.41868014987-14096.2072326305i</v>
      </c>
      <c r="U65" t="str">
        <f t="shared" si="23"/>
        <v>0.999977438009055-0.00474989283054301i</v>
      </c>
      <c r="V65">
        <f t="shared" si="70"/>
        <v>23.160449742078345</v>
      </c>
      <c r="W65">
        <f t="shared" si="71"/>
        <v>-78.696029777835989</v>
      </c>
      <c r="X65">
        <f t="shared" si="24"/>
        <v>-9.7986587071025372E-5</v>
      </c>
      <c r="Y65">
        <f t="shared" si="72"/>
        <v>-0.27215296250262561</v>
      </c>
      <c r="AA65" s="123">
        <f t="shared" si="25"/>
        <v>15.956559075371935</v>
      </c>
      <c r="AB65" s="123">
        <f t="shared" si="26"/>
        <v>-7.4024684874008893</v>
      </c>
      <c r="AC65">
        <f t="shared" si="27"/>
        <v>9.1837291190718542</v>
      </c>
      <c r="AD65">
        <f t="shared" si="28"/>
        <v>-78.870967979445112</v>
      </c>
      <c r="AE65" s="123">
        <f t="shared" si="29"/>
        <v>25.140288194443791</v>
      </c>
      <c r="AF65" s="123">
        <f t="shared" si="30"/>
        <v>-86.273436466846007</v>
      </c>
      <c r="AI65" s="123">
        <f t="shared" si="31"/>
        <v>0</v>
      </c>
      <c r="AJ65" s="123">
        <f t="shared" si="32"/>
        <v>0</v>
      </c>
      <c r="AK65" s="123">
        <f t="shared" si="33"/>
        <v>0</v>
      </c>
      <c r="AL65" s="123">
        <f t="shared" si="34"/>
        <v>0</v>
      </c>
      <c r="AM65" s="123">
        <f t="shared" si="35"/>
        <v>0</v>
      </c>
      <c r="AN65" s="123">
        <f t="shared" si="36"/>
        <v>0</v>
      </c>
      <c r="AO65" s="123">
        <f t="shared" si="37"/>
        <v>0</v>
      </c>
      <c r="AP65" s="123"/>
      <c r="AQ65" s="123">
        <f t="shared" si="38"/>
        <v>0</v>
      </c>
      <c r="AR65" s="123">
        <f t="shared" si="39"/>
        <v>0</v>
      </c>
      <c r="AS65" s="123">
        <f t="shared" si="40"/>
        <v>0</v>
      </c>
      <c r="AW65" t="str">
        <f t="shared" si="73"/>
        <v>8000</v>
      </c>
      <c r="AX65" t="str">
        <f t="shared" si="74"/>
        <v>3952-20063.6591494671i</v>
      </c>
      <c r="AY65" t="str">
        <f t="shared" si="41"/>
        <v>6597.49360700987-2354.36832529307i</v>
      </c>
      <c r="AZ65">
        <f t="shared" si="75"/>
        <v>2.928758024298669</v>
      </c>
      <c r="BA65">
        <f t="shared" si="76"/>
        <v>-19.639351633468614</v>
      </c>
      <c r="BB65">
        <f t="shared" si="77"/>
        <v>-1.6293337194109949</v>
      </c>
      <c r="BC65">
        <f t="shared" si="78"/>
        <v>3.858650399327515</v>
      </c>
      <c r="BD65" s="123">
        <f t="shared" si="42"/>
        <v>-1.6297781564156653</v>
      </c>
      <c r="BE65" s="123">
        <f t="shared" si="43"/>
        <v>3.1928912919295325</v>
      </c>
      <c r="BF65">
        <f t="shared" si="44"/>
        <v>26.089207766377015</v>
      </c>
      <c r="BG65">
        <f t="shared" si="45"/>
        <v>-98.33538141130461</v>
      </c>
      <c r="BH65" s="123">
        <f t="shared" si="46"/>
        <v>24.459429609961351</v>
      </c>
      <c r="BI65" s="123">
        <f t="shared" si="47"/>
        <v>-95.142490119375083</v>
      </c>
      <c r="BL65" s="123">
        <f t="shared" si="48"/>
        <v>0</v>
      </c>
      <c r="BM65" s="123">
        <f t="shared" si="49"/>
        <v>0</v>
      </c>
      <c r="BN65" s="123">
        <f t="shared" si="50"/>
        <v>0</v>
      </c>
      <c r="BO65" s="123">
        <f t="shared" si="51"/>
        <v>0</v>
      </c>
      <c r="BP65" s="123">
        <f t="shared" si="52"/>
        <v>0</v>
      </c>
      <c r="BQ65" s="123">
        <f t="shared" si="53"/>
        <v>0</v>
      </c>
      <c r="BR65" s="123">
        <f t="shared" si="54"/>
        <v>0</v>
      </c>
      <c r="BS65" s="123"/>
      <c r="BT65" s="123">
        <f t="shared" si="55"/>
        <v>0</v>
      </c>
      <c r="BU65" s="123">
        <f t="shared" si="56"/>
        <v>0</v>
      </c>
      <c r="BV65" s="123">
        <f t="shared" si="57"/>
        <v>0</v>
      </c>
      <c r="BX65" s="123">
        <f t="shared" si="58"/>
        <v>0</v>
      </c>
      <c r="BY65" s="123"/>
    </row>
    <row r="66" spans="5:77" x14ac:dyDescent="0.25">
      <c r="E66">
        <v>55</v>
      </c>
      <c r="F66">
        <v>1000</v>
      </c>
      <c r="G66" s="58">
        <f t="shared" si="59"/>
        <v>-4.924483914737559E-4</v>
      </c>
      <c r="H66" s="58">
        <f t="shared" si="60"/>
        <v>-0.70079689033446302</v>
      </c>
      <c r="I66">
        <f t="shared" si="61"/>
        <v>15.930489148396882</v>
      </c>
      <c r="J66">
        <f t="shared" si="62"/>
        <v>-7.0427560298176521</v>
      </c>
      <c r="K66" t="str">
        <f t="shared" si="63"/>
        <v>37499.1672709672-176.710625857698i</v>
      </c>
      <c r="L66" t="str">
        <f t="shared" si="64"/>
        <v>100000000-159154976.203148i</v>
      </c>
      <c r="M66" t="str">
        <f t="shared" si="65"/>
        <v>149936.273924285-101.271313669385i</v>
      </c>
      <c r="N66">
        <f t="shared" si="20"/>
        <v>-13.976514894981509</v>
      </c>
      <c r="O66">
        <f t="shared" si="66"/>
        <v>-0.18502376470162962</v>
      </c>
      <c r="P66" t="str">
        <f t="shared" si="67"/>
        <v>-35422.8747391827i</v>
      </c>
      <c r="Q66" t="str">
        <f t="shared" si="68"/>
        <v>7350-20669.4774289803i</v>
      </c>
      <c r="R66" t="str">
        <f t="shared" si="21"/>
        <v>2881.73571064223-13430.5843532078i</v>
      </c>
      <c r="S66" t="str">
        <f t="shared" si="69"/>
        <v>38772673.5516293-48723168.4193641i</v>
      </c>
      <c r="T66" t="str">
        <f t="shared" si="22"/>
        <v>2882.48331468436-13427.6484193015i</v>
      </c>
      <c r="U66" t="str">
        <f t="shared" si="23"/>
        <v>0.999975000624984-0.00499987500312492i</v>
      </c>
      <c r="V66">
        <f t="shared" si="70"/>
        <v>22.755548989235876</v>
      </c>
      <c r="W66">
        <f t="shared" si="71"/>
        <v>-78.170808301115528</v>
      </c>
      <c r="X66">
        <f t="shared" si="24"/>
        <v>-1.0857226333114956E-4</v>
      </c>
      <c r="Y66">
        <f t="shared" si="72"/>
        <v>-0.28647656987683245</v>
      </c>
      <c r="AA66" s="123">
        <f t="shared" si="25"/>
        <v>15.929996700005407</v>
      </c>
      <c r="AB66" s="123">
        <f t="shared" si="26"/>
        <v>-7.7435529201521156</v>
      </c>
      <c r="AC66">
        <f t="shared" si="27"/>
        <v>8.7790340942543672</v>
      </c>
      <c r="AD66">
        <f t="shared" si="28"/>
        <v>-78.355832065817154</v>
      </c>
      <c r="AE66" s="123">
        <f t="shared" si="29"/>
        <v>24.709030794259775</v>
      </c>
      <c r="AF66" s="123">
        <f t="shared" si="30"/>
        <v>-86.099384985969266</v>
      </c>
      <c r="AI66" s="123">
        <f t="shared" si="31"/>
        <v>0</v>
      </c>
      <c r="AJ66" s="123">
        <f t="shared" si="32"/>
        <v>0</v>
      </c>
      <c r="AK66" s="123">
        <f t="shared" si="33"/>
        <v>0</v>
      </c>
      <c r="AL66" s="123">
        <f t="shared" si="34"/>
        <v>0</v>
      </c>
      <c r="AM66" s="123">
        <f t="shared" si="35"/>
        <v>0</v>
      </c>
      <c r="AN66" s="123">
        <f t="shared" si="36"/>
        <v>0</v>
      </c>
      <c r="AO66" s="123">
        <f t="shared" si="37"/>
        <v>0</v>
      </c>
      <c r="AP66" s="123"/>
      <c r="AQ66" s="123">
        <f t="shared" si="38"/>
        <v>0</v>
      </c>
      <c r="AR66" s="123">
        <f t="shared" si="39"/>
        <v>0</v>
      </c>
      <c r="AS66" s="123">
        <f t="shared" si="40"/>
        <v>0</v>
      </c>
      <c r="AW66" t="str">
        <f t="shared" si="73"/>
        <v>8000</v>
      </c>
      <c r="AX66" t="str">
        <f t="shared" si="74"/>
        <v>3952-19060.4761919938i</v>
      </c>
      <c r="AY66" t="str">
        <f t="shared" si="41"/>
        <v>6488.73872993975-2410.08696936625i</v>
      </c>
      <c r="AZ66">
        <f t="shared" si="75"/>
        <v>2.8250655301927381</v>
      </c>
      <c r="BA66">
        <f t="shared" si="76"/>
        <v>-20.376315397597629</v>
      </c>
      <c r="BB66">
        <f t="shared" si="77"/>
        <v>-1.6094484649993306</v>
      </c>
      <c r="BC66">
        <f t="shared" si="78"/>
        <v>4.0118418294094456</v>
      </c>
      <c r="BD66" s="123">
        <f t="shared" si="42"/>
        <v>-1.6099409133908043</v>
      </c>
      <c r="BE66" s="123">
        <f t="shared" si="43"/>
        <v>3.3110449390749825</v>
      </c>
      <c r="BF66">
        <f t="shared" si="44"/>
        <v>25.580614519428615</v>
      </c>
      <c r="BG66">
        <f t="shared" si="45"/>
        <v>-98.547123698713165</v>
      </c>
      <c r="BH66" s="123">
        <f t="shared" si="46"/>
        <v>23.97067360603781</v>
      </c>
      <c r="BI66" s="123">
        <f t="shared" si="47"/>
        <v>-95.236078759638175</v>
      </c>
      <c r="BL66" s="123">
        <f t="shared" si="48"/>
        <v>0</v>
      </c>
      <c r="BM66" s="123">
        <f t="shared" si="49"/>
        <v>0</v>
      </c>
      <c r="BN66" s="123">
        <f t="shared" si="50"/>
        <v>0</v>
      </c>
      <c r="BO66" s="123">
        <f t="shared" si="51"/>
        <v>0</v>
      </c>
      <c r="BP66" s="123">
        <f t="shared" si="52"/>
        <v>0</v>
      </c>
      <c r="BQ66" s="123">
        <f t="shared" si="53"/>
        <v>0</v>
      </c>
      <c r="BR66" s="123">
        <f t="shared" si="54"/>
        <v>0</v>
      </c>
      <c r="BS66" s="123"/>
      <c r="BT66" s="123">
        <f t="shared" si="55"/>
        <v>0</v>
      </c>
      <c r="BU66" s="123">
        <f t="shared" si="56"/>
        <v>0</v>
      </c>
      <c r="BV66" s="123">
        <f t="shared" si="57"/>
        <v>0</v>
      </c>
      <c r="BX66" s="123">
        <f t="shared" si="58"/>
        <v>0</v>
      </c>
      <c r="BY66" s="123"/>
    </row>
    <row r="67" spans="5:77" x14ac:dyDescent="0.25">
      <c r="E67">
        <v>56</v>
      </c>
      <c r="F67">
        <v>1500</v>
      </c>
      <c r="G67" s="58">
        <f t="shared" si="59"/>
        <v>-1.1079343716932444E-3</v>
      </c>
      <c r="H67" s="58">
        <f t="shared" si="60"/>
        <v>-1.0511536068174498</v>
      </c>
      <c r="I67">
        <f t="shared" si="61"/>
        <v>15.620806424730958</v>
      </c>
      <c r="J67">
        <f t="shared" si="62"/>
        <v>-9.716722373138623</v>
      </c>
      <c r="K67" t="str">
        <f t="shared" si="63"/>
        <v>37498.1264116826-265.058581387344i</v>
      </c>
      <c r="L67" t="str">
        <f t="shared" si="64"/>
        <v>100000000-106103317.468765i</v>
      </c>
      <c r="M67" t="str">
        <f t="shared" si="65"/>
        <v>149894.147795756-112.144483592062i</v>
      </c>
      <c r="N67">
        <f t="shared" si="20"/>
        <v>-13.974642868593904</v>
      </c>
      <c r="O67">
        <f t="shared" si="66"/>
        <v>-0.28966235861670087</v>
      </c>
      <c r="P67" t="str">
        <f t="shared" si="67"/>
        <v>-23615.2498261218i</v>
      </c>
      <c r="Q67" t="str">
        <f t="shared" si="68"/>
        <v>7350-13779.6516193202i</v>
      </c>
      <c r="R67" t="str">
        <f t="shared" si="21"/>
        <v>2822.1873601258-9256.68952782564i</v>
      </c>
      <c r="S67" t="str">
        <f t="shared" si="69"/>
        <v>21963269.8723097-41399779.7548135i</v>
      </c>
      <c r="T67" t="str">
        <f t="shared" si="22"/>
        <v>2821.97968396469-9254.7024399758i</v>
      </c>
      <c r="U67" t="str">
        <f t="shared" si="23"/>
        <v>0.999943753163884-0.00749957814872913i</v>
      </c>
      <c r="V67">
        <f t="shared" si="70"/>
        <v>19.713121365592929</v>
      </c>
      <c r="W67">
        <f t="shared" si="71"/>
        <v>-73.472010464972044</v>
      </c>
      <c r="X67">
        <f t="shared" si="24"/>
        <v>-2.4428377565909336E-4</v>
      </c>
      <c r="Y67">
        <f t="shared" si="72"/>
        <v>-0.42971037879974944</v>
      </c>
      <c r="AA67" s="123">
        <f t="shared" si="25"/>
        <v>15.619698490359264</v>
      </c>
      <c r="AB67" s="123">
        <f t="shared" si="26"/>
        <v>-10.767875979956074</v>
      </c>
      <c r="AC67">
        <f t="shared" si="27"/>
        <v>5.7384784969990257</v>
      </c>
      <c r="AD67">
        <f t="shared" si="28"/>
        <v>-73.761672823588739</v>
      </c>
      <c r="AE67" s="123">
        <f t="shared" si="29"/>
        <v>21.358176987358291</v>
      </c>
      <c r="AF67" s="123">
        <f t="shared" si="30"/>
        <v>-84.529548803544813</v>
      </c>
      <c r="AI67" s="123">
        <f t="shared" si="31"/>
        <v>0</v>
      </c>
      <c r="AJ67" s="123">
        <f t="shared" si="32"/>
        <v>0</v>
      </c>
      <c r="AK67" s="123">
        <f t="shared" si="33"/>
        <v>0</v>
      </c>
      <c r="AL67" s="123">
        <f t="shared" si="34"/>
        <v>0</v>
      </c>
      <c r="AM67" s="123">
        <f t="shared" si="35"/>
        <v>0</v>
      </c>
      <c r="AN67" s="123">
        <f t="shared" si="36"/>
        <v>0</v>
      </c>
      <c r="AO67" s="123">
        <f t="shared" si="37"/>
        <v>0</v>
      </c>
      <c r="AP67" s="123"/>
      <c r="AQ67" s="123">
        <f t="shared" si="38"/>
        <v>0</v>
      </c>
      <c r="AR67" s="123">
        <f t="shared" si="39"/>
        <v>0</v>
      </c>
      <c r="AS67" s="123">
        <f t="shared" si="40"/>
        <v>0</v>
      </c>
      <c r="AW67" t="str">
        <f t="shared" si="73"/>
        <v>8000</v>
      </c>
      <c r="AX67" t="str">
        <f t="shared" si="74"/>
        <v>3952-12706.9841279958i</v>
      </c>
      <c r="AY67" t="str">
        <f t="shared" si="41"/>
        <v>5486.416743906-2672.36132359288i</v>
      </c>
      <c r="AZ67">
        <f t="shared" si="75"/>
        <v>1.7309629579737706</v>
      </c>
      <c r="BA67">
        <f t="shared" si="76"/>
        <v>-25.970108538069407</v>
      </c>
      <c r="BB67">
        <f t="shared" si="77"/>
        <v>-1.3920095828519761</v>
      </c>
      <c r="BC67">
        <f t="shared" si="78"/>
        <v>5.2001609760530121</v>
      </c>
      <c r="BD67" s="123">
        <f t="shared" si="42"/>
        <v>-1.3931175172236694</v>
      </c>
      <c r="BE67" s="123">
        <f t="shared" si="43"/>
        <v>4.1490073692355622</v>
      </c>
      <c r="BF67">
        <f t="shared" si="44"/>
        <v>21.444084323566699</v>
      </c>
      <c r="BG67">
        <f t="shared" si="45"/>
        <v>-99.442119003041455</v>
      </c>
      <c r="BH67" s="123">
        <f t="shared" si="46"/>
        <v>20.05096680634303</v>
      </c>
      <c r="BI67" s="123">
        <f t="shared" si="47"/>
        <v>-95.293111633805893</v>
      </c>
      <c r="BL67" s="123">
        <f t="shared" si="48"/>
        <v>0</v>
      </c>
      <c r="BM67" s="123">
        <f t="shared" si="49"/>
        <v>0</v>
      </c>
      <c r="BN67" s="123">
        <f t="shared" si="50"/>
        <v>0</v>
      </c>
      <c r="BO67" s="123">
        <f t="shared" si="51"/>
        <v>0</v>
      </c>
      <c r="BP67" s="123">
        <f t="shared" si="52"/>
        <v>0</v>
      </c>
      <c r="BQ67" s="123">
        <f t="shared" si="53"/>
        <v>0</v>
      </c>
      <c r="BR67" s="123">
        <f t="shared" si="54"/>
        <v>0</v>
      </c>
      <c r="BS67" s="123"/>
      <c r="BT67" s="123">
        <f t="shared" si="55"/>
        <v>0</v>
      </c>
      <c r="BU67" s="123">
        <f t="shared" si="56"/>
        <v>0</v>
      </c>
      <c r="BV67" s="123">
        <f t="shared" si="57"/>
        <v>0</v>
      </c>
      <c r="BX67" s="123">
        <f t="shared" si="58"/>
        <v>0</v>
      </c>
      <c r="BY67" s="123"/>
    </row>
    <row r="68" spans="5:77" x14ac:dyDescent="0.25">
      <c r="E68">
        <v>57</v>
      </c>
      <c r="F68">
        <v>2000</v>
      </c>
      <c r="G68" s="58">
        <f t="shared" si="59"/>
        <v>-1.9694757012414339E-3</v>
      </c>
      <c r="H68" s="58">
        <f t="shared" si="60"/>
        <v>-1.4014602642905176</v>
      </c>
      <c r="I68">
        <f t="shared" si="61"/>
        <v>15.263508288898038</v>
      </c>
      <c r="J68">
        <f t="shared" si="62"/>
        <v>-11.65994365204795</v>
      </c>
      <c r="K68" t="str">
        <f t="shared" si="63"/>
        <v>37496.6693057541-353.397708952808i</v>
      </c>
      <c r="L68" t="str">
        <f t="shared" si="64"/>
        <v>100000000-79577488.101574i</v>
      </c>
      <c r="M68" t="str">
        <f t="shared" si="65"/>
        <v>149862.285020583-109.425982386347i</v>
      </c>
      <c r="N68">
        <f t="shared" si="20"/>
        <v>-13.973275975329456</v>
      </c>
      <c r="O68">
        <f t="shared" si="66"/>
        <v>-0.39844929951396568</v>
      </c>
      <c r="P68" t="str">
        <f t="shared" si="67"/>
        <v>-17711.4373695914i</v>
      </c>
      <c r="Q68" t="str">
        <f t="shared" si="68"/>
        <v>7350-10334.7387144901i</v>
      </c>
      <c r="R68" t="str">
        <f t="shared" si="21"/>
        <v>2742.83793747401-7245.29917034042i</v>
      </c>
      <c r="S68" t="str">
        <f t="shared" si="69"/>
        <v>13667654.7594377-34350555.8808091i</v>
      </c>
      <c r="T68" t="str">
        <f t="shared" si="22"/>
        <v>2742.2888494361-7243.77178936409i</v>
      </c>
      <c r="U68" t="str">
        <f t="shared" si="23"/>
        <v>0.999900009999-0.00999900009999i</v>
      </c>
      <c r="V68">
        <f t="shared" si="70"/>
        <v>17.780526487864332</v>
      </c>
      <c r="W68">
        <f t="shared" si="71"/>
        <v>-69.837692896930776</v>
      </c>
      <c r="X68">
        <f t="shared" si="24"/>
        <v>-4.3427276862828968E-4</v>
      </c>
      <c r="Y68">
        <f t="shared" si="72"/>
        <v>-0.57293881688002213</v>
      </c>
      <c r="AA68" s="123">
        <f t="shared" si="25"/>
        <v>15.261538813196797</v>
      </c>
      <c r="AB68" s="123">
        <f t="shared" si="26"/>
        <v>-13.061403916338467</v>
      </c>
      <c r="AC68">
        <f t="shared" si="27"/>
        <v>3.8072505125348766</v>
      </c>
      <c r="AD68">
        <f t="shared" si="28"/>
        <v>-70.236142196444746</v>
      </c>
      <c r="AE68" s="123">
        <f t="shared" si="29"/>
        <v>19.068789325731672</v>
      </c>
      <c r="AF68" s="123">
        <f t="shared" si="30"/>
        <v>-83.297546112783209</v>
      </c>
      <c r="AI68" s="123">
        <f t="shared" si="31"/>
        <v>0</v>
      </c>
      <c r="AJ68" s="123">
        <f t="shared" si="32"/>
        <v>0</v>
      </c>
      <c r="AK68" s="123">
        <f t="shared" si="33"/>
        <v>0</v>
      </c>
      <c r="AL68" s="123">
        <f t="shared" si="34"/>
        <v>0</v>
      </c>
      <c r="AM68" s="123">
        <f t="shared" si="35"/>
        <v>0</v>
      </c>
      <c r="AN68" s="123">
        <f t="shared" si="36"/>
        <v>0</v>
      </c>
      <c r="AO68" s="123">
        <f t="shared" si="37"/>
        <v>0</v>
      </c>
      <c r="AP68" s="123"/>
      <c r="AQ68" s="123">
        <f t="shared" si="38"/>
        <v>0</v>
      </c>
      <c r="AR68" s="123">
        <f t="shared" si="39"/>
        <v>0</v>
      </c>
      <c r="AS68" s="123">
        <f t="shared" si="40"/>
        <v>0</v>
      </c>
      <c r="AW68" t="str">
        <f t="shared" si="73"/>
        <v>8000</v>
      </c>
      <c r="AX68" t="str">
        <f t="shared" si="74"/>
        <v>3952-9530.23809599688i</v>
      </c>
      <c r="AY68" t="str">
        <f t="shared" si="41"/>
        <v>4726.54083428425-2610.17781516017i</v>
      </c>
      <c r="AZ68">
        <f t="shared" si="75"/>
        <v>0.6674646893361984</v>
      </c>
      <c r="BA68">
        <f t="shared" si="76"/>
        <v>-28.909176181903206</v>
      </c>
      <c r="BB68">
        <f t="shared" si="77"/>
        <v>-1.1711005137032893</v>
      </c>
      <c r="BC68">
        <f t="shared" si="78"/>
        <v>5.8279764073379603</v>
      </c>
      <c r="BD68" s="123">
        <f t="shared" si="42"/>
        <v>-1.1730699894045307</v>
      </c>
      <c r="BE68" s="123">
        <f t="shared" si="43"/>
        <v>4.4265161430474427</v>
      </c>
      <c r="BF68">
        <f t="shared" si="44"/>
        <v>18.447991177200532</v>
      </c>
      <c r="BG68">
        <f t="shared" si="45"/>
        <v>-98.746869078833981</v>
      </c>
      <c r="BH68" s="123">
        <f t="shared" si="46"/>
        <v>17.274921187796</v>
      </c>
      <c r="BI68" s="123">
        <f t="shared" si="47"/>
        <v>-94.320352935786545</v>
      </c>
      <c r="BL68" s="123">
        <f t="shared" si="48"/>
        <v>0</v>
      </c>
      <c r="BM68" s="123">
        <f t="shared" si="49"/>
        <v>0</v>
      </c>
      <c r="BN68" s="123">
        <f t="shared" si="50"/>
        <v>0</v>
      </c>
      <c r="BO68" s="123">
        <f t="shared" si="51"/>
        <v>0</v>
      </c>
      <c r="BP68" s="123">
        <f t="shared" si="52"/>
        <v>0</v>
      </c>
      <c r="BQ68" s="123">
        <f t="shared" si="53"/>
        <v>0</v>
      </c>
      <c r="BR68" s="123">
        <f t="shared" si="54"/>
        <v>0</v>
      </c>
      <c r="BS68" s="123"/>
      <c r="BT68" s="123">
        <f t="shared" si="55"/>
        <v>0</v>
      </c>
      <c r="BU68" s="123">
        <f t="shared" si="56"/>
        <v>0</v>
      </c>
      <c r="BV68" s="123">
        <f t="shared" si="57"/>
        <v>0</v>
      </c>
      <c r="BX68" s="123">
        <f t="shared" si="58"/>
        <v>15.680965764573516</v>
      </c>
      <c r="BY68" s="123"/>
    </row>
    <row r="69" spans="5:77" x14ac:dyDescent="0.25">
      <c r="E69">
        <v>58</v>
      </c>
      <c r="F69">
        <v>2500</v>
      </c>
      <c r="G69" s="58">
        <f t="shared" si="59"/>
        <v>-3.0769334293589447E-3</v>
      </c>
      <c r="H69" s="58">
        <f t="shared" si="60"/>
        <v>-1.7517002020886445</v>
      </c>
      <c r="I69">
        <f t="shared" si="61"/>
        <v>14.898102031121123</v>
      </c>
      <c r="J69">
        <f t="shared" si="62"/>
        <v>-12.929551294511457</v>
      </c>
      <c r="K69" t="str">
        <f t="shared" si="63"/>
        <v>37494.7960502324-441.725067423907i</v>
      </c>
      <c r="L69" t="str">
        <f t="shared" si="64"/>
        <v>100000000-63661990.4812592i</v>
      </c>
      <c r="M69" t="str">
        <f t="shared" si="65"/>
        <v>149839.991794651-101.711840697408i</v>
      </c>
      <c r="N69">
        <f t="shared" si="20"/>
        <v>-13.972382569266523</v>
      </c>
      <c r="O69">
        <f t="shared" si="66"/>
        <v>-0.50876066787488838</v>
      </c>
      <c r="P69" t="str">
        <f t="shared" si="67"/>
        <v>-14169.1498956731i</v>
      </c>
      <c r="Q69" t="str">
        <f t="shared" si="68"/>
        <v>7350-8267.7909715921i</v>
      </c>
      <c r="R69" t="str">
        <f t="shared" si="21"/>
        <v>2647.14494837751-6088.35606249945i</v>
      </c>
      <c r="S69" t="str">
        <f t="shared" si="69"/>
        <v>9199970.31086149-28902553.1288399i</v>
      </c>
      <c r="T69" t="str">
        <f t="shared" si="22"/>
        <v>2646.43309287779-6087.08960253686i</v>
      </c>
      <c r="U69" t="str">
        <f t="shared" si="23"/>
        <v>0.999843774410248-0.0124980471801281i</v>
      </c>
      <c r="V69">
        <f t="shared" si="70"/>
        <v>16.439398515909176</v>
      </c>
      <c r="W69">
        <f t="shared" si="71"/>
        <v>-67.218618402317787</v>
      </c>
      <c r="X69">
        <f t="shared" si="24"/>
        <v>-6.7853211903576923E-4</v>
      </c>
      <c r="Y69">
        <f t="shared" si="72"/>
        <v>-0.71616009446328555</v>
      </c>
      <c r="AA69" s="123">
        <f t="shared" si="25"/>
        <v>14.895025097691764</v>
      </c>
      <c r="AB69" s="123">
        <f t="shared" si="26"/>
        <v>-14.681251496600101</v>
      </c>
      <c r="AC69">
        <f t="shared" si="27"/>
        <v>2.4670159466426522</v>
      </c>
      <c r="AD69">
        <f t="shared" si="28"/>
        <v>-67.727379070192683</v>
      </c>
      <c r="AE69" s="123">
        <f t="shared" si="29"/>
        <v>17.362041044334418</v>
      </c>
      <c r="AF69" s="123">
        <f t="shared" si="30"/>
        <v>-82.40863056679278</v>
      </c>
      <c r="AI69" s="123">
        <f t="shared" si="31"/>
        <v>0</v>
      </c>
      <c r="AJ69" s="123">
        <f t="shared" si="32"/>
        <v>0</v>
      </c>
      <c r="AK69" s="123">
        <f t="shared" si="33"/>
        <v>0</v>
      </c>
      <c r="AL69" s="123">
        <f t="shared" si="34"/>
        <v>0</v>
      </c>
      <c r="AM69" s="123">
        <f t="shared" si="35"/>
        <v>0</v>
      </c>
      <c r="AN69" s="123">
        <f t="shared" si="36"/>
        <v>0</v>
      </c>
      <c r="AO69" s="123">
        <f t="shared" si="37"/>
        <v>0</v>
      </c>
      <c r="AP69" s="123"/>
      <c r="AQ69" s="123">
        <f t="shared" si="38"/>
        <v>16.52358692548755</v>
      </c>
      <c r="AR69" s="123">
        <f t="shared" si="39"/>
        <v>0</v>
      </c>
      <c r="AS69" s="123">
        <f t="shared" si="40"/>
        <v>0</v>
      </c>
      <c r="AW69" t="str">
        <f t="shared" si="73"/>
        <v>8000</v>
      </c>
      <c r="AX69" t="str">
        <f t="shared" si="74"/>
        <v>3952-7624.19047679751i</v>
      </c>
      <c r="AY69" t="str">
        <f t="shared" si="41"/>
        <v>4193.98254703212-2427.86161474589i</v>
      </c>
      <c r="AZ69">
        <f t="shared" si="75"/>
        <v>-0.27167906911870598</v>
      </c>
      <c r="BA69">
        <f t="shared" si="76"/>
        <v>-30.066199420372907</v>
      </c>
      <c r="BB69">
        <f t="shared" si="77"/>
        <v>-0.97299898986099631</v>
      </c>
      <c r="BC69">
        <f t="shared" si="78"/>
        <v>6.047787486272953</v>
      </c>
      <c r="BD69" s="123">
        <f t="shared" si="42"/>
        <v>-0.97607592329035531</v>
      </c>
      <c r="BE69" s="123">
        <f t="shared" si="43"/>
        <v>4.2960872841843081</v>
      </c>
      <c r="BF69">
        <f t="shared" si="44"/>
        <v>16.167719446790471</v>
      </c>
      <c r="BG69">
        <f t="shared" si="45"/>
        <v>-97.284817822690698</v>
      </c>
      <c r="BH69" s="123">
        <f t="shared" si="46"/>
        <v>15.191643523500115</v>
      </c>
      <c r="BI69" s="123">
        <f t="shared" si="47"/>
        <v>-92.988730538506388</v>
      </c>
      <c r="BL69" s="123">
        <f t="shared" si="48"/>
        <v>0</v>
      </c>
      <c r="BM69" s="123">
        <f t="shared" si="49"/>
        <v>0</v>
      </c>
      <c r="BN69" s="123">
        <f t="shared" si="50"/>
        <v>0</v>
      </c>
      <c r="BO69" s="123">
        <f t="shared" si="51"/>
        <v>0</v>
      </c>
      <c r="BP69" s="123">
        <f t="shared" si="52"/>
        <v>0</v>
      </c>
      <c r="BQ69" s="123">
        <f t="shared" si="53"/>
        <v>0</v>
      </c>
      <c r="BR69" s="123">
        <f t="shared" si="54"/>
        <v>0</v>
      </c>
      <c r="BS69" s="123"/>
      <c r="BT69" s="123">
        <f t="shared" si="55"/>
        <v>15.022633950350494</v>
      </c>
      <c r="BU69" s="123">
        <f t="shared" si="56"/>
        <v>0</v>
      </c>
      <c r="BV69" s="123">
        <f t="shared" si="57"/>
        <v>0</v>
      </c>
      <c r="BX69" s="123">
        <f t="shared" si="58"/>
        <v>0</v>
      </c>
      <c r="BY69" s="123"/>
    </row>
    <row r="70" spans="5:77" x14ac:dyDescent="0.25">
      <c r="E70">
        <v>59</v>
      </c>
      <c r="F70">
        <v>3000</v>
      </c>
      <c r="G70" s="58">
        <f t="shared" si="59"/>
        <v>-4.4301290363829319E-3</v>
      </c>
      <c r="H70" s="58">
        <f t="shared" si="60"/>
        <v>-2.1018567815237796</v>
      </c>
      <c r="I70">
        <f t="shared" si="61"/>
        <v>14.550448091164691</v>
      </c>
      <c r="J70">
        <f t="shared" si="62"/>
        <v>-13.649299401132435</v>
      </c>
      <c r="K70" t="str">
        <f t="shared" si="63"/>
        <v>37492.5067698689-530.037716976748i</v>
      </c>
      <c r="L70" t="str">
        <f t="shared" si="64"/>
        <v>100000000-53051658.7343827i</v>
      </c>
      <c r="M70" t="str">
        <f t="shared" si="65"/>
        <v>149824.565002489-92.9317785126257i</v>
      </c>
      <c r="N70">
        <f t="shared" si="20"/>
        <v>-13.971837773812057</v>
      </c>
      <c r="O70">
        <f t="shared" si="66"/>
        <v>-0.61939534689607545</v>
      </c>
      <c r="P70" t="str">
        <f t="shared" si="67"/>
        <v>-11807.6249130609i</v>
      </c>
      <c r="Q70" t="str">
        <f t="shared" si="68"/>
        <v>7350-6889.82580966009i</v>
      </c>
      <c r="R70" t="str">
        <f t="shared" si="21"/>
        <v>2538.88371788935-5349.03264014189i</v>
      </c>
      <c r="S70" t="str">
        <f t="shared" si="69"/>
        <v>6573660.57800507-24782111.3790914i</v>
      </c>
      <c r="T70" t="str">
        <f t="shared" si="22"/>
        <v>2538.08165814741-5347.92559956411i</v>
      </c>
      <c r="U70" t="str">
        <f t="shared" si="23"/>
        <v>0.999775050613612-0.0149966257592042i</v>
      </c>
      <c r="V70">
        <f t="shared" si="70"/>
        <v>15.444932462893071</v>
      </c>
      <c r="W70">
        <f t="shared" si="71"/>
        <v>-65.470753206288933</v>
      </c>
      <c r="X70">
        <f t="shared" si="24"/>
        <v>-9.7705266997797973E-4</v>
      </c>
      <c r="Y70">
        <f t="shared" si="72"/>
        <v>-0.85937242243203782</v>
      </c>
      <c r="AA70" s="123">
        <f t="shared" si="25"/>
        <v>14.546017962128309</v>
      </c>
      <c r="AB70" s="123">
        <f t="shared" si="26"/>
        <v>-15.751156182656214</v>
      </c>
      <c r="AC70">
        <f t="shared" si="27"/>
        <v>1.4730946890810142</v>
      </c>
      <c r="AD70">
        <f t="shared" si="28"/>
        <v>-66.090148553185003</v>
      </c>
      <c r="AE70" s="123">
        <f t="shared" si="29"/>
        <v>16.019112651209323</v>
      </c>
      <c r="AF70" s="123">
        <f t="shared" si="30"/>
        <v>-81.84130473584122</v>
      </c>
      <c r="AI70" s="123">
        <f t="shared" si="31"/>
        <v>0</v>
      </c>
      <c r="AJ70" s="123">
        <f t="shared" si="32"/>
        <v>0</v>
      </c>
      <c r="AK70" s="123">
        <f t="shared" si="33"/>
        <v>0</v>
      </c>
      <c r="AL70" s="123">
        <f t="shared" si="34"/>
        <v>0</v>
      </c>
      <c r="AM70" s="123">
        <f t="shared" si="35"/>
        <v>0</v>
      </c>
      <c r="AN70" s="123">
        <f t="shared" si="36"/>
        <v>0</v>
      </c>
      <c r="AO70" s="123">
        <f t="shared" si="37"/>
        <v>0</v>
      </c>
      <c r="AP70" s="123"/>
      <c r="AQ70" s="123">
        <f t="shared" si="38"/>
        <v>0</v>
      </c>
      <c r="AR70" s="123">
        <f t="shared" si="39"/>
        <v>0</v>
      </c>
      <c r="AS70" s="123">
        <f t="shared" si="40"/>
        <v>0</v>
      </c>
      <c r="AW70" t="str">
        <f t="shared" si="73"/>
        <v>8000</v>
      </c>
      <c r="AX70" t="str">
        <f t="shared" si="74"/>
        <v>3952-6353.49206399792i</v>
      </c>
      <c r="AY70" t="str">
        <f t="shared" si="41"/>
        <v>3825.02000672483-2219.35259827844i</v>
      </c>
      <c r="AZ70">
        <f t="shared" si="75"/>
        <v>-1.0665322881822936</v>
      </c>
      <c r="BA70">
        <f t="shared" si="76"/>
        <v>-30.123164911543697</v>
      </c>
      <c r="BB70">
        <f t="shared" si="77"/>
        <v>-0.80651381679735779</v>
      </c>
      <c r="BC70">
        <f t="shared" si="78"/>
        <v>6.0115089808698521</v>
      </c>
      <c r="BD70" s="123">
        <f t="shared" si="42"/>
        <v>-0.81094394583374074</v>
      </c>
      <c r="BE70" s="123">
        <f t="shared" si="43"/>
        <v>3.9096521993460724</v>
      </c>
      <c r="BF70">
        <f t="shared" si="44"/>
        <v>14.378400174710777</v>
      </c>
      <c r="BG70">
        <f t="shared" si="45"/>
        <v>-95.593918117832629</v>
      </c>
      <c r="BH70" s="123">
        <f t="shared" si="46"/>
        <v>13.567456228877036</v>
      </c>
      <c r="BI70" s="123">
        <f t="shared" si="47"/>
        <v>-91.68426591848656</v>
      </c>
      <c r="BL70" s="123">
        <f t="shared" si="48"/>
        <v>0</v>
      </c>
      <c r="BM70" s="123">
        <f t="shared" si="49"/>
        <v>0</v>
      </c>
      <c r="BN70" s="123">
        <f t="shared" si="50"/>
        <v>0</v>
      </c>
      <c r="BO70" s="123">
        <f t="shared" si="51"/>
        <v>0</v>
      </c>
      <c r="BP70" s="123">
        <f t="shared" si="52"/>
        <v>0</v>
      </c>
      <c r="BQ70" s="123">
        <f t="shared" si="53"/>
        <v>0</v>
      </c>
      <c r="BR70" s="123">
        <f t="shared" si="54"/>
        <v>0</v>
      </c>
      <c r="BS70" s="123"/>
      <c r="BT70" s="123">
        <f t="shared" si="55"/>
        <v>0</v>
      </c>
      <c r="BU70" s="123">
        <f t="shared" si="56"/>
        <v>0</v>
      </c>
      <c r="BV70" s="123">
        <f t="shared" si="57"/>
        <v>0</v>
      </c>
      <c r="BX70" s="123">
        <f t="shared" si="58"/>
        <v>0</v>
      </c>
      <c r="BY70" s="123"/>
    </row>
    <row r="71" spans="5:77" x14ac:dyDescent="0.25">
      <c r="E71">
        <v>60</v>
      </c>
      <c r="F71">
        <v>3500</v>
      </c>
      <c r="G71" s="58">
        <f t="shared" si="59"/>
        <v>-6.0288445320483396E-3</v>
      </c>
      <c r="H71" s="58">
        <f t="shared" si="60"/>
        <v>-2.4519133913449362</v>
      </c>
      <c r="I71">
        <f t="shared" si="61"/>
        <v>14.234120118437927</v>
      </c>
      <c r="J71">
        <f t="shared" si="62"/>
        <v>-13.955379527387748</v>
      </c>
      <c r="K71" t="str">
        <f t="shared" si="63"/>
        <v>37489.8016170955-618.332719419734i</v>
      </c>
      <c r="L71" t="str">
        <f t="shared" si="64"/>
        <v>100000000-45472850.3437566i</v>
      </c>
      <c r="M71" t="str">
        <f t="shared" si="65"/>
        <v>149813.736835434-84.5723116014178i</v>
      </c>
      <c r="N71">
        <f t="shared" si="20"/>
        <v>-13.971536700816182</v>
      </c>
      <c r="O71">
        <f t="shared" si="66"/>
        <v>-0.72989803931142994</v>
      </c>
      <c r="P71" t="str">
        <f t="shared" si="67"/>
        <v>-10120.8213540522i</v>
      </c>
      <c r="Q71" t="str">
        <f t="shared" si="68"/>
        <v>7350-5905.56497970864i</v>
      </c>
      <c r="R71" t="str">
        <f t="shared" si="21"/>
        <v>2421.82888266245-4840.11859108505i</v>
      </c>
      <c r="S71" t="str">
        <f t="shared" si="69"/>
        <v>4915353.53794902-21618849.4927892i</v>
      </c>
      <c r="T71" t="str">
        <f t="shared" si="22"/>
        <v>2420.97364347471-4839.11194663906i</v>
      </c>
      <c r="U71" t="str">
        <f t="shared" si="23"/>
        <v>0.999693843760348-0.0174946422658061i</v>
      </c>
      <c r="V71">
        <f t="shared" si="70"/>
        <v>14.664101717213192</v>
      </c>
      <c r="W71">
        <f t="shared" si="71"/>
        <v>-64.424109269012206</v>
      </c>
      <c r="X71">
        <f t="shared" si="24"/>
        <v>-1.3298232320420092E-3</v>
      </c>
      <c r="Y71">
        <f t="shared" si="72"/>
        <v>-1.0025740123396638</v>
      </c>
      <c r="AA71" s="123">
        <f t="shared" si="25"/>
        <v>14.228091273905878</v>
      </c>
      <c r="AB71" s="123">
        <f t="shared" si="26"/>
        <v>-16.407292918732686</v>
      </c>
      <c r="AC71">
        <f t="shared" si="27"/>
        <v>0.69256501639701007</v>
      </c>
      <c r="AD71">
        <f t="shared" si="28"/>
        <v>-65.154007308323642</v>
      </c>
      <c r="AE71" s="123">
        <f t="shared" si="29"/>
        <v>14.920656290302889</v>
      </c>
      <c r="AF71" s="123">
        <f t="shared" si="30"/>
        <v>-81.561300227056336</v>
      </c>
      <c r="AI71" s="123">
        <f t="shared" si="31"/>
        <v>0</v>
      </c>
      <c r="AJ71" s="123">
        <f t="shared" si="32"/>
        <v>0</v>
      </c>
      <c r="AK71" s="123">
        <f t="shared" si="33"/>
        <v>0</v>
      </c>
      <c r="AL71" s="123">
        <f t="shared" si="34"/>
        <v>0</v>
      </c>
      <c r="AM71" s="123">
        <f t="shared" si="35"/>
        <v>0</v>
      </c>
      <c r="AN71" s="123">
        <f t="shared" si="36"/>
        <v>0</v>
      </c>
      <c r="AO71" s="123">
        <f t="shared" si="37"/>
        <v>0</v>
      </c>
      <c r="AP71" s="123"/>
      <c r="AQ71" s="123">
        <f t="shared" si="38"/>
        <v>0</v>
      </c>
      <c r="AR71" s="123">
        <f t="shared" si="39"/>
        <v>0</v>
      </c>
      <c r="AS71" s="123">
        <f t="shared" si="40"/>
        <v>0</v>
      </c>
      <c r="AW71" t="str">
        <f t="shared" si="73"/>
        <v>8000</v>
      </c>
      <c r="AX71" t="str">
        <f t="shared" si="74"/>
        <v>3952-5445.85034056965i</v>
      </c>
      <c r="AY71" t="str">
        <f t="shared" si="41"/>
        <v>3565.8298843428-2020.4005048942i</v>
      </c>
      <c r="AZ71">
        <f t="shared" si="75"/>
        <v>-1.7270412466956366</v>
      </c>
      <c r="BA71">
        <f t="shared" si="76"/>
        <v>-29.535912749178166</v>
      </c>
      <c r="BB71">
        <f t="shared" si="77"/>
        <v>-0.67097775542738392</v>
      </c>
      <c r="BC71">
        <f t="shared" si="78"/>
        <v>5.831597690217416</v>
      </c>
      <c r="BD71" s="123">
        <f t="shared" si="42"/>
        <v>-0.67700659995943224</v>
      </c>
      <c r="BE71" s="123">
        <f t="shared" si="43"/>
        <v>3.3796842988724798</v>
      </c>
      <c r="BF71">
        <f t="shared" si="44"/>
        <v>12.937060470517556</v>
      </c>
      <c r="BG71">
        <f t="shared" si="45"/>
        <v>-93.960022018190372</v>
      </c>
      <c r="BH71" s="123">
        <f t="shared" si="46"/>
        <v>12.260053870558124</v>
      </c>
      <c r="BI71" s="123">
        <f t="shared" si="47"/>
        <v>-90.580337719317896</v>
      </c>
      <c r="BL71" s="123">
        <f t="shared" si="48"/>
        <v>0</v>
      </c>
      <c r="BM71" s="123">
        <f t="shared" si="49"/>
        <v>0</v>
      </c>
      <c r="BN71" s="123">
        <f t="shared" si="50"/>
        <v>0</v>
      </c>
      <c r="BO71" s="123">
        <f t="shared" si="51"/>
        <v>0</v>
      </c>
      <c r="BP71" s="123">
        <f t="shared" si="52"/>
        <v>0</v>
      </c>
      <c r="BQ71" s="123">
        <f t="shared" si="53"/>
        <v>0</v>
      </c>
      <c r="BR71" s="123">
        <f t="shared" si="54"/>
        <v>0</v>
      </c>
      <c r="BS71" s="123"/>
      <c r="BT71" s="123">
        <f t="shared" si="55"/>
        <v>0</v>
      </c>
      <c r="BU71" s="123">
        <f t="shared" si="56"/>
        <v>0</v>
      </c>
      <c r="BV71" s="123">
        <f t="shared" si="57"/>
        <v>0</v>
      </c>
      <c r="BX71" s="123">
        <f t="shared" si="58"/>
        <v>0</v>
      </c>
      <c r="BY71" s="123"/>
    </row>
    <row r="72" spans="5:77" x14ac:dyDescent="0.25">
      <c r="E72">
        <v>61</v>
      </c>
      <c r="F72">
        <v>4000</v>
      </c>
      <c r="G72" s="58">
        <f t="shared" si="59"/>
        <v>-7.8728225753175937E-3</v>
      </c>
      <c r="H72" s="58">
        <f t="shared" si="60"/>
        <v>-2.8018534531757542</v>
      </c>
      <c r="I72">
        <f t="shared" si="61"/>
        <v>13.954091213235714</v>
      </c>
      <c r="J72">
        <f t="shared" si="62"/>
        <v>-13.968206213081233</v>
      </c>
      <c r="K72" t="str">
        <f t="shared" si="63"/>
        <v>37486.6807719989-706.607138519193i</v>
      </c>
      <c r="L72" t="str">
        <f t="shared" si="64"/>
        <v>100000000-39788744.050787i</v>
      </c>
      <c r="M72" t="str">
        <f t="shared" si="65"/>
        <v>149805.963776522-77.0889429112543i</v>
      </c>
      <c r="N72">
        <f t="shared" si="20"/>
        <v>-13.971407920244507</v>
      </c>
      <c r="O72">
        <f t="shared" si="66"/>
        <v>-0.84012845150284499</v>
      </c>
      <c r="P72" t="str">
        <f t="shared" si="67"/>
        <v>-8855.71868479568i</v>
      </c>
      <c r="Q72" t="str">
        <f t="shared" si="68"/>
        <v>7350-5167.36935724506i</v>
      </c>
      <c r="R72" t="str">
        <f t="shared" si="21"/>
        <v>2299.50030509168-4468.4948438433i</v>
      </c>
      <c r="S72" t="str">
        <f t="shared" si="69"/>
        <v>3807177.60857323-19136957.9482765i</v>
      </c>
      <c r="T72" t="str">
        <f t="shared" si="22"/>
        <v>2298.61440262903-4467.55162418713i</v>
      </c>
      <c r="U72" t="str">
        <f t="shared" si="23"/>
        <v>0.999600159936026-0.0199920031987205i</v>
      </c>
      <c r="V72">
        <f t="shared" si="70"/>
        <v>14.019611883908393</v>
      </c>
      <c r="W72">
        <f t="shared" si="71"/>
        <v>-63.919356620709586</v>
      </c>
      <c r="X72">
        <f t="shared" si="24"/>
        <v>-1.7368305846464187E-3</v>
      </c>
      <c r="Y72">
        <f t="shared" si="72"/>
        <v>-1.1457630765443418</v>
      </c>
      <c r="AA72" s="123">
        <f t="shared" si="25"/>
        <v>13.946218390660396</v>
      </c>
      <c r="AB72" s="123">
        <f t="shared" si="26"/>
        <v>-16.770059666256987</v>
      </c>
      <c r="AC72">
        <f t="shared" si="27"/>
        <v>4.8203963663885574E-2</v>
      </c>
      <c r="AD72">
        <f t="shared" si="28"/>
        <v>-64.759485072212428</v>
      </c>
      <c r="AE72" s="123">
        <f t="shared" si="29"/>
        <v>13.994422354324282</v>
      </c>
      <c r="AF72" s="123">
        <f t="shared" si="30"/>
        <v>-81.529544738469411</v>
      </c>
      <c r="AI72" s="123">
        <f t="shared" si="31"/>
        <v>0</v>
      </c>
      <c r="AJ72" s="123">
        <f t="shared" si="32"/>
        <v>0</v>
      </c>
      <c r="AK72" s="123">
        <f t="shared" si="33"/>
        <v>0</v>
      </c>
      <c r="AL72" s="123">
        <f t="shared" si="34"/>
        <v>0</v>
      </c>
      <c r="AM72" s="123">
        <f t="shared" si="35"/>
        <v>0</v>
      </c>
      <c r="AN72" s="123">
        <f t="shared" si="36"/>
        <v>0</v>
      </c>
      <c r="AO72" s="123">
        <f t="shared" si="37"/>
        <v>0</v>
      </c>
      <c r="AP72" s="123"/>
      <c r="AQ72" s="123">
        <f t="shared" si="38"/>
        <v>0</v>
      </c>
      <c r="AR72" s="123">
        <f t="shared" si="39"/>
        <v>0</v>
      </c>
      <c r="AS72" s="123">
        <f t="shared" si="40"/>
        <v>0</v>
      </c>
      <c r="AW72" t="str">
        <f t="shared" si="73"/>
        <v>8000</v>
      </c>
      <c r="AX72" t="str">
        <f t="shared" si="74"/>
        <v>3952-4765.11904799844i</v>
      </c>
      <c r="AY72" t="str">
        <f t="shared" si="41"/>
        <v>3379.66045197688-1842.07396155501i</v>
      </c>
      <c r="AZ72">
        <f t="shared" si="75"/>
        <v>-2.2722834937973948</v>
      </c>
      <c r="BA72">
        <f t="shared" si="76"/>
        <v>-28.592468419864815</v>
      </c>
      <c r="BB72">
        <f t="shared" si="77"/>
        <v>-0.56206832554920638</v>
      </c>
      <c r="BC72">
        <f t="shared" si="78"/>
        <v>5.5804401782664499</v>
      </c>
      <c r="BD72" s="123">
        <f t="shared" si="42"/>
        <v>-0.56994114812452401</v>
      </c>
      <c r="BE72" s="123">
        <f t="shared" si="43"/>
        <v>2.7785867250906957</v>
      </c>
      <c r="BF72">
        <f t="shared" si="44"/>
        <v>11.747328390110997</v>
      </c>
      <c r="BG72">
        <f t="shared" si="45"/>
        <v>-92.511825040574394</v>
      </c>
      <c r="BH72" s="123">
        <f t="shared" si="46"/>
        <v>11.177387241986473</v>
      </c>
      <c r="BI72" s="123">
        <f t="shared" si="47"/>
        <v>-89.733238315483703</v>
      </c>
      <c r="BL72" s="123">
        <f t="shared" si="48"/>
        <v>0</v>
      </c>
      <c r="BM72" s="123">
        <f t="shared" si="49"/>
        <v>0</v>
      </c>
      <c r="BN72" s="123">
        <f t="shared" si="50"/>
        <v>0</v>
      </c>
      <c r="BO72" s="123">
        <f t="shared" si="51"/>
        <v>0</v>
      </c>
      <c r="BP72" s="123">
        <f t="shared" si="52"/>
        <v>0</v>
      </c>
      <c r="BQ72" s="123">
        <f t="shared" si="53"/>
        <v>0</v>
      </c>
      <c r="BR72" s="123">
        <f t="shared" si="54"/>
        <v>0</v>
      </c>
      <c r="BS72" s="123"/>
      <c r="BT72" s="123">
        <f t="shared" si="55"/>
        <v>0</v>
      </c>
      <c r="BU72" s="123">
        <f t="shared" si="56"/>
        <v>0</v>
      </c>
      <c r="BV72" s="123">
        <f t="shared" si="57"/>
        <v>0</v>
      </c>
      <c r="BX72" s="123">
        <f t="shared" si="58"/>
        <v>0</v>
      </c>
      <c r="BY72" s="123"/>
    </row>
    <row r="73" spans="5:77" x14ac:dyDescent="0.25">
      <c r="E73">
        <v>62</v>
      </c>
      <c r="F73">
        <v>4500</v>
      </c>
      <c r="G73" s="58">
        <f t="shared" si="59"/>
        <v>-9.9617666158390971E-3</v>
      </c>
      <c r="H73" s="58">
        <f t="shared" si="60"/>
        <v>-3.1516604269248529</v>
      </c>
      <c r="I73">
        <f t="shared" si="61"/>
        <v>13.710228143913932</v>
      </c>
      <c r="J73">
        <f t="shared" si="62"/>
        <v>-13.783124840042685</v>
      </c>
      <c r="K73" t="str">
        <f t="shared" si="63"/>
        <v>37483.1444422908-794.858040324531i</v>
      </c>
      <c r="L73" t="str">
        <f t="shared" si="64"/>
        <v>100000000-35367772.4895884i</v>
      </c>
      <c r="M73" t="str">
        <f t="shared" si="65"/>
        <v>149800.248682793-70.5417787465997i</v>
      </c>
      <c r="N73">
        <f t="shared" si="20"/>
        <v>-13.971405269275991</v>
      </c>
      <c r="O73">
        <f t="shared" si="66"/>
        <v>-0.95006719939502238</v>
      </c>
      <c r="P73" t="str">
        <f t="shared" si="67"/>
        <v>-7871.7499420406i</v>
      </c>
      <c r="Q73" t="str">
        <f t="shared" si="68"/>
        <v>7350-4593.21720644006i</v>
      </c>
      <c r="R73" t="str">
        <f t="shared" si="21"/>
        <v>2174.99159960555-4183.15146077466i</v>
      </c>
      <c r="S73" t="str">
        <f t="shared" si="69"/>
        <v>3032370.10014241-17147645.3657639i</v>
      </c>
      <c r="T73" t="str">
        <f t="shared" si="22"/>
        <v>2174.09059191491-4182.24763200007i</v>
      </c>
      <c r="U73" t="str">
        <f t="shared" si="23"/>
        <v>0.999494006159382-0.0224886151385861i</v>
      </c>
      <c r="V73">
        <f t="shared" si="70"/>
        <v>13.464825207101885</v>
      </c>
      <c r="W73">
        <f t="shared" si="71"/>
        <v>-63.821833028983896</v>
      </c>
      <c r="X73">
        <f t="shared" si="24"/>
        <v>-2.1980594777616471E-3</v>
      </c>
      <c r="Y73">
        <f t="shared" si="72"/>
        <v>-1.2889378283427966</v>
      </c>
      <c r="AA73" s="123">
        <f t="shared" si="25"/>
        <v>13.700266377298092</v>
      </c>
      <c r="AB73" s="123">
        <f t="shared" si="26"/>
        <v>-16.934785266967538</v>
      </c>
      <c r="AC73">
        <f t="shared" si="27"/>
        <v>-0.50658006217410545</v>
      </c>
      <c r="AD73">
        <f t="shared" si="28"/>
        <v>-64.771900228378925</v>
      </c>
      <c r="AE73" s="123">
        <f t="shared" si="29"/>
        <v>13.193686315123987</v>
      </c>
      <c r="AF73" s="123">
        <f t="shared" si="30"/>
        <v>-81.706685495346463</v>
      </c>
      <c r="AI73" s="123">
        <f t="shared" si="31"/>
        <v>0</v>
      </c>
      <c r="AJ73" s="123">
        <f t="shared" si="32"/>
        <v>0</v>
      </c>
      <c r="AK73" s="123">
        <f t="shared" si="33"/>
        <v>0</v>
      </c>
      <c r="AL73" s="123">
        <f t="shared" si="34"/>
        <v>0</v>
      </c>
      <c r="AM73" s="123">
        <f t="shared" si="35"/>
        <v>0</v>
      </c>
      <c r="AN73" s="123">
        <f t="shared" si="36"/>
        <v>0</v>
      </c>
      <c r="AO73" s="123">
        <f t="shared" si="37"/>
        <v>0</v>
      </c>
      <c r="AP73" s="123"/>
      <c r="AQ73" s="123">
        <f t="shared" si="38"/>
        <v>0</v>
      </c>
      <c r="AR73" s="123">
        <f t="shared" si="39"/>
        <v>0</v>
      </c>
      <c r="AS73" s="123">
        <f t="shared" si="40"/>
        <v>0</v>
      </c>
      <c r="AW73" t="str">
        <f t="shared" si="73"/>
        <v>8000</v>
      </c>
      <c r="AX73" t="str">
        <f t="shared" si="74"/>
        <v>3952-4235.66137599861i</v>
      </c>
      <c r="AY73" t="str">
        <f t="shared" si="41"/>
        <v>3242.72269339113-1685.9283586444i</v>
      </c>
      <c r="AZ73">
        <f t="shared" si="75"/>
        <v>-2.7221141530721433</v>
      </c>
      <c r="BA73">
        <f t="shared" si="76"/>
        <v>-27.47043938361826</v>
      </c>
      <c r="BB73">
        <f t="shared" si="77"/>
        <v>-0.47477325389964087</v>
      </c>
      <c r="BC73">
        <f t="shared" si="78"/>
        <v>5.3010784273658418</v>
      </c>
      <c r="BD73" s="123">
        <f t="shared" si="42"/>
        <v>-0.48473502051547995</v>
      </c>
      <c r="BE73" s="123">
        <f t="shared" si="43"/>
        <v>2.1494180004409889</v>
      </c>
      <c r="BF73">
        <f t="shared" si="44"/>
        <v>10.742711054029742</v>
      </c>
      <c r="BG73">
        <f t="shared" si="45"/>
        <v>-91.292272412602159</v>
      </c>
      <c r="BH73" s="123">
        <f t="shared" si="46"/>
        <v>10.257976033514263</v>
      </c>
      <c r="BI73" s="123">
        <f t="shared" si="47"/>
        <v>-89.142854412161171</v>
      </c>
      <c r="BL73" s="123">
        <f t="shared" si="48"/>
        <v>0</v>
      </c>
      <c r="BM73" s="123">
        <f t="shared" si="49"/>
        <v>0</v>
      </c>
      <c r="BN73" s="123">
        <f t="shared" si="50"/>
        <v>0</v>
      </c>
      <c r="BO73" s="123">
        <f t="shared" si="51"/>
        <v>0</v>
      </c>
      <c r="BP73" s="123">
        <f t="shared" si="52"/>
        <v>0</v>
      </c>
      <c r="BQ73" s="123">
        <f t="shared" si="53"/>
        <v>0</v>
      </c>
      <c r="BR73" s="123">
        <f t="shared" si="54"/>
        <v>0</v>
      </c>
      <c r="BS73" s="123"/>
      <c r="BT73" s="123">
        <f t="shared" si="55"/>
        <v>0</v>
      </c>
      <c r="BU73" s="123">
        <f t="shared" si="56"/>
        <v>0</v>
      </c>
      <c r="BV73" s="123">
        <f t="shared" si="57"/>
        <v>0</v>
      </c>
      <c r="BX73" s="123">
        <f t="shared" si="58"/>
        <v>0</v>
      </c>
      <c r="BY73" s="123"/>
    </row>
    <row r="74" spans="5:77" x14ac:dyDescent="0.25">
      <c r="E74">
        <v>63</v>
      </c>
      <c r="F74">
        <v>5000</v>
      </c>
      <c r="G74" s="58">
        <f t="shared" si="59"/>
        <v>-1.2295341056493023E-2</v>
      </c>
      <c r="H74" s="58">
        <f t="shared" si="60"/>
        <v>-3.5013178161647365</v>
      </c>
      <c r="I74">
        <f t="shared" si="61"/>
        <v>13.499795177910055</v>
      </c>
      <c r="J74">
        <f t="shared" si="62"/>
        <v>-13.470915845472449</v>
      </c>
      <c r="K74" t="str">
        <f t="shared" si="63"/>
        <v>37479.1928632733-883.082493492873i</v>
      </c>
      <c r="L74" t="str">
        <f t="shared" si="64"/>
        <v>100000000-31830995.2406296i</v>
      </c>
      <c r="M74" t="str">
        <f t="shared" si="65"/>
        <v>149795.949733083-64.8539498261447i</v>
      </c>
      <c r="N74">
        <f t="shared" si="20"/>
        <v>-13.971499025694087</v>
      </c>
      <c r="O74">
        <f t="shared" si="66"/>
        <v>-1.0597368372241909</v>
      </c>
      <c r="P74" t="str">
        <f t="shared" si="67"/>
        <v>-7084.57494783654i</v>
      </c>
      <c r="Q74" t="str">
        <f t="shared" si="68"/>
        <v>7350-4133.89548579605i</v>
      </c>
      <c r="R74" t="str">
        <f t="shared" si="21"/>
        <v>2050.88032263302-3954.27015023417i</v>
      </c>
      <c r="S74" t="str">
        <f t="shared" si="69"/>
        <v>2470453.30571766-15522312.6832323i</v>
      </c>
      <c r="T74" t="str">
        <f t="shared" si="22"/>
        <v>2049.97584682166-3953.38993462317i</v>
      </c>
      <c r="U74" t="str">
        <f t="shared" si="23"/>
        <v>0.999375390381012-0.0249843847595253i</v>
      </c>
      <c r="V74">
        <f t="shared" si="70"/>
        <v>12.970884404071409</v>
      </c>
      <c r="W74">
        <f t="shared" si="71"/>
        <v>-64.023735054435946</v>
      </c>
      <c r="X74">
        <f t="shared" si="24"/>
        <v>-2.7134926337472106E-3</v>
      </c>
      <c r="Y74">
        <f t="shared" si="72"/>
        <v>-1.4320964821038593</v>
      </c>
      <c r="AA74" s="123">
        <f t="shared" si="25"/>
        <v>13.487499836853562</v>
      </c>
      <c r="AB74" s="123">
        <f t="shared" si="26"/>
        <v>-16.972233661637187</v>
      </c>
      <c r="AC74">
        <f t="shared" si="27"/>
        <v>-1.0006146216226774</v>
      </c>
      <c r="AD74">
        <f t="shared" si="28"/>
        <v>-65.083471891660139</v>
      </c>
      <c r="AE74" s="123">
        <f t="shared" si="29"/>
        <v>12.486885215230885</v>
      </c>
      <c r="AF74" s="123">
        <f t="shared" si="30"/>
        <v>-82.055705553297329</v>
      </c>
      <c r="AI74" s="123">
        <f t="shared" si="31"/>
        <v>0</v>
      </c>
      <c r="AJ74" s="123">
        <f t="shared" si="32"/>
        <v>0</v>
      </c>
      <c r="AK74" s="123">
        <f t="shared" si="33"/>
        <v>0</v>
      </c>
      <c r="AL74" s="123">
        <f t="shared" si="34"/>
        <v>0</v>
      </c>
      <c r="AM74" s="123">
        <f t="shared" si="35"/>
        <v>0</v>
      </c>
      <c r="AN74" s="123">
        <f t="shared" si="36"/>
        <v>0</v>
      </c>
      <c r="AO74" s="123">
        <f t="shared" si="37"/>
        <v>0</v>
      </c>
      <c r="AP74" s="123"/>
      <c r="AQ74" s="123">
        <f t="shared" si="38"/>
        <v>0</v>
      </c>
      <c r="AR74" s="123">
        <f t="shared" si="39"/>
        <v>0</v>
      </c>
      <c r="AS74" s="123">
        <f t="shared" si="40"/>
        <v>0</v>
      </c>
      <c r="AW74" t="str">
        <f t="shared" si="73"/>
        <v>8000</v>
      </c>
      <c r="AX74" t="str">
        <f t="shared" si="74"/>
        <v>3952-3812.09523839875i</v>
      </c>
      <c r="AY74" t="str">
        <f t="shared" si="41"/>
        <v>3139.68445105688-1550.19961188433i</v>
      </c>
      <c r="AZ74">
        <f t="shared" si="75"/>
        <v>-3.0942342177913233</v>
      </c>
      <c r="BA74">
        <f t="shared" si="76"/>
        <v>-26.277574795146197</v>
      </c>
      <c r="BB74">
        <f t="shared" si="77"/>
        <v>-0.40457023744845105</v>
      </c>
      <c r="BC74">
        <f t="shared" si="78"/>
        <v>5.017711442967359</v>
      </c>
      <c r="BD74" s="123">
        <f t="shared" si="42"/>
        <v>-0.4168655785049441</v>
      </c>
      <c r="BE74" s="123">
        <f t="shared" si="43"/>
        <v>1.5163936268026226</v>
      </c>
      <c r="BF74">
        <f t="shared" si="44"/>
        <v>9.8766501862800862</v>
      </c>
      <c r="BG74">
        <f t="shared" si="45"/>
        <v>-90.30130984958214</v>
      </c>
      <c r="BH74" s="123">
        <f t="shared" si="46"/>
        <v>9.4597846077751413</v>
      </c>
      <c r="BI74" s="123">
        <f t="shared" si="47"/>
        <v>-88.784916222779515</v>
      </c>
      <c r="BL74" s="123">
        <f t="shared" si="48"/>
        <v>0</v>
      </c>
      <c r="BM74" s="123">
        <f t="shared" si="49"/>
        <v>0</v>
      </c>
      <c r="BN74" s="123">
        <f t="shared" si="50"/>
        <v>0</v>
      </c>
      <c r="BO74" s="123">
        <f t="shared" si="51"/>
        <v>0</v>
      </c>
      <c r="BP74" s="123">
        <f t="shared" si="52"/>
        <v>0</v>
      </c>
      <c r="BQ74" s="123">
        <f t="shared" si="53"/>
        <v>0</v>
      </c>
      <c r="BR74" s="123">
        <f t="shared" si="54"/>
        <v>0</v>
      </c>
      <c r="BS74" s="123"/>
      <c r="BT74" s="123">
        <f t="shared" si="55"/>
        <v>0</v>
      </c>
      <c r="BU74" s="123">
        <f t="shared" si="56"/>
        <v>0</v>
      </c>
      <c r="BV74" s="123">
        <f t="shared" si="57"/>
        <v>0</v>
      </c>
      <c r="BX74" s="123">
        <f t="shared" si="58"/>
        <v>0</v>
      </c>
      <c r="BY74" s="123"/>
    </row>
    <row r="75" spans="5:77" x14ac:dyDescent="0.25">
      <c r="E75">
        <v>64</v>
      </c>
      <c r="F75">
        <v>5500</v>
      </c>
      <c r="G75" s="58">
        <f t="shared" si="59"/>
        <v>-1.4873171437259046E-2</v>
      </c>
      <c r="H75" s="58">
        <f t="shared" si="60"/>
        <v>-3.8508091734748362</v>
      </c>
      <c r="I75">
        <f t="shared" si="61"/>
        <v>13.319001320428725</v>
      </c>
      <c r="J75">
        <f t="shared" si="62"/>
        <v>-13.081998670582738</v>
      </c>
      <c r="K75" t="str">
        <f t="shared" si="63"/>
        <v>37474.8262977995-971.277569613091i</v>
      </c>
      <c r="L75" t="str">
        <f t="shared" si="64"/>
        <v>100000000-28937268.4005724i</v>
      </c>
      <c r="M75" t="str">
        <f t="shared" si="65"/>
        <v>149792.647966606-59.9121462180126i</v>
      </c>
      <c r="N75">
        <f t="shared" si="20"/>
        <v>-13.971669782110791</v>
      </c>
      <c r="O75">
        <f t="shared" si="66"/>
        <v>-1.1691711123138107</v>
      </c>
      <c r="P75" t="str">
        <f t="shared" si="67"/>
        <v>-6440.5226798514i</v>
      </c>
      <c r="Q75" t="str">
        <f t="shared" si="68"/>
        <v>7350-3758.08680526914i</v>
      </c>
      <c r="R75" t="str">
        <f t="shared" si="21"/>
        <v>1929.20625809487-3763.62183052349i</v>
      </c>
      <c r="S75" t="str">
        <f t="shared" si="69"/>
        <v>2050488.54690633-14171956.5131156i</v>
      </c>
      <c r="T75" t="str">
        <f t="shared" si="22"/>
        <v>1928.30736122334-3762.75500158801i</v>
      </c>
      <c r="U75" t="str">
        <f t="shared" si="23"/>
        <v>0.999244321481879-0.0274792188407517i</v>
      </c>
      <c r="V75">
        <f t="shared" si="70"/>
        <v>12.519589068952454</v>
      </c>
      <c r="W75">
        <f t="shared" si="71"/>
        <v>-64.441371878454191</v>
      </c>
      <c r="X75">
        <f t="shared" si="24"/>
        <v>-3.2831107495560861E-3</v>
      </c>
      <c r="Y75">
        <f t="shared" si="72"/>
        <v>-1.5752372534018613</v>
      </c>
      <c r="AA75" s="123">
        <f t="shared" si="25"/>
        <v>13.304128148991467</v>
      </c>
      <c r="AB75" s="123">
        <f t="shared" si="26"/>
        <v>-16.932807844057574</v>
      </c>
      <c r="AC75">
        <f t="shared" si="27"/>
        <v>-1.4520807131583364</v>
      </c>
      <c r="AD75">
        <f t="shared" si="28"/>
        <v>-65.610542990767996</v>
      </c>
      <c r="AE75" s="123">
        <f t="shared" si="29"/>
        <v>11.85204743583313</v>
      </c>
      <c r="AF75" s="123">
        <f t="shared" si="30"/>
        <v>-82.543350834825574</v>
      </c>
      <c r="AI75" s="123">
        <f t="shared" si="31"/>
        <v>0</v>
      </c>
      <c r="AJ75" s="123">
        <f t="shared" si="32"/>
        <v>0</v>
      </c>
      <c r="AK75" s="123">
        <f t="shared" si="33"/>
        <v>0</v>
      </c>
      <c r="AL75" s="123">
        <f t="shared" si="34"/>
        <v>0</v>
      </c>
      <c r="AM75" s="123">
        <f t="shared" si="35"/>
        <v>0</v>
      </c>
      <c r="AN75" s="123">
        <f t="shared" si="36"/>
        <v>0</v>
      </c>
      <c r="AO75" s="123">
        <f t="shared" si="37"/>
        <v>0</v>
      </c>
      <c r="AP75" s="123"/>
      <c r="AQ75" s="123">
        <f t="shared" si="38"/>
        <v>0</v>
      </c>
      <c r="AR75" s="123">
        <f t="shared" si="39"/>
        <v>0</v>
      </c>
      <c r="AS75" s="123">
        <f t="shared" si="40"/>
        <v>0</v>
      </c>
      <c r="AW75" t="str">
        <f t="shared" si="73"/>
        <v>8000</v>
      </c>
      <c r="AX75" t="str">
        <f t="shared" si="74"/>
        <v>3952-3465.54112581705i</v>
      </c>
      <c r="AY75" t="str">
        <f t="shared" si="41"/>
        <v>3060.52808710106-1432.22415110186i</v>
      </c>
      <c r="AZ75">
        <f t="shared" si="75"/>
        <v>-3.4034623523193837</v>
      </c>
      <c r="BA75">
        <f t="shared" si="76"/>
        <v>-25.078017517068815</v>
      </c>
      <c r="BB75">
        <f t="shared" si="77"/>
        <v>-0.34774991864413807</v>
      </c>
      <c r="BC75">
        <f t="shared" si="78"/>
        <v>4.7431991435576304</v>
      </c>
      <c r="BD75" s="123">
        <f t="shared" si="42"/>
        <v>-0.36262309008139709</v>
      </c>
      <c r="BE75" s="123">
        <f t="shared" si="43"/>
        <v>0.89238997008279419</v>
      </c>
      <c r="BF75">
        <f t="shared" si="44"/>
        <v>9.1161267166330706</v>
      </c>
      <c r="BG75">
        <f t="shared" si="45"/>
        <v>-89.519389395523007</v>
      </c>
      <c r="BH75" s="123">
        <f t="shared" si="46"/>
        <v>8.753503626551673</v>
      </c>
      <c r="BI75" s="123">
        <f t="shared" si="47"/>
        <v>-88.626999425440218</v>
      </c>
      <c r="BL75" s="123">
        <f t="shared" si="48"/>
        <v>0</v>
      </c>
      <c r="BM75" s="123">
        <f t="shared" si="49"/>
        <v>0</v>
      </c>
      <c r="BN75" s="123">
        <f t="shared" si="50"/>
        <v>0</v>
      </c>
      <c r="BO75" s="123">
        <f t="shared" si="51"/>
        <v>0</v>
      </c>
      <c r="BP75" s="123">
        <f t="shared" si="52"/>
        <v>0</v>
      </c>
      <c r="BQ75" s="123">
        <f t="shared" si="53"/>
        <v>0</v>
      </c>
      <c r="BR75" s="123">
        <f t="shared" si="54"/>
        <v>0</v>
      </c>
      <c r="BS75" s="123"/>
      <c r="BT75" s="123">
        <f t="shared" si="55"/>
        <v>0</v>
      </c>
      <c r="BU75" s="123">
        <f t="shared" si="56"/>
        <v>0</v>
      </c>
      <c r="BV75" s="123">
        <f t="shared" si="57"/>
        <v>0</v>
      </c>
      <c r="BX75" s="123">
        <f t="shared" si="58"/>
        <v>0</v>
      </c>
      <c r="BY75" s="123"/>
    </row>
    <row r="76" spans="5:77" x14ac:dyDescent="0.25">
      <c r="E76">
        <v>65</v>
      </c>
      <c r="F76">
        <v>6000</v>
      </c>
      <c r="G76" s="58">
        <f t="shared" ref="G76:G107" si="79">20*LOG(IMABS(IMDIV(1,IMSUM(0,IMSUM(COMPLEX(0,2*PI*F76/Wsh),COMPLEX(1-(F76/fsw_sh)^2,0))))))</f>
        <v>-1.7694844639869402E-2</v>
      </c>
      <c r="H76" s="58">
        <f t="shared" ref="H76:H107" si="80">180/PI*IMARGUMENT(IMDIV(1,IMSUM(0,IMSUM(COMPLEX(0,2*PI*F76/Wsh),COMPLEX(1-(F76/fsw_sh)^2,0)))))</f>
        <v>-4.2001181057443091</v>
      </c>
      <c r="I76">
        <f t="shared" ref="I76:I107" si="81">20*LOG(IMABS(IMPRODUCT(A_COMP2VOUT,IMDIV(COMPLEX(1, 2*PI*F76/Wesr_zero),COMPLEX(1, 2*PI*F76/Wload_pole)))))</f>
        <v>13.163859240818605</v>
      </c>
      <c r="J76">
        <f t="shared" ref="J76:J107" si="82">180/PI*(IMARGUMENT(IMPRODUCT(A_COMP2VOUT,IMDIV(COMPLEX(1, 2*PI*F76/Wesr_zero),COMPLEX(1, 2*PI*F76/Wload_pole)))))</f>
        <v>-12.651259335036839</v>
      </c>
      <c r="K76" t="str">
        <f t="shared" ref="K76:K107" si="83">IMDIV(IMPRODUCT(COMPLEX(R.fbb,0),IMDIV(COMPLEX(1,0),COMPLEX(0,2*PI*F76*C.fbb))),IMSUM(COMPLEX(R.fbb,0),IMDIV(COMPLEX(1,0),COMPLEX(0,2*PI*F76*C.fbb))) )</f>
        <v>37470.0450362306-1059.44034352915i</v>
      </c>
      <c r="L76" t="str">
        <f t="shared" ref="L76:L107" si="84">IMSUM(COMPLEX(R.ff,0),IMDIV(COMPLEX(1,0),COMPLEX(0,2*PI*F76*C.ff)))</f>
        <v>100000000-26525829.3671913i</v>
      </c>
      <c r="M76" t="str">
        <f t="shared" ref="M76:M107" si="85">IMDIV(IMPRODUCT(COMPLEX(R.fbt,0),L76),IMSUM(COMPLEX(R.fbt,0),L76))</f>
        <v>149790.064269514-55.6037879675631i</v>
      </c>
      <c r="N76">
        <f t="shared" si="20"/>
        <v>-13.971904604990065</v>
      </c>
      <c r="O76">
        <f t="shared" ref="O76:O107" si="86">180/PI*IMARGUMENT((IMDIV(K76,IMSUM(K76,M76))))</f>
        <v>-1.278403586720418</v>
      </c>
      <c r="P76" t="str">
        <f t="shared" ref="P76:P107" si="87">IMDIV(COMPLEX(1,0),COMPLEX(0,2*PI*F76*C.hf))</f>
        <v>-5903.81245653045i</v>
      </c>
      <c r="Q76" t="str">
        <f t="shared" ref="Q76:Q107" si="88">IMSUM(R.comp,0,IMDIV(COMPLEX(1,0),COMPLEX(0,2*PI*F76*C.comp)))</f>
        <v>7350-3444.91290483004i</v>
      </c>
      <c r="R76" t="str">
        <f t="shared" si="21"/>
        <v>1811.49872148093-3599.70306339019i</v>
      </c>
      <c r="S76" t="str">
        <f t="shared" ref="S76:S107" si="89">IMDIV(IMPRODUCT(COMPLEX(R.eaout,0),IMDIV(1,COMPLEX(0,2*PI*F76*C.eaout))),IMSUM(COMPLEX(R.eaout,0),IMDIV(1,COMPLEX(0,2*PI*F76*C.eaout))))</f>
        <v>1728641.40861098-13033646.4483863i</v>
      </c>
      <c r="T76" t="str">
        <f t="shared" si="22"/>
        <v>1810.61250595701-3598.8432277603i</v>
      </c>
      <c r="U76" t="str">
        <f t="shared" si="23"/>
        <v>0.999100809271656-0.0299730242781497i</v>
      </c>
      <c r="V76">
        <f t="shared" ref="V76:V107" si="90">20*LOG(IMABS(IMPRODUCT(IMPRODUCT(COMPLEX(GM,0),T76),U76)))</f>
        <v>12.09927569002099</v>
      </c>
      <c r="W76">
        <f t="shared" ref="W76:W107" si="91">180/PI*IMARGUMENT((IMPRODUCT(IMPRODUCT(COMPLEX(GM,0),T76),U76)))</f>
        <v>-65.01096504638555</v>
      </c>
      <c r="X76">
        <f t="shared" si="24"/>
        <v>-3.9068924990976498E-3</v>
      </c>
      <c r="Y76">
        <f t="shared" ref="Y76:Y107" si="92">180/PI*IMARGUMENT((U76))</f>
        <v>-1.718358359149764</v>
      </c>
      <c r="AA76" s="123">
        <f t="shared" si="25"/>
        <v>13.146164396178735</v>
      </c>
      <c r="AB76" s="123">
        <f t="shared" si="26"/>
        <v>-16.85137744078115</v>
      </c>
      <c r="AC76">
        <f t="shared" si="27"/>
        <v>-1.8726289149690754</v>
      </c>
      <c r="AD76">
        <f t="shared" si="28"/>
        <v>-66.289368633105966</v>
      </c>
      <c r="AE76" s="123">
        <f t="shared" si="29"/>
        <v>11.27353548120966</v>
      </c>
      <c r="AF76" s="123">
        <f t="shared" si="30"/>
        <v>-83.140746073887115</v>
      </c>
      <c r="AI76" s="123">
        <f t="shared" si="31"/>
        <v>0</v>
      </c>
      <c r="AJ76" s="123">
        <f t="shared" si="32"/>
        <v>0</v>
      </c>
      <c r="AK76" s="123">
        <f t="shared" si="33"/>
        <v>0</v>
      </c>
      <c r="AL76" s="123">
        <f t="shared" si="34"/>
        <v>0</v>
      </c>
      <c r="AM76" s="123">
        <f t="shared" si="35"/>
        <v>0</v>
      </c>
      <c r="AN76" s="123">
        <f t="shared" si="36"/>
        <v>0</v>
      </c>
      <c r="AO76" s="123">
        <f t="shared" si="37"/>
        <v>0</v>
      </c>
      <c r="AP76" s="123"/>
      <c r="AQ76" s="123">
        <f t="shared" si="38"/>
        <v>0</v>
      </c>
      <c r="AR76" s="123">
        <f t="shared" si="39"/>
        <v>0</v>
      </c>
      <c r="AS76" s="123">
        <f t="shared" si="40"/>
        <v>0</v>
      </c>
      <c r="AW76" t="str">
        <f t="shared" ref="AW76:AW107" si="93">COMPLEX(R.imon,0)</f>
        <v>8000</v>
      </c>
      <c r="AX76" t="str">
        <f t="shared" ref="AX76:AX107" si="94">IMSUM(R.imonhf,0,IMDIV(COMPLEX(1,0),COMPLEX(0,2*PI*F76*C.imon)))</f>
        <v>3952-3176.74603199896i</v>
      </c>
      <c r="AY76" t="str">
        <f t="shared" si="41"/>
        <v>2998.57525589228-1329.33870567149i</v>
      </c>
      <c r="AZ76">
        <f t="shared" ref="AZ76:AZ107" si="95">20*LOG(IMABS(IMDIV(IMPRODUCT(IMPRODUCT(COMPLEX(-1,0),COMPLEX(GM.imon,0)),AY76),COMPLEX(A.s_typ,0))))</f>
        <v>-3.6618445120004779</v>
      </c>
      <c r="BA76">
        <f t="shared" ref="BA76:BA107" si="96">180/PI*(IMARGUMENT(IMDIV(IMPRODUCT(IMPRODUCT(COMPLEX(1,0),COMPLEX(GM.imon,0)),AY76),COMPLEX(A.s_typ,0))))</f>
        <v>-23.908837392331904</v>
      </c>
      <c r="BB76">
        <f t="shared" ref="BB76:BB107" si="97">20*LOG(IMABS(IMPRODUCT(A_COMP2CS,IMPRODUCT(IMDIV(COMPLEX(1, 2*PI*F76/Wesr_zero),COMPLEX(1, 2*PI*F76/Wload_pole)),IMDIV(COMPLEX(1, 2*PI*F76/WloadZ),COMPLEX(1, 2*PI*F76/Wesr_zero))))))</f>
        <v>-0.30139595653676526</v>
      </c>
      <c r="BC76">
        <f t="shared" ref="BC76:BC107" si="98">180/PI*(IMARGUMENT(IMPRODUCT(A_COMP2CS,IMPRODUCT(IMDIV(COMPLEX(1, 2*PI*F76/Wesr_zero),COMPLEX(1, 2*PI*F76/Wload_pole)),IMDIV(COMPLEX(1, 2*PI*F76/WloadZ),COMPLEX(1, 2*PI*F76/Wesr_zero))))))</f>
        <v>4.4838249209222711</v>
      </c>
      <c r="BD76" s="123">
        <f t="shared" si="42"/>
        <v>-0.31909080117663469</v>
      </c>
      <c r="BE76" s="123">
        <f t="shared" si="43"/>
        <v>0.28370681517796204</v>
      </c>
      <c r="BF76">
        <f t="shared" si="44"/>
        <v>8.4374311780205122</v>
      </c>
      <c r="BG76">
        <f t="shared" si="45"/>
        <v>-88.919802438717454</v>
      </c>
      <c r="BH76" s="123">
        <f t="shared" si="46"/>
        <v>8.1183403768438769</v>
      </c>
      <c r="BI76" s="123">
        <f t="shared" si="47"/>
        <v>-88.636095623539489</v>
      </c>
      <c r="BL76" s="123">
        <f t="shared" si="48"/>
        <v>0</v>
      </c>
      <c r="BM76" s="123">
        <f t="shared" si="49"/>
        <v>0</v>
      </c>
      <c r="BN76" s="123">
        <f t="shared" si="50"/>
        <v>0</v>
      </c>
      <c r="BO76" s="123">
        <f t="shared" si="51"/>
        <v>0</v>
      </c>
      <c r="BP76" s="123">
        <f t="shared" si="52"/>
        <v>0</v>
      </c>
      <c r="BQ76" s="123">
        <f t="shared" si="53"/>
        <v>0</v>
      </c>
      <c r="BR76" s="123">
        <f t="shared" si="54"/>
        <v>0</v>
      </c>
      <c r="BS76" s="123"/>
      <c r="BT76" s="123">
        <f t="shared" si="55"/>
        <v>0</v>
      </c>
      <c r="BU76" s="123">
        <f t="shared" si="56"/>
        <v>0</v>
      </c>
      <c r="BV76" s="123">
        <f t="shared" si="57"/>
        <v>0</v>
      </c>
      <c r="BX76" s="123">
        <f t="shared" si="58"/>
        <v>0</v>
      </c>
      <c r="BY76" s="123"/>
    </row>
    <row r="77" spans="5:77" x14ac:dyDescent="0.25">
      <c r="E77">
        <v>66</v>
      </c>
      <c r="F77">
        <v>6500</v>
      </c>
      <c r="G77" s="58">
        <f t="shared" si="79"/>
        <v>-2.0759909113181613E-2</v>
      </c>
      <c r="H77" s="58">
        <f t="shared" si="80"/>
        <v>-4.5492282794304693</v>
      </c>
      <c r="I77">
        <f t="shared" si="81"/>
        <v>13.030612686746165</v>
      </c>
      <c r="J77">
        <f t="shared" si="82"/>
        <v>-12.202276913418128</v>
      </c>
      <c r="K77" t="str">
        <f t="shared" si="83"/>
        <v>37464.8493963867-1147.56789366271i</v>
      </c>
      <c r="L77" t="str">
        <f t="shared" si="84"/>
        <v>100000000-24485380.9543305i</v>
      </c>
      <c r="M77" t="str">
        <f t="shared" si="85"/>
        <v>149788.008556581-51.829168758603i</v>
      </c>
      <c r="N77">
        <f t="shared" ref="N77:N138" si="99">20*LOG(IMABS(IMDIV(K77,IMSUM(K77,M77))))</f>
        <v>-13.972194682567789</v>
      </c>
      <c r="O77">
        <f t="shared" si="86"/>
        <v>-1.3874639130824857</v>
      </c>
      <c r="P77" t="str">
        <f t="shared" si="87"/>
        <v>-5449.67303679734i</v>
      </c>
      <c r="Q77" t="str">
        <f t="shared" si="88"/>
        <v>7350-3179.9196044585i</v>
      </c>
      <c r="R77" t="str">
        <f t="shared" ref="R77:R138" si="100">IMDIV(IMPRODUCT(P77,Q77),IMSUM(P77,Q77))</f>
        <v>1698.83381064537-3455.0820502583i</v>
      </c>
      <c r="S77" t="str">
        <f t="shared" si="89"/>
        <v>1476701.388355-12061902.4969169i</v>
      </c>
      <c r="T77" t="str">
        <f t="shared" ref="T77:T138" si="101">IMDIV(IMPRODUCT(R77,S77),IMSUM(R77,S77))</f>
        <v>1697.96579931557-3454.22548022023i</v>
      </c>
      <c r="U77" t="str">
        <f t="shared" ref="U77:U138" si="102">IMDIV(COMPLEX(1,0),IMSUM(COMPLEX(1,0),COMPLEX(0,F77/200000)))</f>
        <v>0.998944864486886-0.0324657080958238i</v>
      </c>
      <c r="V77">
        <f t="shared" si="90"/>
        <v>11.702361834944055</v>
      </c>
      <c r="W77">
        <f t="shared" si="91"/>
        <v>-65.684495946743823</v>
      </c>
      <c r="X77">
        <f t="shared" ref="X77:X138" si="103">20*LOG(IMABS(U77))</f>
        <v>-4.5848145359586217E-3</v>
      </c>
      <c r="Y77">
        <f t="shared" si="92"/>
        <v>-1.8614580177320734</v>
      </c>
      <c r="AA77" s="123">
        <f t="shared" ref="AA77:AA138" si="104">G77+I77</f>
        <v>13.009852777632984</v>
      </c>
      <c r="AB77" s="123">
        <f t="shared" ref="AB77:AB138" si="105">H77+J77</f>
        <v>-16.751505192848597</v>
      </c>
      <c r="AC77">
        <f t="shared" ref="AC77:AC138" si="106">N77+V77</f>
        <v>-2.2698328476237339</v>
      </c>
      <c r="AD77">
        <f t="shared" ref="AD77:AD138" si="107">O77+W77</f>
        <v>-67.071959859826308</v>
      </c>
      <c r="AE77" s="123">
        <f t="shared" ref="AE77:AE138" si="108">AA77+AC77</f>
        <v>10.74001993000925</v>
      </c>
      <c r="AF77" s="123">
        <f t="shared" ref="AF77:AF138" si="109">AB77+AD77</f>
        <v>-83.823465052674905</v>
      </c>
      <c r="AI77" s="123">
        <f t="shared" ref="AI77:AI138" si="110">IF(AND(AE78&lt;$AI$7,AE77&gt;=$AI$7),(($AI$7-AE77)/(AE78-AE77)*(F78-F77)+F77),0)</f>
        <v>0</v>
      </c>
      <c r="AJ77" s="123">
        <f t="shared" ref="AJ77:AJ138" si="111">IF(AND(F78&gt;$AJ$7,F77&lt;=$AJ$7),(($AJ$7-F77)/(F78-F77)*(AF78-AF77)+AF77),0)</f>
        <v>0</v>
      </c>
      <c r="AK77" s="123">
        <f t="shared" ref="AK77:AK138" si="112">IF(AND(AF78&lt;$AK$7,AF77&gt;=$AK$7),(($AK$7-AF77)/(AF78-AF77)*(F78-F77)+F77),0)</f>
        <v>0</v>
      </c>
      <c r="AL77" s="123">
        <f t="shared" ref="AL77:AL138" si="113">IF(AND(F78&gt;$AL$7,F77&lt;=$AL$7),(($AL$7-F77)/(F78-F77)*(AE78-AE77)+AE77),0)</f>
        <v>0</v>
      </c>
      <c r="AM77" s="123">
        <f t="shared" ref="AM77:AM138" si="114">IF(AND(AB78&lt;$AM$7,AB77&gt;=$AM$7),(($AM$7-AB77)/(AB78-AB77)*(F78-F77)+F77),0)</f>
        <v>0</v>
      </c>
      <c r="AN77" s="123">
        <f t="shared" ref="AN77:AN138" si="115">IF(AND(AB78&lt;$AN$7,AB77&gt;=$AN$7),(($AN$7-AB77)/(AB78-AB77)*(AE78-AE77)+AE77),0)</f>
        <v>0</v>
      </c>
      <c r="AO77" s="123">
        <f t="shared" ref="AO77:AO138" si="116">IF(AND(J78&gt;$AO$7,J77&lt;=$AO$7),(($AO$7-J77)/(J78-J77)*(F78-F77)+F77),0)</f>
        <v>0</v>
      </c>
      <c r="AP77" s="123"/>
      <c r="AQ77" s="123">
        <f t="shared" ref="AQ77:AQ137" si="117">IF(AND(F77&lt;$AP$8,F78&gt;=$AP$8),($AP$8-F77)/(F78-F77)*(AE78-AE77)+AE77,0)</f>
        <v>0</v>
      </c>
      <c r="AR77" s="123">
        <f t="shared" ref="AR77:AR137" si="118">IF(AND(AD78&lt;$AR$7,AD77&gt;=$AR$7),(($AR$7-AD77)/(AD78-AD77)*(F78-F77)+F77),0)</f>
        <v>0</v>
      </c>
      <c r="AS77" s="123">
        <f t="shared" ref="AS77:AS137" si="119">IF(AND(AD78&lt;$AS$7,AD77&gt;=$AS$7),(($AS$7-AD77)/(AD78-AD77)*(AE78-AE77)+AE77),0)</f>
        <v>0</v>
      </c>
      <c r="AW77" t="str">
        <f t="shared" si="93"/>
        <v>8000</v>
      </c>
      <c r="AX77" t="str">
        <f t="shared" si="94"/>
        <v>3952-2932.38095261443i</v>
      </c>
      <c r="AY77" t="str">
        <f t="shared" ref="AY77:AY138" si="120">IMDIV(IMPRODUCT(AW77,AX77),IMSUM(AW77,AX77))</f>
        <v>2949.27545560721-1239.17741389555i</v>
      </c>
      <c r="AZ77">
        <f t="shared" si="95"/>
        <v>-3.8790366156505489</v>
      </c>
      <c r="BA77">
        <f t="shared" si="96"/>
        <v>-22.790365173987293</v>
      </c>
      <c r="BB77">
        <f t="shared" si="97"/>
        <v>-0.26325744042816696</v>
      </c>
      <c r="BC77">
        <f t="shared" si="98"/>
        <v>4.2421577242244251</v>
      </c>
      <c r="BD77" s="123">
        <f t="shared" ref="BD77:BD138" si="121">G77+BB77</f>
        <v>-0.28401734954134855</v>
      </c>
      <c r="BE77" s="123">
        <f t="shared" ref="BE77:BE138" si="122">H77+BC77</f>
        <v>-0.3070705552060442</v>
      </c>
      <c r="BF77">
        <f t="shared" ref="BF77:BF138" si="123">AZ77+V77</f>
        <v>7.8233252192935065</v>
      </c>
      <c r="BG77">
        <f t="shared" ref="BG77:BG138" si="124">BA77+W77</f>
        <v>-88.47486112073112</v>
      </c>
      <c r="BH77" s="123">
        <f t="shared" ref="BH77:BH138" si="125">BD77+BF77</f>
        <v>7.5393078697521583</v>
      </c>
      <c r="BI77" s="123">
        <f t="shared" ref="BI77:BI138" si="126">BE77+BG77</f>
        <v>-88.781931675937159</v>
      </c>
      <c r="BL77" s="123">
        <f t="shared" ref="BL77:BL138" si="127">IF(AND(BH78&lt;$BL$7,BH77&gt;=$BL$7),(($BL$7-BH77)/(BH78-BH77)*(F78-F77)+F77),0)</f>
        <v>0</v>
      </c>
      <c r="BM77" s="123">
        <f t="shared" ref="BM77:BM138" si="128">IF(AND(F78&gt;$BM$7,F77&lt;=$BM$7),(($BM$7-F77)/(F78-F77)*(BI78-BI77)+BI77),0)</f>
        <v>0</v>
      </c>
      <c r="BN77" s="123">
        <f t="shared" ref="BN77:BN138" si="129">IF(AND(BI78&lt;$BN$7,BI77&gt;=$BN$7),(($BN$7-BI77)/(BI78-BI77)*(F78-F77)+F77),0)</f>
        <v>0</v>
      </c>
      <c r="BO77" s="123">
        <f t="shared" ref="BO77:BO138" si="130">IF(AND(F78&gt;$BO$7,F77&lt;=$BO$7),(($BO$7-F77)/(F78-F77)*(BH78-BH77)+BH77),0)</f>
        <v>0</v>
      </c>
      <c r="BP77" s="123">
        <f t="shared" ref="BP77:BP138" si="131">IF(AND(BE78&lt;$BP$7,BE77&gt;=$BP$7),(($BP$7-BE77)/(BE78-BE77)*(F78-F77)+F77),0)</f>
        <v>0</v>
      </c>
      <c r="BQ77" s="123">
        <f t="shared" ref="BQ77:BQ138" si="132">IF(AND(BE78&lt;$BQ$7,BE77&gt;=$BQ$7),(($BQ$7-BE77)/(BE78-BE77)*(BH78-BH77)+BH77),0)</f>
        <v>0</v>
      </c>
      <c r="BR77" s="123">
        <f t="shared" ref="BR77:BR138" si="133">IF(AND(AO78&gt;$BR$7,AO77&lt;=$BR$7),(($BR$7-AO77)/(AO78-AO77)*(F78-F77)+F77),0)</f>
        <v>0</v>
      </c>
      <c r="BS77" s="123"/>
      <c r="BT77" s="123">
        <f t="shared" ref="BT77:BT138" si="134">IF(AND(F77&lt;$BS$8,F78&gt;=$AP$8),($AP$8-F77)/(F78-AI77)*(BH78-BH77)+BH77,0)</f>
        <v>0</v>
      </c>
      <c r="BU77" s="123">
        <f t="shared" ref="BU77:BU137" si="135">IF(AND(AD78&lt;$BU$7,AD77&gt;=$BU$7),(($BU$7-AD77)/(AD78-AD77)*(F78-F77)+F77),0)</f>
        <v>0</v>
      </c>
      <c r="BV77" s="123">
        <f t="shared" ref="BV77:BV137" si="136">IF(BU77=0,0,BH77)</f>
        <v>0</v>
      </c>
      <c r="BX77" s="123">
        <f t="shared" ref="BX77:BX138" si="137">IF(AND(F78&gt;$BX$7,F77&lt;=$BX$7),(($BX$7-F77)/(F78-F77)*(BH78-BH77)+BH77),0)</f>
        <v>0</v>
      </c>
      <c r="BY77" s="123"/>
    </row>
    <row r="78" spans="5:77" x14ac:dyDescent="0.25">
      <c r="E78">
        <v>67</v>
      </c>
      <c r="F78">
        <v>7000</v>
      </c>
      <c r="G78" s="58">
        <f t="shared" si="79"/>
        <v>-2.4067875118983839E-2</v>
      </c>
      <c r="H78" s="58">
        <f t="shared" si="80"/>
        <v>-4.8981234257685928</v>
      </c>
      <c r="I78">
        <f t="shared" si="81"/>
        <v>12.915915997054237</v>
      </c>
      <c r="J78">
        <f t="shared" si="82"/>
        <v>-11.750632240770754</v>
      </c>
      <c r="K78" t="str">
        <f t="shared" si="83"/>
        <v>37459.2397234945-1235.65730233484i</v>
      </c>
      <c r="L78" t="str">
        <f t="shared" si="84"/>
        <v>100000000-22736425.1718783i</v>
      </c>
      <c r="M78" t="str">
        <f t="shared" si="85"/>
        <v>149786.348541069-48.5039481663546i</v>
      </c>
      <c r="N78">
        <f t="shared" si="99"/>
        <v>-13.972533879076096</v>
      </c>
      <c r="O78">
        <f t="shared" si="86"/>
        <v>-1.4963770645909529</v>
      </c>
      <c r="P78" t="str">
        <f t="shared" si="87"/>
        <v>-5060.4106770261i</v>
      </c>
      <c r="Q78" t="str">
        <f t="shared" si="88"/>
        <v>7350-2952.78248985432i</v>
      </c>
      <c r="R78" t="str">
        <f t="shared" si="100"/>
        <v>1591.90573562809-3324.86670926381i</v>
      </c>
      <c r="S78" t="str">
        <f t="shared" si="89"/>
        <v>1275873.66031374-11223168.5559066i</v>
      </c>
      <c r="T78" t="str">
        <f t="shared" si="101"/>
        <v>1591.06012257156-3324.0115164655i</v>
      </c>
      <c r="U78" t="str">
        <f t="shared" si="102"/>
        <v>0.998776498788983-0.0349571774576144i</v>
      </c>
      <c r="V78">
        <f t="shared" si="90"/>
        <v>11.323848702154873</v>
      </c>
      <c r="W78">
        <f t="shared" si="91"/>
        <v>-66.42613162598515</v>
      </c>
      <c r="X78">
        <f t="shared" si="103"/>
        <v>-5.3168514962532573E-3</v>
      </c>
      <c r="Y78">
        <f t="shared" si="92"/>
        <v>-2.0045344491374539</v>
      </c>
      <c r="AA78" s="123">
        <f t="shared" si="104"/>
        <v>12.891848121935253</v>
      </c>
      <c r="AB78" s="123">
        <f t="shared" si="105"/>
        <v>-16.648755666539348</v>
      </c>
      <c r="AC78">
        <f t="shared" si="106"/>
        <v>-2.648685176921223</v>
      </c>
      <c r="AD78">
        <f t="shared" si="107"/>
        <v>-67.922508690576109</v>
      </c>
      <c r="AE78" s="123">
        <f t="shared" si="108"/>
        <v>10.24316294501403</v>
      </c>
      <c r="AF78" s="123">
        <f t="shared" si="109"/>
        <v>-84.571264357115453</v>
      </c>
      <c r="AI78" s="123">
        <f t="shared" si="110"/>
        <v>0</v>
      </c>
      <c r="AJ78" s="123">
        <f t="shared" si="111"/>
        <v>0</v>
      </c>
      <c r="AK78" s="123">
        <f t="shared" si="112"/>
        <v>0</v>
      </c>
      <c r="AL78" s="123">
        <f t="shared" si="113"/>
        <v>0</v>
      </c>
      <c r="AM78" s="123">
        <f t="shared" si="114"/>
        <v>0</v>
      </c>
      <c r="AN78" s="123">
        <f t="shared" si="115"/>
        <v>0</v>
      </c>
      <c r="AO78" s="123">
        <f t="shared" si="116"/>
        <v>0</v>
      </c>
      <c r="AP78" s="123"/>
      <c r="AQ78" s="123">
        <f t="shared" si="117"/>
        <v>0</v>
      </c>
      <c r="AR78" s="123">
        <f t="shared" si="118"/>
        <v>0</v>
      </c>
      <c r="AS78" s="123">
        <f t="shared" si="119"/>
        <v>0</v>
      </c>
      <c r="AW78" t="str">
        <f t="shared" si="93"/>
        <v>8000</v>
      </c>
      <c r="AX78" t="str">
        <f t="shared" si="94"/>
        <v>3952-2722.92517028482i</v>
      </c>
      <c r="AY78" t="str">
        <f t="shared" si="120"/>
        <v>2909.46057635708-1159.73543565633i</v>
      </c>
      <c r="AZ78">
        <f t="shared" si="95"/>
        <v>-4.0627334205742116</v>
      </c>
      <c r="BA78">
        <f t="shared" si="96"/>
        <v>-21.732646040834208</v>
      </c>
      <c r="BB78">
        <f t="shared" si="97"/>
        <v>-0.23160784644500726</v>
      </c>
      <c r="BC78">
        <f t="shared" si="98"/>
        <v>4.0187257751581793</v>
      </c>
      <c r="BD78" s="123">
        <f t="shared" si="121"/>
        <v>-0.2556757215639911</v>
      </c>
      <c r="BE78" s="123">
        <f t="shared" si="122"/>
        <v>-0.87939765061041353</v>
      </c>
      <c r="BF78">
        <f t="shared" si="123"/>
        <v>7.2611152815806612</v>
      </c>
      <c r="BG78">
        <f t="shared" si="124"/>
        <v>-88.158777666819361</v>
      </c>
      <c r="BH78" s="123">
        <f t="shared" si="125"/>
        <v>7.0054395600166703</v>
      </c>
      <c r="BI78" s="123">
        <f t="shared" si="126"/>
        <v>-89.038175317429776</v>
      </c>
      <c r="BL78" s="123">
        <f t="shared" si="127"/>
        <v>0</v>
      </c>
      <c r="BM78" s="123">
        <f t="shared" si="128"/>
        <v>0</v>
      </c>
      <c r="BN78" s="123">
        <f t="shared" si="129"/>
        <v>0</v>
      </c>
      <c r="BO78" s="123">
        <f t="shared" si="130"/>
        <v>0</v>
      </c>
      <c r="BP78" s="123">
        <f t="shared" si="131"/>
        <v>0</v>
      </c>
      <c r="BQ78" s="123">
        <f t="shared" si="132"/>
        <v>0</v>
      </c>
      <c r="BR78" s="123">
        <f t="shared" si="133"/>
        <v>0</v>
      </c>
      <c r="BS78" s="123"/>
      <c r="BT78" s="123">
        <f t="shared" si="134"/>
        <v>0</v>
      </c>
      <c r="BU78" s="123">
        <f t="shared" si="135"/>
        <v>0</v>
      </c>
      <c r="BV78" s="123">
        <f t="shared" si="136"/>
        <v>0</v>
      </c>
      <c r="BX78" s="123">
        <f t="shared" si="137"/>
        <v>0</v>
      </c>
      <c r="BY78" s="123"/>
    </row>
    <row r="79" spans="5:77" x14ac:dyDescent="0.25">
      <c r="E79">
        <v>68</v>
      </c>
      <c r="F79">
        <v>7500</v>
      </c>
      <c r="G79" s="58">
        <f t="shared" si="79"/>
        <v>-2.7618214997861143E-2</v>
      </c>
      <c r="H79" s="58">
        <f t="shared" si="80"/>
        <v>-5.2467873459289818</v>
      </c>
      <c r="I79">
        <f t="shared" si="81"/>
        <v>12.816881208315472</v>
      </c>
      <c r="J79">
        <f t="shared" si="82"/>
        <v>-11.30635272272775</v>
      </c>
      <c r="K79" t="str">
        <f t="shared" si="83"/>
        <v>37453.2163901305-1323.70565608691i</v>
      </c>
      <c r="L79" t="str">
        <f t="shared" si="84"/>
        <v>100000000-21220663.4937531i</v>
      </c>
      <c r="M79" t="str">
        <f t="shared" si="85"/>
        <v>149784.99025773-45.5581566509188i</v>
      </c>
      <c r="N79">
        <f t="shared" si="99"/>
        <v>-13.972917832925933</v>
      </c>
      <c r="O79">
        <f t="shared" si="86"/>
        <v>-1.6051636337352968</v>
      </c>
      <c r="P79" t="str">
        <f t="shared" si="87"/>
        <v>-4723.04996522436i</v>
      </c>
      <c r="Q79" t="str">
        <f t="shared" si="88"/>
        <v>7350-2755.93032386403i</v>
      </c>
      <c r="R79" t="str">
        <f t="shared" si="100"/>
        <v>1491.10073631031-3205.7828882298i</v>
      </c>
      <c r="S79" t="str">
        <f t="shared" si="89"/>
        <v>1113258.43014602-10492211.3342379i</v>
      </c>
      <c r="T79" t="str">
        <f t="shared" si="101"/>
        <v>1490.28058968988-3204.92842761324i</v>
      </c>
      <c r="U79" t="str">
        <f t="shared" si="102"/>
        <v>0.998595724762053-0.037447339678577i</v>
      </c>
      <c r="V79">
        <f t="shared" si="90"/>
        <v>10.960391461089481</v>
      </c>
      <c r="W79">
        <f t="shared" si="91"/>
        <v>-67.209335343915683</v>
      </c>
      <c r="X79">
        <f t="shared" si="103"/>
        <v>-6.1029760017995132E-3</v>
      </c>
      <c r="Y79">
        <f t="shared" si="92"/>
        <v>-2.1475858750910586</v>
      </c>
      <c r="AA79" s="123">
        <f t="shared" si="104"/>
        <v>12.78926299331761</v>
      </c>
      <c r="AB79" s="123">
        <f t="shared" si="105"/>
        <v>-16.553140068656731</v>
      </c>
      <c r="AC79">
        <f t="shared" si="106"/>
        <v>-3.0125263718364526</v>
      </c>
      <c r="AD79">
        <f t="shared" si="107"/>
        <v>-68.814498977650985</v>
      </c>
      <c r="AE79" s="123">
        <f t="shared" si="108"/>
        <v>9.7767366214811577</v>
      </c>
      <c r="AF79" s="123">
        <f t="shared" si="109"/>
        <v>-85.367639046307715</v>
      </c>
      <c r="AI79" s="123">
        <f t="shared" si="110"/>
        <v>0</v>
      </c>
      <c r="AJ79" s="123">
        <f t="shared" si="111"/>
        <v>0</v>
      </c>
      <c r="AK79" s="123">
        <f t="shared" si="112"/>
        <v>0</v>
      </c>
      <c r="AL79" s="123">
        <f t="shared" si="113"/>
        <v>0</v>
      </c>
      <c r="AM79" s="123">
        <f t="shared" si="114"/>
        <v>0</v>
      </c>
      <c r="AN79" s="123">
        <f t="shared" si="115"/>
        <v>0</v>
      </c>
      <c r="AO79" s="123">
        <f t="shared" si="116"/>
        <v>0</v>
      </c>
      <c r="AP79" s="123"/>
      <c r="AQ79" s="123">
        <f t="shared" si="117"/>
        <v>0</v>
      </c>
      <c r="AR79" s="123">
        <f t="shared" si="118"/>
        <v>0</v>
      </c>
      <c r="AS79" s="123">
        <f t="shared" si="119"/>
        <v>0</v>
      </c>
      <c r="AW79" t="str">
        <f t="shared" si="93"/>
        <v>8000</v>
      </c>
      <c r="AX79" t="str">
        <f t="shared" si="94"/>
        <v>3952-2541.39682559917i</v>
      </c>
      <c r="AY79" t="str">
        <f t="shared" si="120"/>
        <v>2876.87955414974-1089.34756009422i</v>
      </c>
      <c r="AZ79">
        <f t="shared" si="95"/>
        <v>-4.2190593322447469</v>
      </c>
      <c r="BA79">
        <f t="shared" si="96"/>
        <v>-20.739473804312581</v>
      </c>
      <c r="BB79">
        <f t="shared" si="97"/>
        <v>-0.20512230932142272</v>
      </c>
      <c r="BC79">
        <f t="shared" si="98"/>
        <v>3.8129805348024046</v>
      </c>
      <c r="BD79" s="123">
        <f t="shared" si="121"/>
        <v>-0.23274052431928388</v>
      </c>
      <c r="BE79" s="123">
        <f t="shared" si="122"/>
        <v>-1.4338068111265772</v>
      </c>
      <c r="BF79">
        <f t="shared" si="123"/>
        <v>6.7413321288447339</v>
      </c>
      <c r="BG79">
        <f t="shared" si="124"/>
        <v>-87.948809148228264</v>
      </c>
      <c r="BH79" s="123">
        <f t="shared" si="125"/>
        <v>6.5085916045254502</v>
      </c>
      <c r="BI79" s="123">
        <f t="shared" si="126"/>
        <v>-89.382615959354837</v>
      </c>
      <c r="BL79" s="123">
        <f t="shared" si="127"/>
        <v>0</v>
      </c>
      <c r="BM79" s="123">
        <f t="shared" si="128"/>
        <v>0</v>
      </c>
      <c r="BN79" s="123">
        <f t="shared" si="129"/>
        <v>0</v>
      </c>
      <c r="BO79" s="123">
        <f t="shared" si="130"/>
        <v>0</v>
      </c>
      <c r="BP79" s="123">
        <f t="shared" si="131"/>
        <v>0</v>
      </c>
      <c r="BQ79" s="123">
        <f t="shared" si="132"/>
        <v>0</v>
      </c>
      <c r="BR79" s="123">
        <f t="shared" si="133"/>
        <v>0</v>
      </c>
      <c r="BS79" s="123"/>
      <c r="BT79" s="123">
        <f t="shared" si="134"/>
        <v>0</v>
      </c>
      <c r="BU79" s="123">
        <f t="shared" si="135"/>
        <v>0</v>
      </c>
      <c r="BV79" s="123">
        <f t="shared" si="136"/>
        <v>0</v>
      </c>
      <c r="BX79" s="123">
        <f t="shared" si="137"/>
        <v>0</v>
      </c>
      <c r="BY79" s="123"/>
    </row>
    <row r="80" spans="5:77" x14ac:dyDescent="0.25">
      <c r="E80">
        <v>69</v>
      </c>
      <c r="F80">
        <v>8000</v>
      </c>
      <c r="G80" s="58">
        <f t="shared" si="79"/>
        <v>-3.1410363455032196E-2</v>
      </c>
      <c r="H80" s="58">
        <f t="shared" si="80"/>
        <v>-5.5952039161173657</v>
      </c>
      <c r="I80">
        <f t="shared" si="81"/>
        <v>12.73106013684502</v>
      </c>
      <c r="J80">
        <f t="shared" si="82"/>
        <v>-10.875660538309841</v>
      </c>
      <c r="K80" t="str">
        <f t="shared" si="83"/>
        <v>37446.779796158-1411.71004600046i</v>
      </c>
      <c r="L80" t="str">
        <f t="shared" si="84"/>
        <v>100000000-19894372.0253935i</v>
      </c>
      <c r="M80" t="str">
        <f t="shared" si="85"/>
        <v>149783.865683728-42.9341637079892i</v>
      </c>
      <c r="N80">
        <f t="shared" si="99"/>
        <v>-13.973343383466201</v>
      </c>
      <c r="O80">
        <f t="shared" si="86"/>
        <v>-1.7138404498397009</v>
      </c>
      <c r="P80" t="str">
        <f t="shared" si="87"/>
        <v>-4427.85934239784i</v>
      </c>
      <c r="Q80" t="str">
        <f t="shared" si="88"/>
        <v>7350-2583.68467862253i</v>
      </c>
      <c r="R80" t="str">
        <f t="shared" si="100"/>
        <v>1396.56631252672-3095.60271946516i</v>
      </c>
      <c r="S80" t="str">
        <f t="shared" si="89"/>
        <v>979770.607532322-9849726.40786778i</v>
      </c>
      <c r="T80" t="str">
        <f t="shared" si="101"/>
        <v>1395.77375358107-3094.74915776037i</v>
      </c>
      <c r="U80" t="str">
        <f t="shared" si="102"/>
        <v>0.998402555910543-0.0399361022364217i</v>
      </c>
      <c r="V80">
        <f t="shared" si="90"/>
        <v>10.609713645750549</v>
      </c>
      <c r="W80">
        <f t="shared" si="91"/>
        <v>-68.01460513423234</v>
      </c>
      <c r="X80">
        <f t="shared" si="103"/>
        <v>-6.9431586635440327E-3</v>
      </c>
      <c r="Y80">
        <f t="shared" si="92"/>
        <v>-2.2906105191865156</v>
      </c>
      <c r="AA80" s="123">
        <f t="shared" si="104"/>
        <v>12.699649773389988</v>
      </c>
      <c r="AB80" s="123">
        <f t="shared" si="105"/>
        <v>-16.470864454427208</v>
      </c>
      <c r="AC80">
        <f t="shared" si="106"/>
        <v>-3.3636297377156517</v>
      </c>
      <c r="AD80">
        <f t="shared" si="107"/>
        <v>-69.728445584072034</v>
      </c>
      <c r="AE80" s="123">
        <f t="shared" si="108"/>
        <v>9.3360200356743359</v>
      </c>
      <c r="AF80" s="123">
        <f t="shared" si="109"/>
        <v>-86.199310038499249</v>
      </c>
      <c r="AI80" s="123">
        <f t="shared" si="110"/>
        <v>0</v>
      </c>
      <c r="AJ80" s="123">
        <f t="shared" si="111"/>
        <v>0</v>
      </c>
      <c r="AK80" s="123">
        <f t="shared" si="112"/>
        <v>0</v>
      </c>
      <c r="AL80" s="123">
        <f t="shared" si="113"/>
        <v>0</v>
      </c>
      <c r="AM80" s="123">
        <f t="shared" si="114"/>
        <v>0</v>
      </c>
      <c r="AN80" s="123">
        <f t="shared" si="115"/>
        <v>0</v>
      </c>
      <c r="AO80" s="123">
        <f t="shared" si="116"/>
        <v>0</v>
      </c>
      <c r="AP80" s="123"/>
      <c r="AQ80" s="123">
        <f t="shared" si="117"/>
        <v>0</v>
      </c>
      <c r="AR80" s="123">
        <f t="shared" si="118"/>
        <v>0</v>
      </c>
      <c r="AS80" s="123">
        <f t="shared" si="119"/>
        <v>0</v>
      </c>
      <c r="AW80" t="str">
        <f t="shared" si="93"/>
        <v>8000</v>
      </c>
      <c r="AX80" t="str">
        <f t="shared" si="94"/>
        <v>3952-2382.55952399922i</v>
      </c>
      <c r="AY80" t="str">
        <f t="shared" si="120"/>
        <v>2849.90239821346-1026.64107184255i</v>
      </c>
      <c r="AZ80">
        <f t="shared" si="95"/>
        <v>-4.3528965323457953</v>
      </c>
      <c r="BA80">
        <f t="shared" si="96"/>
        <v>-19.810914634713185</v>
      </c>
      <c r="BB80">
        <f t="shared" si="97"/>
        <v>-0.18277997214677477</v>
      </c>
      <c r="BC80">
        <f t="shared" si="98"/>
        <v>3.6238455938204832</v>
      </c>
      <c r="BD80" s="123">
        <f t="shared" si="121"/>
        <v>-0.21419033560180697</v>
      </c>
      <c r="BE80" s="123">
        <f t="shared" si="122"/>
        <v>-1.9713583222968825</v>
      </c>
      <c r="BF80">
        <f t="shared" si="123"/>
        <v>6.2568171134047539</v>
      </c>
      <c r="BG80">
        <f t="shared" si="124"/>
        <v>-87.825519768945526</v>
      </c>
      <c r="BH80" s="123">
        <f t="shared" si="125"/>
        <v>6.0426267778029468</v>
      </c>
      <c r="BI80" s="123">
        <f t="shared" si="126"/>
        <v>-89.796878091242405</v>
      </c>
      <c r="BL80" s="123">
        <f t="shared" si="127"/>
        <v>0</v>
      </c>
      <c r="BM80" s="123">
        <f t="shared" si="128"/>
        <v>0</v>
      </c>
      <c r="BN80" s="123">
        <f t="shared" si="129"/>
        <v>0</v>
      </c>
      <c r="BO80" s="123">
        <f t="shared" si="130"/>
        <v>0</v>
      </c>
      <c r="BP80" s="123">
        <f t="shared" si="131"/>
        <v>0</v>
      </c>
      <c r="BQ80" s="123">
        <f t="shared" si="132"/>
        <v>0</v>
      </c>
      <c r="BR80" s="123">
        <f t="shared" si="133"/>
        <v>0</v>
      </c>
      <c r="BS80" s="123"/>
      <c r="BT80" s="123">
        <f t="shared" si="134"/>
        <v>0</v>
      </c>
      <c r="BU80" s="123">
        <f t="shared" si="135"/>
        <v>0</v>
      </c>
      <c r="BV80" s="123">
        <f t="shared" si="136"/>
        <v>0</v>
      </c>
      <c r="BX80" s="123">
        <f t="shared" si="137"/>
        <v>0</v>
      </c>
      <c r="BY80" s="123"/>
    </row>
    <row r="81" spans="5:77" x14ac:dyDescent="0.25">
      <c r="E81">
        <v>70</v>
      </c>
      <c r="F81">
        <v>8500</v>
      </c>
      <c r="G81" s="58">
        <f t="shared" si="79"/>
        <v>-3.544371786553225E-2</v>
      </c>
      <c r="H81" s="58">
        <f t="shared" si="80"/>
        <v>-5.9433570926145416</v>
      </c>
      <c r="I81">
        <f t="shared" si="81"/>
        <v>12.656398618887419</v>
      </c>
      <c r="J81">
        <f t="shared" si="82"/>
        <v>-10.462198603186904</v>
      </c>
      <c r="K81" t="str">
        <f t="shared" si="83"/>
        <v>37439.9303686622-1499.66756801601i</v>
      </c>
      <c r="L81" t="str">
        <f t="shared" si="84"/>
        <v>100000000-18724114.8474292i</v>
      </c>
      <c r="M81" t="str">
        <f t="shared" si="85"/>
        <v>149782.924710623-40.5845496637599i</v>
      </c>
      <c r="N81">
        <f t="shared" si="99"/>
        <v>-13.973808199193915</v>
      </c>
      <c r="O81">
        <f t="shared" si="86"/>
        <v>-1.8224212272493461</v>
      </c>
      <c r="P81" t="str">
        <f t="shared" si="87"/>
        <v>-4167.39702813914i</v>
      </c>
      <c r="Q81" t="str">
        <f t="shared" si="88"/>
        <v>7350-2431.70322693885i</v>
      </c>
      <c r="R81" t="str">
        <f t="shared" si="100"/>
        <v>1308.27189335746-2992.7824179124i</v>
      </c>
      <c r="S81" t="str">
        <f t="shared" si="89"/>
        <v>868865.747191007-9280713.71352758i</v>
      </c>
      <c r="T81" t="str">
        <f t="shared" si="101"/>
        <v>1307.50825840243-2991.93042344711i</v>
      </c>
      <c r="U81" t="str">
        <f t="shared" si="102"/>
        <v>0.998197006656726-0.0424233727829109i</v>
      </c>
      <c r="V81">
        <f t="shared" si="90"/>
        <v>10.270233927664435</v>
      </c>
      <c r="W81">
        <f t="shared" si="91"/>
        <v>-68.827735180776457</v>
      </c>
      <c r="X81">
        <f t="shared" si="103"/>
        <v>-7.8373680852157779E-3</v>
      </c>
      <c r="Y81">
        <f t="shared" si="92"/>
        <v>-2.4336066070176021</v>
      </c>
      <c r="AA81" s="123">
        <f t="shared" si="104"/>
        <v>12.620954901021886</v>
      </c>
      <c r="AB81" s="123">
        <f t="shared" si="105"/>
        <v>-16.405555695801446</v>
      </c>
      <c r="AC81">
        <f t="shared" si="106"/>
        <v>-3.7035742715294795</v>
      </c>
      <c r="AD81">
        <f t="shared" si="107"/>
        <v>-70.650156408025808</v>
      </c>
      <c r="AE81" s="123">
        <f t="shared" si="108"/>
        <v>8.9173806294924063</v>
      </c>
      <c r="AF81" s="123">
        <f t="shared" si="109"/>
        <v>-87.055712103827261</v>
      </c>
      <c r="AI81" s="123">
        <f t="shared" si="110"/>
        <v>0</v>
      </c>
      <c r="AJ81" s="123">
        <f t="shared" si="111"/>
        <v>0</v>
      </c>
      <c r="AK81" s="123">
        <f t="shared" si="112"/>
        <v>0</v>
      </c>
      <c r="AL81" s="123">
        <f t="shared" si="113"/>
        <v>0</v>
      </c>
      <c r="AM81" s="123">
        <f t="shared" si="114"/>
        <v>0</v>
      </c>
      <c r="AN81" s="123">
        <f t="shared" si="115"/>
        <v>0</v>
      </c>
      <c r="AO81" s="123">
        <f t="shared" si="116"/>
        <v>0</v>
      </c>
      <c r="AP81" s="123"/>
      <c r="AQ81" s="123">
        <f t="shared" si="117"/>
        <v>0</v>
      </c>
      <c r="AR81" s="123">
        <f t="shared" si="118"/>
        <v>0</v>
      </c>
      <c r="AS81" s="123">
        <f t="shared" si="119"/>
        <v>0</v>
      </c>
      <c r="AW81" t="str">
        <f t="shared" si="93"/>
        <v>8000</v>
      </c>
      <c r="AX81" t="str">
        <f t="shared" si="94"/>
        <v>3952-2242.40896376397i</v>
      </c>
      <c r="AY81" t="str">
        <f t="shared" si="120"/>
        <v>2827.32814220314-970.485754730033i</v>
      </c>
      <c r="AZ81">
        <f t="shared" si="95"/>
        <v>-4.4681497578852367</v>
      </c>
      <c r="BA81">
        <f t="shared" si="96"/>
        <v>-18.944884693260736</v>
      </c>
      <c r="BB81">
        <f t="shared" si="97"/>
        <v>-0.1637893530931025</v>
      </c>
      <c r="BC81">
        <f t="shared" si="98"/>
        <v>3.4500250798685719</v>
      </c>
      <c r="BD81" s="123">
        <f t="shared" si="121"/>
        <v>-0.19923307095863474</v>
      </c>
      <c r="BE81" s="123">
        <f t="shared" si="122"/>
        <v>-2.4933320127459697</v>
      </c>
      <c r="BF81">
        <f t="shared" si="123"/>
        <v>5.8020841697791985</v>
      </c>
      <c r="BG81">
        <f t="shared" si="124"/>
        <v>-87.77261987403719</v>
      </c>
      <c r="BH81" s="123">
        <f t="shared" si="125"/>
        <v>5.6028510988205635</v>
      </c>
      <c r="BI81" s="123">
        <f t="shared" si="126"/>
        <v>-90.265951886783157</v>
      </c>
      <c r="BL81" s="123">
        <f t="shared" si="127"/>
        <v>0</v>
      </c>
      <c r="BM81" s="123">
        <f t="shared" si="128"/>
        <v>0</v>
      </c>
      <c r="BN81" s="123">
        <f t="shared" si="129"/>
        <v>0</v>
      </c>
      <c r="BO81" s="123">
        <f t="shared" si="130"/>
        <v>0</v>
      </c>
      <c r="BP81" s="123">
        <f t="shared" si="131"/>
        <v>0</v>
      </c>
      <c r="BQ81" s="123">
        <f t="shared" si="132"/>
        <v>0</v>
      </c>
      <c r="BR81" s="123">
        <f t="shared" si="133"/>
        <v>0</v>
      </c>
      <c r="BS81" s="123"/>
      <c r="BT81" s="123">
        <f t="shared" si="134"/>
        <v>0</v>
      </c>
      <c r="BU81" s="123">
        <f t="shared" si="135"/>
        <v>0</v>
      </c>
      <c r="BV81" s="123">
        <f t="shared" si="136"/>
        <v>0</v>
      </c>
      <c r="BX81" s="123">
        <f t="shared" si="137"/>
        <v>0</v>
      </c>
      <c r="BY81" s="123"/>
    </row>
    <row r="82" spans="5:77" x14ac:dyDescent="0.25">
      <c r="E82">
        <v>71</v>
      </c>
      <c r="F82">
        <v>9000</v>
      </c>
      <c r="G82" s="58">
        <f t="shared" si="79"/>
        <v>-3.9717638598720524E-2</v>
      </c>
      <c r="H82" s="58">
        <f t="shared" si="80"/>
        <v>-6.291230916751517</v>
      </c>
      <c r="I82">
        <f t="shared" si="81"/>
        <v>12.591182355725341</v>
      </c>
      <c r="J82">
        <f t="shared" si="82"/>
        <v>-10.067880111824977</v>
      </c>
      <c r="K82" t="str">
        <f t="shared" si="83"/>
        <v>37432.6685618786-1587.57532325077i</v>
      </c>
      <c r="L82" t="str">
        <f t="shared" si="84"/>
        <v>100000000-17683886.2447942i</v>
      </c>
      <c r="M82" t="str">
        <f t="shared" si="85"/>
        <v>149782.129832929-38.4702071953546i</v>
      </c>
      <c r="N82">
        <f t="shared" si="99"/>
        <v>-13.974310531754899</v>
      </c>
      <c r="O82">
        <f t="shared" si="86"/>
        <v>-1.9309171440685562</v>
      </c>
      <c r="P82" t="str">
        <f t="shared" si="87"/>
        <v>-3935.8749710203i</v>
      </c>
      <c r="Q82" t="str">
        <f t="shared" si="88"/>
        <v>7350-2296.60860322003i</v>
      </c>
      <c r="R82" t="str">
        <f t="shared" si="100"/>
        <v>1226.05949081849-2896.2293060451i</v>
      </c>
      <c r="S82" t="str">
        <f t="shared" si="89"/>
        <v>775734.889673732-8773353.08467157i</v>
      </c>
      <c r="T82" t="str">
        <f t="shared" si="101"/>
        <v>1225.32547698991-2895.37982899262i</v>
      </c>
      <c r="U82" t="str">
        <f t="shared" si="102"/>
        <v>0.997979092338016-0.0449090591552107i</v>
      </c>
      <c r="V82">
        <f t="shared" si="90"/>
        <v>9.9408260200837049</v>
      </c>
      <c r="W82">
        <f t="shared" si="91"/>
        <v>-69.638492646282415</v>
      </c>
      <c r="X82">
        <f t="shared" si="103"/>
        <v>-8.7855708671930096E-3</v>
      </c>
      <c r="Y82">
        <f t="shared" si="92"/>
        <v>-2.5765723663094895</v>
      </c>
      <c r="AA82" s="123">
        <f t="shared" si="104"/>
        <v>12.55146471712662</v>
      </c>
      <c r="AB82" s="123">
        <f t="shared" si="105"/>
        <v>-16.359111028576493</v>
      </c>
      <c r="AC82">
        <f t="shared" si="106"/>
        <v>-4.0334845116711939</v>
      </c>
      <c r="AD82">
        <f t="shared" si="107"/>
        <v>-71.569409790350974</v>
      </c>
      <c r="AE82" s="123">
        <f t="shared" si="108"/>
        <v>8.5179802054554266</v>
      </c>
      <c r="AF82" s="123">
        <f t="shared" si="109"/>
        <v>-87.928520818927467</v>
      </c>
      <c r="AI82" s="123">
        <f t="shared" si="110"/>
        <v>0</v>
      </c>
      <c r="AJ82" s="123">
        <f t="shared" si="111"/>
        <v>0</v>
      </c>
      <c r="AK82" s="123">
        <f t="shared" si="112"/>
        <v>0</v>
      </c>
      <c r="AL82" s="123">
        <f t="shared" si="113"/>
        <v>0</v>
      </c>
      <c r="AM82" s="123">
        <f t="shared" si="114"/>
        <v>0</v>
      </c>
      <c r="AN82" s="123">
        <f t="shared" si="115"/>
        <v>0</v>
      </c>
      <c r="AO82" s="123">
        <f t="shared" si="116"/>
        <v>0</v>
      </c>
      <c r="AP82" s="123"/>
      <c r="AQ82" s="123">
        <f t="shared" si="117"/>
        <v>0</v>
      </c>
      <c r="AR82" s="123">
        <f t="shared" si="118"/>
        <v>0</v>
      </c>
      <c r="AS82" s="123">
        <f t="shared" si="119"/>
        <v>0</v>
      </c>
      <c r="AW82" t="str">
        <f t="shared" si="93"/>
        <v>8000</v>
      </c>
      <c r="AX82" t="str">
        <f t="shared" si="94"/>
        <v>3952-2117.83068799931i</v>
      </c>
      <c r="AY82" t="str">
        <f t="shared" si="120"/>
        <v>2808.25772600894-919.949055559036i</v>
      </c>
      <c r="AZ82">
        <f t="shared" si="95"/>
        <v>-4.5679555979326727</v>
      </c>
      <c r="BA82">
        <f t="shared" si="96"/>
        <v>-18.138133081533752</v>
      </c>
      <c r="BB82">
        <f t="shared" si="97"/>
        <v>-0.14753233940854463</v>
      </c>
      <c r="BC82">
        <f t="shared" si="98"/>
        <v>3.2901733475250814</v>
      </c>
      <c r="BD82" s="123">
        <f t="shared" si="121"/>
        <v>-0.18724997800726514</v>
      </c>
      <c r="BE82" s="123">
        <f t="shared" si="122"/>
        <v>-3.0010575692264356</v>
      </c>
      <c r="BF82">
        <f t="shared" si="123"/>
        <v>5.3728704221510322</v>
      </c>
      <c r="BG82">
        <f t="shared" si="124"/>
        <v>-87.776625727816167</v>
      </c>
      <c r="BH82" s="123">
        <f t="shared" si="125"/>
        <v>5.1856204441437672</v>
      </c>
      <c r="BI82" s="123">
        <f t="shared" si="126"/>
        <v>-90.7776832970426</v>
      </c>
      <c r="BL82" s="123">
        <f t="shared" si="127"/>
        <v>0</v>
      </c>
      <c r="BM82" s="123">
        <f t="shared" si="128"/>
        <v>0</v>
      </c>
      <c r="BN82" s="123">
        <f t="shared" si="129"/>
        <v>0</v>
      </c>
      <c r="BO82" s="123">
        <f t="shared" si="130"/>
        <v>0</v>
      </c>
      <c r="BP82" s="123">
        <f t="shared" si="131"/>
        <v>0</v>
      </c>
      <c r="BQ82" s="123">
        <f t="shared" si="132"/>
        <v>0</v>
      </c>
      <c r="BR82" s="123">
        <f t="shared" si="133"/>
        <v>0</v>
      </c>
      <c r="BS82" s="123"/>
      <c r="BT82" s="123">
        <f t="shared" si="134"/>
        <v>0</v>
      </c>
      <c r="BU82" s="123">
        <f t="shared" si="135"/>
        <v>0</v>
      </c>
      <c r="BV82" s="123">
        <f t="shared" si="136"/>
        <v>0</v>
      </c>
      <c r="BX82" s="123">
        <f t="shared" si="137"/>
        <v>0</v>
      </c>
      <c r="BY82" s="123"/>
    </row>
    <row r="83" spans="5:77" x14ac:dyDescent="0.25">
      <c r="E83">
        <v>72</v>
      </c>
      <c r="F83">
        <v>9500</v>
      </c>
      <c r="G83" s="58">
        <f t="shared" si="79"/>
        <v>-4.4231449361505179E-2</v>
      </c>
      <c r="H83" s="58">
        <f t="shared" si="80"/>
        <v>-6.6388095198164097</v>
      </c>
      <c r="I83">
        <f t="shared" si="81"/>
        <v>12.533983857625394</v>
      </c>
      <c r="J83">
        <f t="shared" si="82"/>
        <v>-9.6934727786702108</v>
      </c>
      <c r="K83" t="str">
        <f t="shared" si="83"/>
        <v>37424.9948571179-1675.43041831507i</v>
      </c>
      <c r="L83" t="str">
        <f t="shared" si="84"/>
        <v>100000000-16753155.389805i</v>
      </c>
      <c r="M83" t="str">
        <f t="shared" si="85"/>
        <v>149781.452565868-36.5587531108288i</v>
      </c>
      <c r="N83">
        <f t="shared" si="99"/>
        <v>-13.974849050021971</v>
      </c>
      <c r="O83">
        <f t="shared" si="86"/>
        <v>-2.039337326564326</v>
      </c>
      <c r="P83" t="str">
        <f t="shared" si="87"/>
        <v>-3728.72365675608i</v>
      </c>
      <c r="Q83" t="str">
        <f t="shared" si="88"/>
        <v>7350-2175.73446620845i</v>
      </c>
      <c r="R83" t="str">
        <f t="shared" si="100"/>
        <v>1149.68441527912-2805.15039353968i</v>
      </c>
      <c r="S83" t="str">
        <f t="shared" si="89"/>
        <v>696781.42878188-8318211.25715695i</v>
      </c>
      <c r="T83" t="str">
        <f t="shared" si="101"/>
        <v>1148.98020931533-2804.30451349533i</v>
      </c>
      <c r="U83" t="str">
        <f t="shared" si="102"/>
        <v>0.997748829204108-0.0473930693871951i</v>
      </c>
      <c r="V83">
        <f t="shared" si="90"/>
        <v>9.6206631049611318</v>
      </c>
      <c r="W83">
        <f t="shared" si="91"/>
        <v>-70.439616551785264</v>
      </c>
      <c r="X83">
        <f t="shared" si="103"/>
        <v>-9.7877316107141711E-3</v>
      </c>
      <c r="Y83">
        <f t="shared" si="92"/>
        <v>-2.7195060270496665</v>
      </c>
      <c r="AA83" s="123">
        <f t="shared" si="104"/>
        <v>12.48975240826389</v>
      </c>
      <c r="AB83" s="123">
        <f t="shared" si="105"/>
        <v>-16.332282298486621</v>
      </c>
      <c r="AC83">
        <f t="shared" si="106"/>
        <v>-4.3541859450608396</v>
      </c>
      <c r="AD83">
        <f t="shared" si="107"/>
        <v>-72.478953878349586</v>
      </c>
      <c r="AE83" s="123">
        <f t="shared" si="108"/>
        <v>8.13556646320305</v>
      </c>
      <c r="AF83" s="123">
        <f t="shared" si="109"/>
        <v>-88.811236176836204</v>
      </c>
      <c r="AI83" s="123">
        <f t="shared" si="110"/>
        <v>0</v>
      </c>
      <c r="AJ83" s="123">
        <f t="shared" si="111"/>
        <v>0</v>
      </c>
      <c r="AK83" s="123">
        <f t="shared" si="112"/>
        <v>0</v>
      </c>
      <c r="AL83" s="123">
        <f t="shared" si="113"/>
        <v>0</v>
      </c>
      <c r="AM83" s="123">
        <f t="shared" si="114"/>
        <v>0</v>
      </c>
      <c r="AN83" s="123">
        <f t="shared" si="115"/>
        <v>0</v>
      </c>
      <c r="AO83" s="123">
        <f t="shared" si="116"/>
        <v>0</v>
      </c>
      <c r="AP83" s="123"/>
      <c r="AQ83" s="123">
        <f t="shared" si="117"/>
        <v>0</v>
      </c>
      <c r="AR83" s="123">
        <f t="shared" si="118"/>
        <v>0</v>
      </c>
      <c r="AS83" s="123">
        <f t="shared" si="119"/>
        <v>0</v>
      </c>
      <c r="AW83" t="str">
        <f t="shared" si="93"/>
        <v>8000</v>
      </c>
      <c r="AX83" t="str">
        <f t="shared" si="94"/>
        <v>3952-2006.36591494671i</v>
      </c>
      <c r="AY83" t="str">
        <f t="shared" si="120"/>
        <v>2792.00823161911-874.258464642109i</v>
      </c>
      <c r="AZ83">
        <f t="shared" si="95"/>
        <v>-4.6548461928029026</v>
      </c>
      <c r="BA83">
        <f t="shared" si="96"/>
        <v>-17.386849845974876</v>
      </c>
      <c r="BB83">
        <f t="shared" si="97"/>
        <v>-0.13352245581206987</v>
      </c>
      <c r="BC83">
        <f t="shared" si="98"/>
        <v>3.1429849281990609</v>
      </c>
      <c r="BD83" s="123">
        <f t="shared" si="121"/>
        <v>-0.17775390517357503</v>
      </c>
      <c r="BE83" s="123">
        <f t="shared" si="122"/>
        <v>-3.4958245916173487</v>
      </c>
      <c r="BF83">
        <f t="shared" si="123"/>
        <v>4.9658169121582292</v>
      </c>
      <c r="BG83">
        <f t="shared" si="124"/>
        <v>-87.826466397760143</v>
      </c>
      <c r="BH83" s="123">
        <f t="shared" si="125"/>
        <v>4.7880630069846539</v>
      </c>
      <c r="BI83" s="123">
        <f t="shared" si="126"/>
        <v>-91.322290989377493</v>
      </c>
      <c r="BL83" s="123">
        <f t="shared" si="127"/>
        <v>0</v>
      </c>
      <c r="BM83" s="123">
        <f t="shared" si="128"/>
        <v>0</v>
      </c>
      <c r="BN83" s="123">
        <f t="shared" si="129"/>
        <v>0</v>
      </c>
      <c r="BO83" s="123">
        <f t="shared" si="130"/>
        <v>0</v>
      </c>
      <c r="BP83" s="123">
        <f t="shared" si="131"/>
        <v>0</v>
      </c>
      <c r="BQ83" s="123">
        <f t="shared" si="132"/>
        <v>0</v>
      </c>
      <c r="BR83" s="123">
        <f t="shared" si="133"/>
        <v>0</v>
      </c>
      <c r="BS83" s="123"/>
      <c r="BT83" s="123">
        <f t="shared" si="134"/>
        <v>0</v>
      </c>
      <c r="BU83" s="123">
        <f t="shared" si="135"/>
        <v>0</v>
      </c>
      <c r="BV83" s="123">
        <f t="shared" si="136"/>
        <v>0</v>
      </c>
      <c r="BX83" s="123">
        <f t="shared" si="137"/>
        <v>0</v>
      </c>
      <c r="BY83" s="123"/>
    </row>
    <row r="84" spans="5:77" x14ac:dyDescent="0.25">
      <c r="E84">
        <v>73</v>
      </c>
      <c r="F84">
        <v>10000</v>
      </c>
      <c r="G84" s="58">
        <f t="shared" si="79"/>
        <v>-4.8984437559967842E-2</v>
      </c>
      <c r="H84" s="58">
        <f t="shared" si="80"/>
        <v>-6.9860771278893141</v>
      </c>
      <c r="I84">
        <f t="shared" si="81"/>
        <v>12.483614607993063</v>
      </c>
      <c r="J84">
        <f t="shared" si="82"/>
        <v>-9.3389985037958816</v>
      </c>
      <c r="K84" t="str">
        <f t="shared" si="83"/>
        <v>37416.9097626873-1763.2299656277i</v>
      </c>
      <c r="L84" t="str">
        <f t="shared" si="84"/>
        <v>100000000-15915497.6203148i</v>
      </c>
      <c r="M84" t="str">
        <f t="shared" si="85"/>
        <v>149780.870985182-34.8232382813273i</v>
      </c>
      <c r="N84">
        <f t="shared" si="99"/>
        <v>-13.975422726139611</v>
      </c>
      <c r="O84">
        <f t="shared" si="86"/>
        <v>-2.1476892427660412</v>
      </c>
      <c r="P84" t="str">
        <f t="shared" si="87"/>
        <v>-3542.28747391827i</v>
      </c>
      <c r="Q84" t="str">
        <f t="shared" si="88"/>
        <v>7350-2066.94774289803i</v>
      </c>
      <c r="R84" t="str">
        <f t="shared" si="100"/>
        <v>1078.84697792226-2718.9532613853i</v>
      </c>
      <c r="S84" t="str">
        <f t="shared" si="89"/>
        <v>629272.743397855-7907672.86590701i</v>
      </c>
      <c r="T84" t="str">
        <f t="shared" si="101"/>
        <v>1078.17236760774-2718.1120846304i</v>
      </c>
      <c r="U84" t="str">
        <f t="shared" si="102"/>
        <v>0.997506234413965-0.0498753117206983i</v>
      </c>
      <c r="V84">
        <f t="shared" si="90"/>
        <v>9.309116483816041</v>
      </c>
      <c r="W84">
        <f t="shared" si="91"/>
        <v>-71.226062859457926</v>
      </c>
      <c r="X84">
        <f t="shared" si="103"/>
        <v>-1.0843812922199398E-2</v>
      </c>
      <c r="Y84">
        <f t="shared" si="92"/>
        <v>-2.8624058216183719</v>
      </c>
      <c r="AA84" s="123">
        <f t="shared" si="104"/>
        <v>12.434630170433095</v>
      </c>
      <c r="AB84" s="123">
        <f t="shared" si="105"/>
        <v>-16.325075631685195</v>
      </c>
      <c r="AC84">
        <f t="shared" si="106"/>
        <v>-4.6663062423235697</v>
      </c>
      <c r="AD84">
        <f t="shared" si="107"/>
        <v>-73.37375210222396</v>
      </c>
      <c r="AE84" s="123">
        <f t="shared" si="108"/>
        <v>7.7683239281095258</v>
      </c>
      <c r="AF84" s="123">
        <f t="shared" si="109"/>
        <v>-89.698827733909155</v>
      </c>
      <c r="AI84" s="123">
        <f t="shared" si="110"/>
        <v>0</v>
      </c>
      <c r="AJ84" s="123">
        <f t="shared" si="111"/>
        <v>0</v>
      </c>
      <c r="AK84" s="123">
        <f t="shared" si="112"/>
        <v>0</v>
      </c>
      <c r="AL84" s="123">
        <f t="shared" si="113"/>
        <v>0</v>
      </c>
      <c r="AM84" s="123">
        <f t="shared" si="114"/>
        <v>0</v>
      </c>
      <c r="AN84" s="123">
        <f t="shared" si="115"/>
        <v>0</v>
      </c>
      <c r="AO84" s="123">
        <f t="shared" si="116"/>
        <v>0</v>
      </c>
      <c r="AP84" s="123"/>
      <c r="AQ84" s="123">
        <f t="shared" si="117"/>
        <v>0</v>
      </c>
      <c r="AR84" s="123">
        <f t="shared" si="118"/>
        <v>0</v>
      </c>
      <c r="AS84" s="123">
        <f t="shared" si="119"/>
        <v>0</v>
      </c>
      <c r="AW84" t="str">
        <f t="shared" si="93"/>
        <v>8000</v>
      </c>
      <c r="AX84" t="str">
        <f t="shared" si="94"/>
        <v>3952-1906.04761919938i</v>
      </c>
      <c r="AY84" t="str">
        <f t="shared" si="120"/>
        <v>2778.05396527136-832.770900860285i</v>
      </c>
      <c r="AZ84">
        <f t="shared" si="95"/>
        <v>-4.730876663155156</v>
      </c>
      <c r="BA84">
        <f t="shared" si="96"/>
        <v>-16.687037097617271</v>
      </c>
      <c r="BB84">
        <f t="shared" si="97"/>
        <v>-0.12137379491404039</v>
      </c>
      <c r="BC84">
        <f t="shared" si="98"/>
        <v>3.0072388973746884</v>
      </c>
      <c r="BD84" s="123">
        <f t="shared" si="121"/>
        <v>-0.17035823247400822</v>
      </c>
      <c r="BE84" s="123">
        <f t="shared" si="122"/>
        <v>-3.9788382305146257</v>
      </c>
      <c r="BF84">
        <f t="shared" si="123"/>
        <v>4.578239820660885</v>
      </c>
      <c r="BG84">
        <f t="shared" si="124"/>
        <v>-87.91309995707519</v>
      </c>
      <c r="BH84" s="123">
        <f t="shared" si="125"/>
        <v>4.4078815881868767</v>
      </c>
      <c r="BI84" s="123">
        <f t="shared" si="126"/>
        <v>-91.891938187589815</v>
      </c>
      <c r="BL84" s="123">
        <f t="shared" si="127"/>
        <v>0</v>
      </c>
      <c r="BM84" s="123">
        <f t="shared" si="128"/>
        <v>0</v>
      </c>
      <c r="BN84" s="123">
        <f t="shared" si="129"/>
        <v>0</v>
      </c>
      <c r="BO84" s="123">
        <f t="shared" si="130"/>
        <v>0</v>
      </c>
      <c r="BP84" s="123">
        <f t="shared" si="131"/>
        <v>0</v>
      </c>
      <c r="BQ84" s="123">
        <f t="shared" si="132"/>
        <v>0</v>
      </c>
      <c r="BR84" s="123">
        <f t="shared" si="133"/>
        <v>0</v>
      </c>
      <c r="BS84" s="123"/>
      <c r="BT84" s="123">
        <f t="shared" si="134"/>
        <v>0</v>
      </c>
      <c r="BU84" s="123">
        <f t="shared" si="135"/>
        <v>0</v>
      </c>
      <c r="BV84" s="123">
        <f t="shared" si="136"/>
        <v>0</v>
      </c>
      <c r="BX84" s="123">
        <f t="shared" si="137"/>
        <v>0</v>
      </c>
      <c r="BY84" s="123"/>
    </row>
    <row r="85" spans="5:77" x14ac:dyDescent="0.25">
      <c r="E85">
        <v>74</v>
      </c>
      <c r="F85">
        <v>15000</v>
      </c>
      <c r="G85" s="58">
        <f t="shared" si="79"/>
        <v>-0.10948716423207261</v>
      </c>
      <c r="H85" s="58">
        <f t="shared" si="80"/>
        <v>-10.438255278447237</v>
      </c>
      <c r="I85">
        <f t="shared" si="81"/>
        <v>12.199559644483903</v>
      </c>
      <c r="J85">
        <f t="shared" si="82"/>
        <v>-6.7169948468983165</v>
      </c>
      <c r="K85" t="str">
        <f t="shared" si="83"/>
        <v>37313.563334938-2637.53982145202i</v>
      </c>
      <c r="L85" t="str">
        <f t="shared" si="84"/>
        <v>100000000-10610331.7468765i</v>
      </c>
      <c r="M85" t="str">
        <f t="shared" si="85"/>
        <v>149777.830671062-23.5375964455635i</v>
      </c>
      <c r="N85">
        <f t="shared" si="99"/>
        <v>-13.982974804315955</v>
      </c>
      <c r="O85">
        <f t="shared" si="86"/>
        <v>-3.2283883679994894</v>
      </c>
      <c r="P85" t="str">
        <f t="shared" si="87"/>
        <v>-2361.52498261218i</v>
      </c>
      <c r="Q85" t="str">
        <f t="shared" si="88"/>
        <v>7350-1377.96516193202i</v>
      </c>
      <c r="R85" t="str">
        <f t="shared" si="100"/>
        <v>602.73077496942-2054.87113325005i</v>
      </c>
      <c r="S85" t="str">
        <f t="shared" si="89"/>
        <v>280657.943700094-5290276.503988i</v>
      </c>
      <c r="T85" t="str">
        <f t="shared" si="101"/>
        <v>602.302689204104-2054.1191745392i</v>
      </c>
      <c r="U85" t="str">
        <f t="shared" si="102"/>
        <v>0.994406463642014-0.074580484773151i</v>
      </c>
      <c r="V85">
        <f t="shared" si="90"/>
        <v>6.5863552596782595</v>
      </c>
      <c r="W85">
        <f t="shared" si="91"/>
        <v>-77.947134818214593</v>
      </c>
      <c r="X85">
        <f t="shared" si="103"/>
        <v>-2.4360614431044699E-2</v>
      </c>
      <c r="Y85">
        <f t="shared" si="92"/>
        <v>-4.2891542211522138</v>
      </c>
      <c r="AA85" s="123">
        <f t="shared" si="104"/>
        <v>12.09007248025183</v>
      </c>
      <c r="AB85" s="123">
        <f t="shared" si="105"/>
        <v>-17.155250125345553</v>
      </c>
      <c r="AC85">
        <f t="shared" si="106"/>
        <v>-7.3966195446376952</v>
      </c>
      <c r="AD85">
        <f t="shared" si="107"/>
        <v>-81.175523186214079</v>
      </c>
      <c r="AE85" s="123">
        <f t="shared" si="108"/>
        <v>4.6934529356141352</v>
      </c>
      <c r="AF85" s="123">
        <f t="shared" si="109"/>
        <v>-98.330773311559625</v>
      </c>
      <c r="AI85" s="123">
        <f t="shared" si="110"/>
        <v>0</v>
      </c>
      <c r="AJ85" s="123">
        <f t="shared" si="111"/>
        <v>0</v>
      </c>
      <c r="AK85" s="123">
        <f t="shared" si="112"/>
        <v>0</v>
      </c>
      <c r="AL85" s="123">
        <f t="shared" si="113"/>
        <v>0</v>
      </c>
      <c r="AM85" s="123">
        <f t="shared" si="114"/>
        <v>0</v>
      </c>
      <c r="AN85" s="123">
        <f t="shared" si="115"/>
        <v>0</v>
      </c>
      <c r="AO85" s="123">
        <f t="shared" si="116"/>
        <v>0</v>
      </c>
      <c r="AP85" s="123"/>
      <c r="AQ85" s="123">
        <f t="shared" si="117"/>
        <v>0</v>
      </c>
      <c r="AR85" s="123">
        <f t="shared" si="118"/>
        <v>0</v>
      </c>
      <c r="AS85" s="123">
        <f t="shared" si="119"/>
        <v>0</v>
      </c>
      <c r="AW85" t="str">
        <f t="shared" si="93"/>
        <v>8000</v>
      </c>
      <c r="AX85" t="str">
        <f t="shared" si="94"/>
        <v>3952-1270.69841279958i</v>
      </c>
      <c r="AY85" t="str">
        <f t="shared" si="120"/>
        <v>2705.0973310363-562.937116581358i</v>
      </c>
      <c r="AZ85">
        <f t="shared" si="95"/>
        <v>-5.1516226675623962</v>
      </c>
      <c r="BA85">
        <f t="shared" si="96"/>
        <v>-11.755607039126739</v>
      </c>
      <c r="BB85">
        <f t="shared" si="97"/>
        <v>-5.6024602088024823E-2</v>
      </c>
      <c r="BC85">
        <f t="shared" si="98"/>
        <v>2.0816036610701043</v>
      </c>
      <c r="BD85" s="123">
        <f t="shared" si="121"/>
        <v>-0.16551176632009743</v>
      </c>
      <c r="BE85" s="123">
        <f t="shared" si="122"/>
        <v>-8.3566516173771319</v>
      </c>
      <c r="BF85">
        <f t="shared" si="123"/>
        <v>1.4347325921158633</v>
      </c>
      <c r="BG85">
        <f t="shared" si="124"/>
        <v>-89.702741857341337</v>
      </c>
      <c r="BH85" s="123">
        <f t="shared" si="125"/>
        <v>1.269220825795766</v>
      </c>
      <c r="BI85" s="123">
        <f t="shared" si="126"/>
        <v>-98.059393474718462</v>
      </c>
      <c r="BL85" s="123">
        <f t="shared" si="127"/>
        <v>17651.729541195858</v>
      </c>
      <c r="BM85" s="123">
        <f t="shared" si="128"/>
        <v>-101.25898548315178</v>
      </c>
      <c r="BN85" s="123">
        <f t="shared" si="129"/>
        <v>0</v>
      </c>
      <c r="BO85" s="123">
        <f t="shared" si="130"/>
        <v>0</v>
      </c>
      <c r="BP85" s="123">
        <f t="shared" si="131"/>
        <v>0</v>
      </c>
      <c r="BQ85" s="123">
        <f t="shared" si="132"/>
        <v>0</v>
      </c>
      <c r="BR85" s="123">
        <f t="shared" si="133"/>
        <v>0</v>
      </c>
      <c r="BS85" s="123"/>
      <c r="BT85" s="123">
        <f t="shared" si="134"/>
        <v>0</v>
      </c>
      <c r="BU85" s="123">
        <f t="shared" si="135"/>
        <v>0</v>
      </c>
      <c r="BV85" s="123">
        <f t="shared" si="136"/>
        <v>0</v>
      </c>
      <c r="BX85" s="123">
        <f t="shared" si="137"/>
        <v>0</v>
      </c>
      <c r="BY85" s="123"/>
    </row>
    <row r="86" spans="5:77" x14ac:dyDescent="0.25">
      <c r="E86">
        <v>75</v>
      </c>
      <c r="F86">
        <v>20000</v>
      </c>
      <c r="G86" s="58">
        <f t="shared" si="79"/>
        <v>-0.19287097030292386</v>
      </c>
      <c r="H86" s="58">
        <f t="shared" si="80"/>
        <v>-13.842858506114018</v>
      </c>
      <c r="I86">
        <f t="shared" si="81"/>
        <v>12.088878262119644</v>
      </c>
      <c r="J86">
        <f t="shared" si="82"/>
        <v>-5.1817474547681979</v>
      </c>
      <c r="K86" t="str">
        <f t="shared" si="83"/>
        <v>37169.833738193-3503.17356939712i</v>
      </c>
      <c r="L86" t="str">
        <f t="shared" si="84"/>
        <v>100000000-7957748.8101574i</v>
      </c>
      <c r="M86" t="str">
        <f t="shared" si="85"/>
        <v>149776.746532411-17.7393411490093i</v>
      </c>
      <c r="N86">
        <f t="shared" si="99"/>
        <v>-13.993671862242913</v>
      </c>
      <c r="O86">
        <f t="shared" si="86"/>
        <v>-4.3051264977901536</v>
      </c>
      <c r="P86" t="str">
        <f t="shared" si="87"/>
        <v>-1771.14373695914i</v>
      </c>
      <c r="Q86" t="str">
        <f t="shared" si="88"/>
        <v>7350-1033.47387144901i</v>
      </c>
      <c r="R86" t="str">
        <f t="shared" si="100"/>
        <v>372.551091707865-1628.98545779784i</v>
      </c>
      <c r="S86" t="str">
        <f t="shared" si="89"/>
        <v>158064.176936366-3972585.22999898i</v>
      </c>
      <c r="T86" t="str">
        <f t="shared" si="101"/>
        <v>372.271353820744-1628.34152671547i</v>
      </c>
      <c r="U86" t="str">
        <f t="shared" si="102"/>
        <v>0.99009900990099-0.099009900990099i</v>
      </c>
      <c r="V86">
        <f t="shared" si="90"/>
        <v>4.4129560728981696</v>
      </c>
      <c r="W86">
        <f t="shared" si="91"/>
        <v>-82.8329669524948</v>
      </c>
      <c r="X86">
        <f t="shared" si="103"/>
        <v>-4.3213737826427526E-2</v>
      </c>
      <c r="Y86">
        <f t="shared" si="92"/>
        <v>-5.710594325555058</v>
      </c>
      <c r="AA86" s="123">
        <f t="shared" si="104"/>
        <v>11.896007291816721</v>
      </c>
      <c r="AB86" s="123">
        <f t="shared" si="105"/>
        <v>-19.024605960882216</v>
      </c>
      <c r="AC86">
        <f t="shared" si="106"/>
        <v>-9.5807157893447439</v>
      </c>
      <c r="AD86">
        <f t="shared" si="107"/>
        <v>-87.138093450284956</v>
      </c>
      <c r="AE86" s="123">
        <f t="shared" si="108"/>
        <v>2.3152915024719771</v>
      </c>
      <c r="AF86" s="123">
        <f t="shared" si="109"/>
        <v>-106.16269941116717</v>
      </c>
      <c r="AI86" s="123">
        <f t="shared" si="110"/>
        <v>0</v>
      </c>
      <c r="AJ86" s="123">
        <f t="shared" si="111"/>
        <v>0</v>
      </c>
      <c r="AK86" s="123">
        <f t="shared" si="112"/>
        <v>0</v>
      </c>
      <c r="AL86" s="123">
        <f t="shared" si="113"/>
        <v>0</v>
      </c>
      <c r="AM86" s="123">
        <f t="shared" si="114"/>
        <v>0</v>
      </c>
      <c r="AN86" s="123">
        <f t="shared" si="115"/>
        <v>0</v>
      </c>
      <c r="AO86" s="123">
        <f t="shared" si="116"/>
        <v>0</v>
      </c>
      <c r="AP86" s="123"/>
      <c r="AQ86" s="123">
        <f t="shared" si="117"/>
        <v>0</v>
      </c>
      <c r="AR86" s="123">
        <f t="shared" si="118"/>
        <v>0</v>
      </c>
      <c r="AS86" s="123">
        <f t="shared" si="119"/>
        <v>0</v>
      </c>
      <c r="AW86" t="str">
        <f t="shared" si="93"/>
        <v>8000</v>
      </c>
      <c r="AX86" t="str">
        <f t="shared" si="94"/>
        <v>3952-953.023809599688i</v>
      </c>
      <c r="AY86" t="str">
        <f t="shared" si="120"/>
        <v>2679.07852853396-424.27751433378i</v>
      </c>
      <c r="AZ86">
        <f t="shared" si="95"/>
        <v>-5.3121132153775843</v>
      </c>
      <c r="BA86">
        <f t="shared" si="96"/>
        <v>-8.9990246669910707</v>
      </c>
      <c r="BB86">
        <f t="shared" si="97"/>
        <v>-3.1945401338217397E-2</v>
      </c>
      <c r="BC86">
        <f t="shared" si="98"/>
        <v>1.5824280958833445</v>
      </c>
      <c r="BD86" s="123">
        <f t="shared" si="121"/>
        <v>-0.22481637164114127</v>
      </c>
      <c r="BE86" s="123">
        <f t="shared" si="122"/>
        <v>-12.260430410230674</v>
      </c>
      <c r="BF86">
        <f t="shared" si="123"/>
        <v>-0.89915714247941469</v>
      </c>
      <c r="BG86">
        <f t="shared" si="124"/>
        <v>-91.831991619485876</v>
      </c>
      <c r="BH86" s="123">
        <f t="shared" si="125"/>
        <v>-1.123973514120556</v>
      </c>
      <c r="BI86" s="123">
        <f t="shared" si="126"/>
        <v>-104.09242202971654</v>
      </c>
      <c r="BL86" s="123">
        <f t="shared" si="127"/>
        <v>0</v>
      </c>
      <c r="BM86" s="123">
        <f t="shared" si="128"/>
        <v>0</v>
      </c>
      <c r="BN86" s="123">
        <f t="shared" si="129"/>
        <v>0</v>
      </c>
      <c r="BO86" s="123">
        <f t="shared" si="130"/>
        <v>0</v>
      </c>
      <c r="BP86" s="123">
        <f t="shared" si="131"/>
        <v>0</v>
      </c>
      <c r="BQ86" s="123">
        <f t="shared" si="132"/>
        <v>0</v>
      </c>
      <c r="BR86" s="123">
        <f t="shared" si="133"/>
        <v>0</v>
      </c>
      <c r="BS86" s="123"/>
      <c r="BT86" s="123">
        <f t="shared" si="134"/>
        <v>0</v>
      </c>
      <c r="BU86" s="123">
        <f t="shared" si="135"/>
        <v>0</v>
      </c>
      <c r="BV86" s="123">
        <f t="shared" si="136"/>
        <v>0</v>
      </c>
      <c r="BX86" s="123">
        <f t="shared" si="137"/>
        <v>0</v>
      </c>
      <c r="BY86" s="123"/>
    </row>
    <row r="87" spans="5:77" x14ac:dyDescent="0.25">
      <c r="E87">
        <v>76</v>
      </c>
      <c r="F87">
        <v>25000</v>
      </c>
      <c r="G87" s="58">
        <f t="shared" si="79"/>
        <v>-0.2978984212187436</v>
      </c>
      <c r="H87" s="58">
        <f t="shared" si="80"/>
        <v>-17.186335634521356</v>
      </c>
      <c r="I87">
        <f t="shared" si="81"/>
        <v>12.035399941662902</v>
      </c>
      <c r="J87">
        <f t="shared" si="82"/>
        <v>-4.2011427148232707</v>
      </c>
      <c r="K87" t="str">
        <f t="shared" si="83"/>
        <v>36986.6575413358-4357.38702894751i</v>
      </c>
      <c r="L87" t="str">
        <f t="shared" si="84"/>
        <v>100000000-6366199.04812592i</v>
      </c>
      <c r="M87" t="str">
        <f t="shared" si="85"/>
        <v>149776.24114091-14.2235989590334i</v>
      </c>
      <c r="N87">
        <f t="shared" si="99"/>
        <v>-14.007427427879307</v>
      </c>
      <c r="O87">
        <f t="shared" si="86"/>
        <v>-5.3781359475910904</v>
      </c>
      <c r="P87" t="str">
        <f t="shared" si="87"/>
        <v>-1416.91498956731i</v>
      </c>
      <c r="Q87" t="str">
        <f t="shared" si="88"/>
        <v>7350-826.77909715921i</v>
      </c>
      <c r="R87" t="str">
        <f t="shared" si="100"/>
        <v>249.865343824503-1340.63996991874i</v>
      </c>
      <c r="S87" t="str">
        <f t="shared" si="89"/>
        <v>101218.669803914-3179877.63306617i</v>
      </c>
      <c r="T87" t="str">
        <f t="shared" si="101"/>
        <v>249.672336560363-1340.08846202061i</v>
      </c>
      <c r="U87" t="str">
        <f t="shared" si="102"/>
        <v>0.984615384615385-0.123076923076923i</v>
      </c>
      <c r="V87">
        <f t="shared" si="90"/>
        <v>2.6235284718734535</v>
      </c>
      <c r="W87">
        <f t="shared" si="91"/>
        <v>-86.57124080867041</v>
      </c>
      <c r="X87">
        <f t="shared" si="103"/>
        <v>-6.7333826589681289E-2</v>
      </c>
      <c r="Y87">
        <f t="shared" si="92"/>
        <v>-7.1250178312196599</v>
      </c>
      <c r="AA87" s="123">
        <f t="shared" si="104"/>
        <v>11.737501520444159</v>
      </c>
      <c r="AB87" s="123">
        <f t="shared" si="105"/>
        <v>-21.387478349344626</v>
      </c>
      <c r="AC87">
        <f t="shared" si="106"/>
        <v>-11.383898956005854</v>
      </c>
      <c r="AD87">
        <f t="shared" si="107"/>
        <v>-91.949376756261501</v>
      </c>
      <c r="AE87" s="123">
        <f t="shared" si="108"/>
        <v>0.35360256443830451</v>
      </c>
      <c r="AF87" s="123">
        <f t="shared" si="109"/>
        <v>-113.33685510560613</v>
      </c>
      <c r="AI87" s="123">
        <f t="shared" si="110"/>
        <v>26048.264258975963</v>
      </c>
      <c r="AJ87" s="123">
        <f t="shared" si="111"/>
        <v>-114.74371475655879</v>
      </c>
      <c r="AK87" s="123">
        <f t="shared" si="112"/>
        <v>0</v>
      </c>
      <c r="AL87" s="123">
        <f t="shared" si="113"/>
        <v>0</v>
      </c>
      <c r="AM87" s="123">
        <f t="shared" si="114"/>
        <v>0</v>
      </c>
      <c r="AN87" s="123">
        <f t="shared" si="115"/>
        <v>0</v>
      </c>
      <c r="AO87" s="123">
        <f t="shared" si="116"/>
        <v>0</v>
      </c>
      <c r="AP87" s="123"/>
      <c r="AQ87" s="123">
        <f t="shared" si="117"/>
        <v>0</v>
      </c>
      <c r="AR87" s="123">
        <f t="shared" si="118"/>
        <v>0</v>
      </c>
      <c r="AS87" s="123">
        <f t="shared" si="119"/>
        <v>0</v>
      </c>
      <c r="AW87" t="str">
        <f t="shared" si="93"/>
        <v>8000</v>
      </c>
      <c r="AX87" t="str">
        <f t="shared" si="94"/>
        <v>3952-762.419047679751i</v>
      </c>
      <c r="AY87" t="str">
        <f t="shared" si="120"/>
        <v>2666.94877297938-340.195769555923i</v>
      </c>
      <c r="AZ87">
        <f t="shared" si="95"/>
        <v>-5.3890090046688819</v>
      </c>
      <c r="BA87">
        <f t="shared" si="96"/>
        <v>-7.2693881251373984</v>
      </c>
      <c r="BB87">
        <f t="shared" si="97"/>
        <v>-2.0575512058744128E-2</v>
      </c>
      <c r="BC87">
        <f t="shared" si="98"/>
        <v>1.2739614917148603</v>
      </c>
      <c r="BD87" s="123">
        <f t="shared" si="121"/>
        <v>-0.31847393327748774</v>
      </c>
      <c r="BE87" s="123">
        <f t="shared" si="122"/>
        <v>-15.912374142806495</v>
      </c>
      <c r="BF87">
        <f t="shared" si="123"/>
        <v>-2.7654805327954284</v>
      </c>
      <c r="BG87">
        <f t="shared" si="124"/>
        <v>-93.840628933807807</v>
      </c>
      <c r="BH87" s="123">
        <f t="shared" si="125"/>
        <v>-3.0839544660729161</v>
      </c>
      <c r="BI87" s="123">
        <f t="shared" si="126"/>
        <v>-109.75300307661431</v>
      </c>
      <c r="BL87" s="123">
        <f t="shared" si="127"/>
        <v>0</v>
      </c>
      <c r="BM87" s="123">
        <f t="shared" si="128"/>
        <v>0</v>
      </c>
      <c r="BN87" s="123">
        <f t="shared" si="129"/>
        <v>0</v>
      </c>
      <c r="BO87" s="123">
        <f t="shared" si="130"/>
        <v>0</v>
      </c>
      <c r="BP87" s="123">
        <f t="shared" si="131"/>
        <v>0</v>
      </c>
      <c r="BQ87" s="123">
        <f t="shared" si="132"/>
        <v>0</v>
      </c>
      <c r="BR87" s="123">
        <f t="shared" si="133"/>
        <v>0</v>
      </c>
      <c r="BS87" s="123"/>
      <c r="BT87" s="123">
        <f t="shared" si="134"/>
        <v>0</v>
      </c>
      <c r="BU87" s="123">
        <f t="shared" si="135"/>
        <v>0</v>
      </c>
      <c r="BV87" s="123">
        <f t="shared" si="136"/>
        <v>0</v>
      </c>
      <c r="BX87" s="123">
        <f t="shared" si="137"/>
        <v>0</v>
      </c>
      <c r="BY87" s="123"/>
    </row>
    <row r="88" spans="5:77" x14ac:dyDescent="0.25">
      <c r="E88">
        <v>77</v>
      </c>
      <c r="F88">
        <v>30000</v>
      </c>
      <c r="G88" s="58">
        <f t="shared" si="79"/>
        <v>-0.42308660795933573</v>
      </c>
      <c r="H88" s="58">
        <f t="shared" si="80"/>
        <v>-20.456886911763053</v>
      </c>
      <c r="I88">
        <f t="shared" si="81"/>
        <v>12.00572053328319</v>
      </c>
      <c r="J88">
        <f t="shared" si="82"/>
        <v>-3.5267526392009501</v>
      </c>
      <c r="K88" t="str">
        <f t="shared" si="83"/>
        <v>36765.2126440854-5197.55840644309i</v>
      </c>
      <c r="L88" t="str">
        <f t="shared" si="84"/>
        <v>100000000-5305165.87343827i</v>
      </c>
      <c r="M88" t="str">
        <f t="shared" si="85"/>
        <v>149775.965647005-11.8675926508974i</v>
      </c>
      <c r="N88">
        <f t="shared" si="99"/>
        <v>-14.024196489488759</v>
      </c>
      <c r="O88">
        <f t="shared" si="86"/>
        <v>-6.447025775746754</v>
      </c>
      <c r="P88" t="str">
        <f t="shared" si="87"/>
        <v>-1180.76249130609i</v>
      </c>
      <c r="Q88" t="str">
        <f t="shared" si="88"/>
        <v>7350-688.982580966008i</v>
      </c>
      <c r="R88" t="str">
        <f t="shared" si="100"/>
        <v>178.157983166873-1135.44140135885i</v>
      </c>
      <c r="S88" t="str">
        <f t="shared" si="89"/>
        <v>70312.4891146084-2650717.83963049i</v>
      </c>
      <c r="T88" t="str">
        <f t="shared" si="101"/>
        <v>178.018123334865-1134.9634919179i</v>
      </c>
      <c r="U88" t="str">
        <f t="shared" si="102"/>
        <v>0.97799511002445-0.146699266503667i</v>
      </c>
      <c r="V88">
        <f t="shared" si="90"/>
        <v>1.1085552808929815</v>
      </c>
      <c r="W88">
        <f t="shared" si="91"/>
        <v>-89.616614363660887</v>
      </c>
      <c r="X88">
        <f t="shared" si="103"/>
        <v>-9.663316679379233E-2</v>
      </c>
      <c r="Y88">
        <f t="shared" si="92"/>
        <v>-8.5307673847238625</v>
      </c>
      <c r="AA88" s="123">
        <f t="shared" si="104"/>
        <v>11.582633925323854</v>
      </c>
      <c r="AB88" s="123">
        <f t="shared" si="105"/>
        <v>-23.983639550964003</v>
      </c>
      <c r="AC88">
        <f t="shared" si="106"/>
        <v>-12.915641208595778</v>
      </c>
      <c r="AD88">
        <f t="shared" si="107"/>
        <v>-96.063640139407639</v>
      </c>
      <c r="AE88" s="123">
        <f t="shared" si="108"/>
        <v>-1.3330072832719235</v>
      </c>
      <c r="AF88" s="123">
        <f t="shared" si="109"/>
        <v>-120.04727969037164</v>
      </c>
      <c r="AI88" s="123">
        <f t="shared" si="110"/>
        <v>0</v>
      </c>
      <c r="AJ88" s="123">
        <f t="shared" si="111"/>
        <v>0</v>
      </c>
      <c r="AK88" s="123">
        <f t="shared" si="112"/>
        <v>0</v>
      </c>
      <c r="AL88" s="123">
        <f t="shared" si="113"/>
        <v>0</v>
      </c>
      <c r="AM88" s="123">
        <f t="shared" si="114"/>
        <v>0</v>
      </c>
      <c r="AN88" s="123">
        <f t="shared" si="115"/>
        <v>0</v>
      </c>
      <c r="AO88" s="123">
        <f t="shared" si="116"/>
        <v>0</v>
      </c>
      <c r="AP88" s="123"/>
      <c r="AQ88" s="123">
        <f t="shared" si="117"/>
        <v>0</v>
      </c>
      <c r="AR88" s="123">
        <f t="shared" si="118"/>
        <v>0</v>
      </c>
      <c r="AS88" s="123">
        <f t="shared" si="119"/>
        <v>0</v>
      </c>
      <c r="AW88" t="str">
        <f t="shared" si="93"/>
        <v>8000</v>
      </c>
      <c r="AX88" t="str">
        <f t="shared" si="94"/>
        <v>3952-635.349206399792i</v>
      </c>
      <c r="AY88" t="str">
        <f t="shared" si="120"/>
        <v>2660.33656141096-283.847969222685i</v>
      </c>
      <c r="AZ88">
        <f t="shared" si="95"/>
        <v>-5.4315072395730013</v>
      </c>
      <c r="BA88">
        <f t="shared" si="96"/>
        <v>-6.0902060799186648</v>
      </c>
      <c r="BB88">
        <f t="shared" si="97"/>
        <v>-1.4338254758511155E-2</v>
      </c>
      <c r="BC88">
        <f t="shared" si="98"/>
        <v>1.0653007075930461</v>
      </c>
      <c r="BD88" s="123">
        <f t="shared" si="121"/>
        <v>-0.43742486271784686</v>
      </c>
      <c r="BE88" s="123">
        <f t="shared" si="122"/>
        <v>-19.391586204170007</v>
      </c>
      <c r="BF88">
        <f t="shared" si="123"/>
        <v>-4.3229519586800196</v>
      </c>
      <c r="BG88">
        <f t="shared" si="124"/>
        <v>-95.706820443579545</v>
      </c>
      <c r="BH88" s="123">
        <f t="shared" si="125"/>
        <v>-4.7603768213978661</v>
      </c>
      <c r="BI88" s="123">
        <f t="shared" si="126"/>
        <v>-115.09840664774956</v>
      </c>
      <c r="BL88" s="123">
        <f t="shared" si="127"/>
        <v>0</v>
      </c>
      <c r="BM88" s="123">
        <f t="shared" si="128"/>
        <v>0</v>
      </c>
      <c r="BN88" s="123">
        <f t="shared" si="129"/>
        <v>0</v>
      </c>
      <c r="BO88" s="123">
        <f t="shared" si="130"/>
        <v>0</v>
      </c>
      <c r="BP88" s="123">
        <f t="shared" si="131"/>
        <v>0</v>
      </c>
      <c r="BQ88" s="123">
        <f t="shared" si="132"/>
        <v>0</v>
      </c>
      <c r="BR88" s="123">
        <f t="shared" si="133"/>
        <v>0</v>
      </c>
      <c r="BS88" s="123"/>
      <c r="BT88" s="123">
        <f t="shared" si="134"/>
        <v>0</v>
      </c>
      <c r="BU88" s="123">
        <f t="shared" si="135"/>
        <v>0</v>
      </c>
      <c r="BV88" s="123">
        <f t="shared" si="136"/>
        <v>0</v>
      </c>
      <c r="BX88" s="123">
        <f t="shared" si="137"/>
        <v>0</v>
      </c>
      <c r="BY88" s="123"/>
    </row>
    <row r="89" spans="5:77" x14ac:dyDescent="0.25">
      <c r="E89">
        <v>78</v>
      </c>
      <c r="F89">
        <v>35000</v>
      </c>
      <c r="G89" s="58">
        <f t="shared" si="79"/>
        <v>-0.56677280078279502</v>
      </c>
      <c r="H89" s="58">
        <f t="shared" si="80"/>
        <v>-23.64465599608851</v>
      </c>
      <c r="I89">
        <f t="shared" si="81"/>
        <v>11.987604592612715</v>
      </c>
      <c r="J89">
        <f t="shared" si="82"/>
        <v>-3.0364351315588594</v>
      </c>
      <c r="K89" t="str">
        <f t="shared" si="83"/>
        <v>36506.8996754136-6021.2136581668i</v>
      </c>
      <c r="L89" t="str">
        <f t="shared" si="84"/>
        <v>100000000-4547285.03437566i</v>
      </c>
      <c r="M89" t="str">
        <f t="shared" si="85"/>
        <v>149775.799204784-10.1797795384862i</v>
      </c>
      <c r="N89">
        <f t="shared" si="99"/>
        <v>-14.043938600905022</v>
      </c>
      <c r="O89">
        <f t="shared" si="86"/>
        <v>-7.5112278294506929</v>
      </c>
      <c r="P89" t="str">
        <f t="shared" si="87"/>
        <v>-1012.08213540522i</v>
      </c>
      <c r="Q89" t="str">
        <f t="shared" si="88"/>
        <v>7350-590.556497970864i</v>
      </c>
      <c r="R89" t="str">
        <f t="shared" si="100"/>
        <v>133.036823915185-983.073978443571i</v>
      </c>
      <c r="S89" t="str">
        <f t="shared" si="89"/>
        <v>51667.7935505759-2272467.77626597i</v>
      </c>
      <c r="T89" t="str">
        <f t="shared" si="101"/>
        <v>132.931332950845-982.654263994932i</v>
      </c>
      <c r="U89" t="str">
        <f t="shared" si="102"/>
        <v>0.970285021224985-0.169799878714372i</v>
      </c>
      <c r="V89">
        <f t="shared" si="90"/>
        <v>-0.2042340468156599</v>
      </c>
      <c r="W89">
        <f t="shared" si="91"/>
        <v>-92.222184136268112</v>
      </c>
      <c r="X89">
        <f t="shared" si="103"/>
        <v>-0.13100672988593903</v>
      </c>
      <c r="Y89">
        <f t="shared" si="92"/>
        <v>-9.9262475717488527</v>
      </c>
      <c r="AA89" s="123">
        <f t="shared" si="104"/>
        <v>11.42083179182992</v>
      </c>
      <c r="AB89" s="123">
        <f t="shared" si="105"/>
        <v>-26.68109112764737</v>
      </c>
      <c r="AC89">
        <f t="shared" si="106"/>
        <v>-14.248172647720683</v>
      </c>
      <c r="AD89">
        <f t="shared" si="107"/>
        <v>-99.733411965718801</v>
      </c>
      <c r="AE89" s="123">
        <f t="shared" si="108"/>
        <v>-2.8273408558907622</v>
      </c>
      <c r="AF89" s="123">
        <f t="shared" si="109"/>
        <v>-126.41450309336616</v>
      </c>
      <c r="AI89" s="123">
        <f t="shared" si="110"/>
        <v>0</v>
      </c>
      <c r="AJ89" s="123">
        <f t="shared" si="111"/>
        <v>0</v>
      </c>
      <c r="AK89" s="123">
        <f t="shared" si="112"/>
        <v>0</v>
      </c>
      <c r="AL89" s="123">
        <f t="shared" si="113"/>
        <v>0</v>
      </c>
      <c r="AM89" s="123">
        <f t="shared" si="114"/>
        <v>0</v>
      </c>
      <c r="AN89" s="123">
        <f t="shared" si="115"/>
        <v>0</v>
      </c>
      <c r="AO89" s="123">
        <f t="shared" si="116"/>
        <v>0</v>
      </c>
      <c r="AP89" s="123"/>
      <c r="AQ89" s="123">
        <f t="shared" si="117"/>
        <v>0</v>
      </c>
      <c r="AR89" s="123">
        <f t="shared" si="118"/>
        <v>0</v>
      </c>
      <c r="AS89" s="123">
        <f t="shared" si="119"/>
        <v>0</v>
      </c>
      <c r="AW89" t="str">
        <f t="shared" si="93"/>
        <v>8000</v>
      </c>
      <c r="AX89" t="str">
        <f t="shared" si="94"/>
        <v>3952-544.585034056965i</v>
      </c>
      <c r="AY89" t="str">
        <f t="shared" si="120"/>
        <v>2656.34167658613-243.480283638314i</v>
      </c>
      <c r="AZ89">
        <f t="shared" si="95"/>
        <v>-5.4573862919205842</v>
      </c>
      <c r="BA89">
        <f t="shared" si="96"/>
        <v>-5.2370984861254328</v>
      </c>
      <c r="BB89">
        <f t="shared" si="97"/>
        <v>-1.0556371845226556E-2</v>
      </c>
      <c r="BC89">
        <f t="shared" si="98"/>
        <v>0.91502032288448343</v>
      </c>
      <c r="BD89" s="123">
        <f t="shared" si="121"/>
        <v>-0.57732917262802153</v>
      </c>
      <c r="BE89" s="123">
        <f t="shared" si="122"/>
        <v>-22.729635673204026</v>
      </c>
      <c r="BF89">
        <f t="shared" si="123"/>
        <v>-5.6616203387362445</v>
      </c>
      <c r="BG89">
        <f t="shared" si="124"/>
        <v>-97.459282622393545</v>
      </c>
      <c r="BH89" s="123">
        <f t="shared" si="125"/>
        <v>-6.2389495113642663</v>
      </c>
      <c r="BI89" s="123">
        <f t="shared" si="126"/>
        <v>-120.18891829559757</v>
      </c>
      <c r="BL89" s="123">
        <f t="shared" si="127"/>
        <v>0</v>
      </c>
      <c r="BM89" s="123">
        <f t="shared" si="128"/>
        <v>0</v>
      </c>
      <c r="BN89" s="123">
        <f t="shared" si="129"/>
        <v>0</v>
      </c>
      <c r="BO89" s="123">
        <f t="shared" si="130"/>
        <v>0</v>
      </c>
      <c r="BP89" s="123">
        <f t="shared" si="131"/>
        <v>0</v>
      </c>
      <c r="BQ89" s="123">
        <f t="shared" si="132"/>
        <v>0</v>
      </c>
      <c r="BR89" s="123">
        <f t="shared" si="133"/>
        <v>0</v>
      </c>
      <c r="BS89" s="123"/>
      <c r="BT89" s="123">
        <f t="shared" si="134"/>
        <v>0</v>
      </c>
      <c r="BU89" s="123">
        <f t="shared" si="135"/>
        <v>0</v>
      </c>
      <c r="BV89" s="123">
        <f t="shared" si="136"/>
        <v>0</v>
      </c>
      <c r="BX89" s="123">
        <f t="shared" si="137"/>
        <v>0</v>
      </c>
      <c r="BY89" s="123"/>
    </row>
    <row r="90" spans="5:77" x14ac:dyDescent="0.25">
      <c r="E90">
        <v>79</v>
      </c>
      <c r="F90">
        <v>40000</v>
      </c>
      <c r="G90" s="58">
        <f t="shared" si="79"/>
        <v>-0.72718084842199782</v>
      </c>
      <c r="H90" s="58">
        <f t="shared" si="80"/>
        <v>-26.741806382814495</v>
      </c>
      <c r="I90">
        <f t="shared" si="81"/>
        <v>11.975756546342415</v>
      </c>
      <c r="J90">
        <f t="shared" si="82"/>
        <v>-2.6646108051834929</v>
      </c>
      <c r="K90" t="str">
        <f t="shared" si="83"/>
        <v>36213.3204080537-6826.0486612427i</v>
      </c>
      <c r="L90" t="str">
        <f t="shared" si="84"/>
        <v>100000000-3978874.4050787i</v>
      </c>
      <c r="M90" t="str">
        <f t="shared" si="85"/>
        <v>149775.691044971-8.91160419366344i</v>
      </c>
      <c r="N90">
        <f t="shared" si="99"/>
        <v>-14.066610801267849</v>
      </c>
      <c r="O90">
        <f t="shared" si="86"/>
        <v>-8.5701180953758076</v>
      </c>
      <c r="P90" t="str">
        <f t="shared" si="87"/>
        <v>-885.571868479568i</v>
      </c>
      <c r="Q90" t="str">
        <f t="shared" si="88"/>
        <v>7350-516.736935724506i</v>
      </c>
      <c r="R90" t="str">
        <f t="shared" si="100"/>
        <v>102.951454161397-865.929728265127i</v>
      </c>
      <c r="S90" t="str">
        <f t="shared" si="89"/>
        <v>39562.9453670662-1988650.1225858i</v>
      </c>
      <c r="T90" t="str">
        <f t="shared" si="101"/>
        <v>102.869276394642-865.556524466981i</v>
      </c>
      <c r="U90" t="str">
        <f t="shared" si="102"/>
        <v>0.961538461538461-0.192307692307692i</v>
      </c>
      <c r="V90">
        <f t="shared" si="90"/>
        <v>-1.3635109234409004</v>
      </c>
      <c r="W90">
        <f t="shared" si="91"/>
        <v>-94.532280488986657</v>
      </c>
      <c r="X90">
        <f t="shared" si="103"/>
        <v>-0.17033339298780789</v>
      </c>
      <c r="Y90">
        <f t="shared" si="92"/>
        <v>-11.309934826985332</v>
      </c>
      <c r="AA90" s="123">
        <f t="shared" si="104"/>
        <v>11.248575697920417</v>
      </c>
      <c r="AB90" s="123">
        <f t="shared" si="105"/>
        <v>-29.406417187997988</v>
      </c>
      <c r="AC90">
        <f t="shared" si="106"/>
        <v>-15.43012172470875</v>
      </c>
      <c r="AD90">
        <f t="shared" si="107"/>
        <v>-103.10239858436246</v>
      </c>
      <c r="AE90" s="123">
        <f t="shared" si="108"/>
        <v>-4.1815460267883324</v>
      </c>
      <c r="AF90" s="123">
        <f t="shared" si="109"/>
        <v>-132.50881577236044</v>
      </c>
      <c r="AI90" s="123">
        <f t="shared" si="110"/>
        <v>0</v>
      </c>
      <c r="AJ90" s="123">
        <f t="shared" si="111"/>
        <v>0</v>
      </c>
      <c r="AK90" s="123">
        <f t="shared" si="112"/>
        <v>0</v>
      </c>
      <c r="AL90" s="123">
        <f t="shared" si="113"/>
        <v>0</v>
      </c>
      <c r="AM90" s="123">
        <f t="shared" si="114"/>
        <v>0</v>
      </c>
      <c r="AN90" s="123">
        <f t="shared" si="115"/>
        <v>0</v>
      </c>
      <c r="AO90" s="123">
        <f t="shared" si="116"/>
        <v>0</v>
      </c>
      <c r="AP90" s="123"/>
      <c r="AQ90" s="123">
        <f t="shared" si="117"/>
        <v>0</v>
      </c>
      <c r="AR90" s="123">
        <f t="shared" si="118"/>
        <v>0</v>
      </c>
      <c r="AS90" s="123">
        <f t="shared" si="119"/>
        <v>0</v>
      </c>
      <c r="AW90" t="str">
        <f t="shared" si="93"/>
        <v>8000</v>
      </c>
      <c r="AX90" t="str">
        <f t="shared" si="94"/>
        <v>3952-476.511904799844i</v>
      </c>
      <c r="AY90" t="str">
        <f t="shared" si="120"/>
        <v>2653.74564226671-213.148748958162i</v>
      </c>
      <c r="AZ90">
        <f t="shared" si="95"/>
        <v>-5.4742865707865729</v>
      </c>
      <c r="BA90">
        <f t="shared" si="96"/>
        <v>-4.5921376378671859</v>
      </c>
      <c r="BB90">
        <f t="shared" si="97"/>
        <v>-8.0932646680303786E-3</v>
      </c>
      <c r="BC90">
        <f t="shared" si="98"/>
        <v>0.80172867632501277</v>
      </c>
      <c r="BD90" s="123">
        <f t="shared" si="121"/>
        <v>-0.73527411309002821</v>
      </c>
      <c r="BE90" s="123">
        <f t="shared" si="122"/>
        <v>-25.940077706489483</v>
      </c>
      <c r="BF90">
        <f t="shared" si="123"/>
        <v>-6.8377974942274733</v>
      </c>
      <c r="BG90">
        <f t="shared" si="124"/>
        <v>-99.12441812685384</v>
      </c>
      <c r="BH90" s="123">
        <f t="shared" si="125"/>
        <v>-7.5730716073175017</v>
      </c>
      <c r="BI90" s="123">
        <f t="shared" si="126"/>
        <v>-125.06449583334333</v>
      </c>
      <c r="BL90" s="123">
        <f t="shared" si="127"/>
        <v>0</v>
      </c>
      <c r="BM90" s="123">
        <f t="shared" si="128"/>
        <v>0</v>
      </c>
      <c r="BN90" s="123">
        <f t="shared" si="129"/>
        <v>0</v>
      </c>
      <c r="BO90" s="123">
        <f t="shared" si="130"/>
        <v>0</v>
      </c>
      <c r="BP90" s="123">
        <f t="shared" si="131"/>
        <v>0</v>
      </c>
      <c r="BQ90" s="123">
        <f t="shared" si="132"/>
        <v>0</v>
      </c>
      <c r="BR90" s="123">
        <f t="shared" si="133"/>
        <v>0</v>
      </c>
      <c r="BS90" s="123"/>
      <c r="BT90" s="123">
        <f t="shared" si="134"/>
        <v>0</v>
      </c>
      <c r="BU90" s="123">
        <f t="shared" si="135"/>
        <v>0</v>
      </c>
      <c r="BV90" s="123">
        <f t="shared" si="136"/>
        <v>0</v>
      </c>
      <c r="BX90" s="123">
        <f t="shared" si="137"/>
        <v>0</v>
      </c>
      <c r="BY90" s="123"/>
    </row>
    <row r="91" spans="5:77" x14ac:dyDescent="0.25">
      <c r="E91">
        <v>80</v>
      </c>
      <c r="F91">
        <v>45000</v>
      </c>
      <c r="G91" s="58">
        <f t="shared" si="79"/>
        <v>-0.90248363432243173</v>
      </c>
      <c r="H91" s="58">
        <f t="shared" si="80"/>
        <v>-29.742494504052498</v>
      </c>
      <c r="I91">
        <f t="shared" si="81"/>
        <v>11.967592154434829</v>
      </c>
      <c r="J91">
        <f t="shared" si="82"/>
        <v>-2.373278657749891</v>
      </c>
      <c r="K91" t="str">
        <f t="shared" si="83"/>
        <v>35886.2537928152-7609.94782821976i</v>
      </c>
      <c r="L91" t="str">
        <f t="shared" si="84"/>
        <v>100000000-3536777.24895884i</v>
      </c>
      <c r="M91" t="str">
        <f t="shared" si="85"/>
        <v>149775.616830639-7.92404681423256i</v>
      </c>
      <c r="N91">
        <f t="shared" si="99"/>
        <v>-14.09216586505339</v>
      </c>
      <c r="O91">
        <f t="shared" si="86"/>
        <v>-9.6230600405118452</v>
      </c>
      <c r="P91" t="str">
        <f t="shared" si="87"/>
        <v>-787.17499420406i</v>
      </c>
      <c r="Q91" t="str">
        <f t="shared" si="88"/>
        <v>7350-459.321720644006i</v>
      </c>
      <c r="R91" t="str">
        <f t="shared" si="100"/>
        <v>81.9484317996477-773.277245765255i</v>
      </c>
      <c r="S91" t="str">
        <f t="shared" si="89"/>
        <v>31262.2069597513-1767835.78716778i</v>
      </c>
      <c r="T91" t="str">
        <f t="shared" si="101"/>
        <v>81.8827174873382-772.941783324794i</v>
      </c>
      <c r="U91" t="str">
        <f t="shared" si="102"/>
        <v>0.951814396192742-0.214158239143367i</v>
      </c>
      <c r="V91">
        <f t="shared" si="90"/>
        <v>-2.4030742236625664</v>
      </c>
      <c r="W91">
        <f t="shared" si="91"/>
        <v>-96.633245628809249</v>
      </c>
      <c r="X91">
        <f t="shared" si="103"/>
        <v>-0.2144773078354662</v>
      </c>
      <c r="Y91">
        <f t="shared" si="92"/>
        <v>-12.680386129899249</v>
      </c>
      <c r="AA91" s="123">
        <f t="shared" si="104"/>
        <v>11.065108520112398</v>
      </c>
      <c r="AB91" s="123">
        <f t="shared" si="105"/>
        <v>-32.115773161802387</v>
      </c>
      <c r="AC91">
        <f t="shared" si="106"/>
        <v>-16.495240088715956</v>
      </c>
      <c r="AD91">
        <f t="shared" si="107"/>
        <v>-106.25630566932109</v>
      </c>
      <c r="AE91" s="123">
        <f t="shared" si="108"/>
        <v>-5.4301315686035583</v>
      </c>
      <c r="AF91" s="123">
        <f t="shared" si="109"/>
        <v>-138.37207883112347</v>
      </c>
      <c r="AI91" s="123">
        <f t="shared" si="110"/>
        <v>0</v>
      </c>
      <c r="AJ91" s="123">
        <f t="shared" si="111"/>
        <v>0</v>
      </c>
      <c r="AK91" s="123">
        <f t="shared" si="112"/>
        <v>0</v>
      </c>
      <c r="AL91" s="123">
        <f t="shared" si="113"/>
        <v>0</v>
      </c>
      <c r="AM91" s="123">
        <f t="shared" si="114"/>
        <v>0</v>
      </c>
      <c r="AN91" s="123">
        <f t="shared" si="115"/>
        <v>0</v>
      </c>
      <c r="AO91" s="123">
        <f t="shared" si="116"/>
        <v>0</v>
      </c>
      <c r="AP91" s="123"/>
      <c r="AQ91" s="123">
        <f t="shared" si="117"/>
        <v>0</v>
      </c>
      <c r="AR91" s="123">
        <f t="shared" si="118"/>
        <v>0</v>
      </c>
      <c r="AS91" s="123">
        <f t="shared" si="119"/>
        <v>0</v>
      </c>
      <c r="AW91" t="str">
        <f t="shared" si="93"/>
        <v>8000</v>
      </c>
      <c r="AX91" t="str">
        <f t="shared" si="94"/>
        <v>3952-423.566137599861i</v>
      </c>
      <c r="AY91" t="str">
        <f t="shared" si="120"/>
        <v>2651.96435171171-189.528681667657i</v>
      </c>
      <c r="AZ91">
        <f t="shared" si="95"/>
        <v>-5.4859210001182515</v>
      </c>
      <c r="BA91">
        <f t="shared" si="96"/>
        <v>-4.0878242641202238</v>
      </c>
      <c r="BB91">
        <f t="shared" si="97"/>
        <v>-6.4006740187141789E-3</v>
      </c>
      <c r="BC91">
        <f t="shared" si="98"/>
        <v>0.7133110134016829</v>
      </c>
      <c r="BD91" s="123">
        <f t="shared" si="121"/>
        <v>-0.90888430834114586</v>
      </c>
      <c r="BE91" s="123">
        <f t="shared" si="122"/>
        <v>-29.029183490650816</v>
      </c>
      <c r="BF91">
        <f t="shared" si="123"/>
        <v>-7.8889952237808174</v>
      </c>
      <c r="BG91">
        <f t="shared" si="124"/>
        <v>-100.72106989292948</v>
      </c>
      <c r="BH91" s="123">
        <f t="shared" si="125"/>
        <v>-8.7978795321219625</v>
      </c>
      <c r="BI91" s="123">
        <f t="shared" si="126"/>
        <v>-129.75025338358029</v>
      </c>
      <c r="BL91" s="123">
        <f t="shared" si="127"/>
        <v>0</v>
      </c>
      <c r="BM91" s="123">
        <f t="shared" si="128"/>
        <v>0</v>
      </c>
      <c r="BN91" s="123">
        <f t="shared" si="129"/>
        <v>0</v>
      </c>
      <c r="BO91" s="123">
        <f t="shared" si="130"/>
        <v>0</v>
      </c>
      <c r="BP91" s="123">
        <f t="shared" si="131"/>
        <v>0</v>
      </c>
      <c r="BQ91" s="123">
        <f t="shared" si="132"/>
        <v>0</v>
      </c>
      <c r="BR91" s="123">
        <f t="shared" si="133"/>
        <v>0</v>
      </c>
      <c r="BS91" s="123"/>
      <c r="BT91" s="123">
        <f t="shared" si="134"/>
        <v>0</v>
      </c>
      <c r="BU91" s="123">
        <f t="shared" si="135"/>
        <v>0</v>
      </c>
      <c r="BV91" s="123">
        <f t="shared" si="136"/>
        <v>0</v>
      </c>
      <c r="BX91" s="123">
        <f t="shared" si="137"/>
        <v>0</v>
      </c>
      <c r="BY91" s="123"/>
    </row>
    <row r="92" spans="5:77" x14ac:dyDescent="0.25">
      <c r="E92">
        <v>81</v>
      </c>
      <c r="F92">
        <v>50000</v>
      </c>
      <c r="G92" s="58">
        <f t="shared" si="79"/>
        <v>-1.0908581339488543</v>
      </c>
      <c r="H92" s="58">
        <f t="shared" si="80"/>
        <v>-32.642759041617282</v>
      </c>
      <c r="I92">
        <f t="shared" si="81"/>
        <v>11.96173140174686</v>
      </c>
      <c r="J92">
        <f t="shared" si="82"/>
        <v>-2.1390107319014091</v>
      </c>
      <c r="K92" t="str">
        <f t="shared" si="83"/>
        <v>35527.6302560438-8370.99892435088i</v>
      </c>
      <c r="L92" t="str">
        <f t="shared" si="84"/>
        <v>100000000-3183099.52406296i</v>
      </c>
      <c r="M92" t="str">
        <f t="shared" si="85"/>
        <v>149775.56371543-7.13333031050494i</v>
      </c>
      <c r="N92">
        <f t="shared" si="99"/>
        <v>-14.120551913278742</v>
      </c>
      <c r="O92">
        <f t="shared" si="86"/>
        <v>-10.669423567454023</v>
      </c>
      <c r="P92" t="str">
        <f t="shared" si="87"/>
        <v>-708.457494783654i</v>
      </c>
      <c r="Q92" t="str">
        <f t="shared" si="88"/>
        <v>7350-413.389548579605i</v>
      </c>
      <c r="R92" t="str">
        <f t="shared" si="100"/>
        <v>66.7327045302321-698.271931889386i</v>
      </c>
      <c r="S92" t="str">
        <f t="shared" si="89"/>
        <v>25323.8918308187-1591146.71969131i</v>
      </c>
      <c r="T92" t="str">
        <f t="shared" si="101"/>
        <v>66.6790138359697-697.967572055471i</v>
      </c>
      <c r="U92" t="str">
        <f t="shared" si="102"/>
        <v>0.941176470588235-0.235294117647059i</v>
      </c>
      <c r="V92">
        <f t="shared" si="90"/>
        <v>-3.3471280416078981</v>
      </c>
      <c r="W92">
        <f t="shared" si="91"/>
        <v>-98.579181168641739</v>
      </c>
      <c r="X92">
        <f t="shared" si="103"/>
        <v>-0.2632893872234946</v>
      </c>
      <c r="Y92">
        <f t="shared" si="92"/>
        <v>-14.036246388084637</v>
      </c>
      <c r="AA92" s="123">
        <f t="shared" si="104"/>
        <v>10.870873267798006</v>
      </c>
      <c r="AB92" s="123">
        <f t="shared" si="105"/>
        <v>-34.78176977351869</v>
      </c>
      <c r="AC92">
        <f t="shared" si="106"/>
        <v>-17.467679954886641</v>
      </c>
      <c r="AD92">
        <f t="shared" si="107"/>
        <v>-109.24860473609576</v>
      </c>
      <c r="AE92" s="123">
        <f t="shared" si="108"/>
        <v>-6.5968066870886357</v>
      </c>
      <c r="AF92" s="123">
        <f t="shared" si="109"/>
        <v>-144.03037450961443</v>
      </c>
      <c r="AI92" s="123">
        <f t="shared" si="110"/>
        <v>0</v>
      </c>
      <c r="AJ92" s="123">
        <f t="shared" si="111"/>
        <v>0</v>
      </c>
      <c r="AK92" s="123">
        <f t="shared" si="112"/>
        <v>0</v>
      </c>
      <c r="AL92" s="123">
        <f t="shared" si="113"/>
        <v>0</v>
      </c>
      <c r="AM92" s="123">
        <f t="shared" si="114"/>
        <v>0</v>
      </c>
      <c r="AN92" s="123">
        <f t="shared" si="115"/>
        <v>0</v>
      </c>
      <c r="AO92" s="123">
        <f t="shared" si="116"/>
        <v>0</v>
      </c>
      <c r="AP92" s="123"/>
      <c r="AQ92" s="123">
        <f t="shared" si="117"/>
        <v>0</v>
      </c>
      <c r="AR92" s="123">
        <f t="shared" si="118"/>
        <v>0</v>
      </c>
      <c r="AS92" s="123">
        <f t="shared" si="119"/>
        <v>0</v>
      </c>
      <c r="AW92" t="str">
        <f t="shared" si="93"/>
        <v>8000</v>
      </c>
      <c r="AX92" t="str">
        <f t="shared" si="94"/>
        <v>3952-381.209523839875i</v>
      </c>
      <c r="AY92" t="str">
        <f t="shared" si="120"/>
        <v>2650.6894766949-170.616475691162i</v>
      </c>
      <c r="AZ92">
        <f t="shared" si="95"/>
        <v>-5.49426697387152</v>
      </c>
      <c r="BA92">
        <f t="shared" si="96"/>
        <v>-3.6828678547035025</v>
      </c>
      <c r="BB92">
        <f t="shared" si="97"/>
        <v>-5.1880255009182337E-3</v>
      </c>
      <c r="BC92">
        <f t="shared" si="98"/>
        <v>0.64240761409826874</v>
      </c>
      <c r="BD92" s="123">
        <f t="shared" si="121"/>
        <v>-1.0960461594497726</v>
      </c>
      <c r="BE92" s="123">
        <f t="shared" si="122"/>
        <v>-32.000351427519014</v>
      </c>
      <c r="BF92">
        <f t="shared" si="123"/>
        <v>-8.8413950154794172</v>
      </c>
      <c r="BG92">
        <f t="shared" si="124"/>
        <v>-102.26204902334524</v>
      </c>
      <c r="BH92" s="123">
        <f t="shared" si="125"/>
        <v>-9.9374411749291891</v>
      </c>
      <c r="BI92" s="123">
        <f t="shared" si="126"/>
        <v>-134.26240045086425</v>
      </c>
      <c r="BL92" s="123">
        <f t="shared" si="127"/>
        <v>0</v>
      </c>
      <c r="BM92" s="123">
        <f t="shared" si="128"/>
        <v>0</v>
      </c>
      <c r="BN92" s="123">
        <f t="shared" si="129"/>
        <v>0</v>
      </c>
      <c r="BO92" s="123">
        <f t="shared" si="130"/>
        <v>0</v>
      </c>
      <c r="BP92" s="123">
        <f t="shared" si="131"/>
        <v>0</v>
      </c>
      <c r="BQ92" s="123">
        <f t="shared" si="132"/>
        <v>0</v>
      </c>
      <c r="BR92" s="123">
        <f t="shared" si="133"/>
        <v>0</v>
      </c>
      <c r="BS92" s="123"/>
      <c r="BT92" s="123">
        <f t="shared" si="134"/>
        <v>0</v>
      </c>
      <c r="BU92" s="123">
        <f t="shared" si="135"/>
        <v>0</v>
      </c>
      <c r="BV92" s="123">
        <f t="shared" si="136"/>
        <v>0</v>
      </c>
      <c r="BX92" s="123">
        <f t="shared" si="137"/>
        <v>0</v>
      </c>
      <c r="BY92" s="123"/>
    </row>
    <row r="93" spans="5:77" x14ac:dyDescent="0.25">
      <c r="E93">
        <v>82</v>
      </c>
      <c r="F93">
        <v>55000</v>
      </c>
      <c r="G93" s="58">
        <f t="shared" si="79"/>
        <v>-1.2905309881520501</v>
      </c>
      <c r="H93" s="58">
        <f t="shared" si="80"/>
        <v>-35.440349388678982</v>
      </c>
      <c r="I93">
        <f t="shared" si="81"/>
        <v>11.957383879855053</v>
      </c>
      <c r="J93">
        <f t="shared" si="82"/>
        <v>-1.9466189200462269</v>
      </c>
      <c r="K93" t="str">
        <f t="shared" si="83"/>
        <v>35139.5049166783-9107.50397124127i</v>
      </c>
      <c r="L93" t="str">
        <f t="shared" si="84"/>
        <v>100000000-2893726.84005724i</v>
      </c>
      <c r="M93" t="str">
        <f t="shared" si="85"/>
        <v>149775.524399994-6.48598171419047i</v>
      </c>
      <c r="N93">
        <f t="shared" si="99"/>
        <v>-14.151712468791171</v>
      </c>
      <c r="O93">
        <f t="shared" si="86"/>
        <v>-11.70859477899363</v>
      </c>
      <c r="P93" t="str">
        <f t="shared" si="87"/>
        <v>-644.05226798514i</v>
      </c>
      <c r="Q93" t="str">
        <f t="shared" si="88"/>
        <v>7350-375.808680526914i</v>
      </c>
      <c r="R93" t="str">
        <f t="shared" si="100"/>
        <v>55.3697704995341-636.369347351052i</v>
      </c>
      <c r="S93" t="str">
        <f t="shared" si="89"/>
        <v>20929.7560982361-1446560.59504373i</v>
      </c>
      <c r="T93" t="str">
        <f t="shared" si="101"/>
        <v>55.3251118277492-636.09099042209i</v>
      </c>
      <c r="U93" t="str">
        <f t="shared" si="102"/>
        <v>0.929692039511912-0.255665310865776i</v>
      </c>
      <c r="V93">
        <f t="shared" si="90"/>
        <v>-4.2134934737054284</v>
      </c>
      <c r="W93">
        <f t="shared" si="91"/>
        <v>-100.40538247634066</v>
      </c>
      <c r="X93">
        <f t="shared" si="103"/>
        <v>-0.31660887671635185</v>
      </c>
      <c r="Y93">
        <f t="shared" si="92"/>
        <v>-15.376254447765101</v>
      </c>
      <c r="AA93" s="123">
        <f t="shared" si="104"/>
        <v>10.666852891703003</v>
      </c>
      <c r="AB93" s="123">
        <f t="shared" si="105"/>
        <v>-37.386968308725208</v>
      </c>
      <c r="AC93">
        <f t="shared" si="106"/>
        <v>-18.365205942496601</v>
      </c>
      <c r="AD93">
        <f t="shared" si="107"/>
        <v>-112.11397725533429</v>
      </c>
      <c r="AE93" s="123">
        <f t="shared" si="108"/>
        <v>-7.6983530507935978</v>
      </c>
      <c r="AF93" s="123">
        <f t="shared" si="109"/>
        <v>-149.50094556405949</v>
      </c>
      <c r="AI93" s="123">
        <f t="shared" si="110"/>
        <v>0</v>
      </c>
      <c r="AJ93" s="123">
        <f t="shared" si="111"/>
        <v>0</v>
      </c>
      <c r="AK93" s="123">
        <f t="shared" si="112"/>
        <v>0</v>
      </c>
      <c r="AL93" s="123">
        <f t="shared" si="113"/>
        <v>0</v>
      </c>
      <c r="AM93" s="123">
        <f t="shared" si="114"/>
        <v>0</v>
      </c>
      <c r="AN93" s="123">
        <f t="shared" si="115"/>
        <v>0</v>
      </c>
      <c r="AO93" s="123">
        <f t="shared" si="116"/>
        <v>0</v>
      </c>
      <c r="AP93" s="123"/>
      <c r="AQ93" s="123">
        <f t="shared" si="117"/>
        <v>0</v>
      </c>
      <c r="AR93" s="123">
        <f t="shared" si="118"/>
        <v>0</v>
      </c>
      <c r="AS93" s="123">
        <f t="shared" si="119"/>
        <v>0</v>
      </c>
      <c r="AW93" t="str">
        <f t="shared" si="93"/>
        <v>8000</v>
      </c>
      <c r="AX93" t="str">
        <f t="shared" si="94"/>
        <v>3952-346.554112581705i</v>
      </c>
      <c r="AY93" t="str">
        <f t="shared" si="120"/>
        <v>2649.74582206682-155.133248721569i</v>
      </c>
      <c r="AZ93">
        <f t="shared" si="95"/>
        <v>-5.5004549582161442</v>
      </c>
      <c r="BA93">
        <f t="shared" si="96"/>
        <v>-3.3506411728370273</v>
      </c>
      <c r="BB93">
        <f t="shared" si="97"/>
        <v>-4.2897545640825565E-3</v>
      </c>
      <c r="BC93">
        <f t="shared" si="98"/>
        <v>0.5842949432913167</v>
      </c>
      <c r="BD93" s="123">
        <f t="shared" si="121"/>
        <v>-1.2948207427161327</v>
      </c>
      <c r="BE93" s="123">
        <f t="shared" si="122"/>
        <v>-34.856054445387663</v>
      </c>
      <c r="BF93">
        <f t="shared" si="123"/>
        <v>-9.7139484319215725</v>
      </c>
      <c r="BG93">
        <f t="shared" si="124"/>
        <v>-103.75602364917769</v>
      </c>
      <c r="BH93" s="123">
        <f t="shared" si="125"/>
        <v>-11.008769174637706</v>
      </c>
      <c r="BI93" s="123">
        <f t="shared" si="126"/>
        <v>-138.61207809456536</v>
      </c>
      <c r="BL93" s="123">
        <f t="shared" si="127"/>
        <v>0</v>
      </c>
      <c r="BM93" s="123">
        <f t="shared" si="128"/>
        <v>0</v>
      </c>
      <c r="BN93" s="123">
        <f t="shared" si="129"/>
        <v>0</v>
      </c>
      <c r="BO93" s="123">
        <f t="shared" si="130"/>
        <v>0</v>
      </c>
      <c r="BP93" s="123">
        <f t="shared" si="131"/>
        <v>0</v>
      </c>
      <c r="BQ93" s="123">
        <f t="shared" si="132"/>
        <v>0</v>
      </c>
      <c r="BR93" s="123">
        <f t="shared" si="133"/>
        <v>0</v>
      </c>
      <c r="BS93" s="123"/>
      <c r="BT93" s="123">
        <f t="shared" si="134"/>
        <v>0</v>
      </c>
      <c r="BU93" s="123">
        <f t="shared" si="135"/>
        <v>0</v>
      </c>
      <c r="BV93" s="123">
        <f t="shared" si="136"/>
        <v>0</v>
      </c>
      <c r="BX93" s="123">
        <f t="shared" si="137"/>
        <v>0</v>
      </c>
      <c r="BY93" s="123"/>
    </row>
    <row r="94" spans="5:77" x14ac:dyDescent="0.25">
      <c r="E94">
        <v>83</v>
      </c>
      <c r="F94">
        <v>60000</v>
      </c>
      <c r="G94" s="58">
        <f t="shared" si="79"/>
        <v>-1.4998137827245013</v>
      </c>
      <c r="H94" s="58">
        <f t="shared" si="80"/>
        <v>-38.134516177192218</v>
      </c>
      <c r="I94">
        <f t="shared" si="81"/>
        <v>11.954070815982531</v>
      </c>
      <c r="J94">
        <f t="shared" si="82"/>
        <v>-1.7858423867422317</v>
      </c>
      <c r="K94" t="str">
        <f t="shared" si="83"/>
        <v>34724.0303672644-9817.98624085992i</v>
      </c>
      <c r="L94" t="str">
        <f t="shared" si="84"/>
        <v>100000000-2652582.93671913i</v>
      </c>
      <c r="M94" t="str">
        <f t="shared" si="85"/>
        <v>149775.494488157-5.94627548591655i</v>
      </c>
      <c r="N94">
        <f t="shared" si="99"/>
        <v>-14.185586687292833</v>
      </c>
      <c r="O94">
        <f t="shared" si="86"/>
        <v>-12.739981722313445</v>
      </c>
      <c r="P94" t="str">
        <f t="shared" si="87"/>
        <v>-590.381245653045i</v>
      </c>
      <c r="Q94" t="str">
        <f t="shared" si="88"/>
        <v>7350-344.491290483004i</v>
      </c>
      <c r="R94" t="str">
        <f t="shared" si="100"/>
        <v>46.6667863060197-584.445531793558i</v>
      </c>
      <c r="S94" t="str">
        <f t="shared" si="89"/>
        <v>17587.3968810404-1326058.20821523i</v>
      </c>
      <c r="T94" t="str">
        <f t="shared" si="101"/>
        <v>46.6290759420872-584.189197673224i</v>
      </c>
      <c r="U94" t="str">
        <f t="shared" si="102"/>
        <v>0.91743119266055-0.275229357798165i</v>
      </c>
      <c r="V94">
        <f t="shared" si="90"/>
        <v>-5.0156134677594446</v>
      </c>
      <c r="W94">
        <f t="shared" si="91"/>
        <v>-102.13568030236048</v>
      </c>
      <c r="X94">
        <f t="shared" si="103"/>
        <v>-0.37426497940624104</v>
      </c>
      <c r="Y94">
        <f t="shared" si="92"/>
        <v>-16.699247708173459</v>
      </c>
      <c r="AA94" s="123">
        <f t="shared" si="104"/>
        <v>10.454257033258029</v>
      </c>
      <c r="AB94" s="123">
        <f t="shared" si="105"/>
        <v>-39.92035856393445</v>
      </c>
      <c r="AC94">
        <f t="shared" si="106"/>
        <v>-19.201200155052277</v>
      </c>
      <c r="AD94">
        <f t="shared" si="107"/>
        <v>-114.87566202467393</v>
      </c>
      <c r="AE94" s="123">
        <f t="shared" si="108"/>
        <v>-8.7469431217942475</v>
      </c>
      <c r="AF94" s="123">
        <f t="shared" si="109"/>
        <v>-154.79602058860837</v>
      </c>
      <c r="AI94" s="123">
        <f t="shared" si="110"/>
        <v>0</v>
      </c>
      <c r="AJ94" s="123">
        <f t="shared" si="111"/>
        <v>0</v>
      </c>
      <c r="AK94" s="123">
        <f t="shared" si="112"/>
        <v>0</v>
      </c>
      <c r="AL94" s="123">
        <f t="shared" si="113"/>
        <v>0</v>
      </c>
      <c r="AM94" s="123">
        <f t="shared" si="114"/>
        <v>0</v>
      </c>
      <c r="AN94" s="123">
        <f t="shared" si="115"/>
        <v>0</v>
      </c>
      <c r="AO94" s="123">
        <f t="shared" si="116"/>
        <v>0</v>
      </c>
      <c r="AP94" s="123"/>
      <c r="AQ94" s="123">
        <f t="shared" si="117"/>
        <v>0</v>
      </c>
      <c r="AR94" s="123">
        <f t="shared" si="118"/>
        <v>0</v>
      </c>
      <c r="AS94" s="123">
        <f t="shared" si="119"/>
        <v>0</v>
      </c>
      <c r="AW94" t="str">
        <f t="shared" si="93"/>
        <v>8000</v>
      </c>
      <c r="AX94" t="str">
        <f t="shared" si="94"/>
        <v>3952-317.674603199896i</v>
      </c>
      <c r="AY94" t="str">
        <f t="shared" si="120"/>
        <v>2649.02787239202-142.224560523056i</v>
      </c>
      <c r="AZ94">
        <f t="shared" si="95"/>
        <v>-5.5051688026087202</v>
      </c>
      <c r="BA94">
        <f t="shared" si="96"/>
        <v>-3.0732226442278359</v>
      </c>
      <c r="BB94">
        <f t="shared" si="97"/>
        <v>-3.6059480410964447E-3</v>
      </c>
      <c r="BC94">
        <f t="shared" si="98"/>
        <v>0.53580468356435251</v>
      </c>
      <c r="BD94" s="123">
        <f t="shared" si="121"/>
        <v>-1.5034197307655977</v>
      </c>
      <c r="BE94" s="123">
        <f t="shared" si="122"/>
        <v>-37.598711493627867</v>
      </c>
      <c r="BF94">
        <f t="shared" si="123"/>
        <v>-10.520782270368166</v>
      </c>
      <c r="BG94">
        <f t="shared" si="124"/>
        <v>-105.20890294658832</v>
      </c>
      <c r="BH94" s="123">
        <f t="shared" si="125"/>
        <v>-12.024202001133764</v>
      </c>
      <c r="BI94" s="123">
        <f t="shared" si="126"/>
        <v>-142.80761444021618</v>
      </c>
      <c r="BL94" s="123">
        <f t="shared" si="127"/>
        <v>0</v>
      </c>
      <c r="BM94" s="123">
        <f t="shared" si="128"/>
        <v>0</v>
      </c>
      <c r="BN94" s="123">
        <f t="shared" si="129"/>
        <v>0</v>
      </c>
      <c r="BO94" s="123">
        <f t="shared" si="130"/>
        <v>0</v>
      </c>
      <c r="BP94" s="123">
        <f t="shared" si="131"/>
        <v>0</v>
      </c>
      <c r="BQ94" s="123">
        <f t="shared" si="132"/>
        <v>0</v>
      </c>
      <c r="BR94" s="123">
        <f t="shared" si="133"/>
        <v>0</v>
      </c>
      <c r="BS94" s="123"/>
      <c r="BT94" s="123">
        <f t="shared" si="134"/>
        <v>0</v>
      </c>
      <c r="BU94" s="123">
        <f t="shared" si="135"/>
        <v>0</v>
      </c>
      <c r="BV94" s="123">
        <f t="shared" si="136"/>
        <v>0</v>
      </c>
      <c r="BX94" s="123">
        <f t="shared" si="137"/>
        <v>0</v>
      </c>
      <c r="BY94" s="123"/>
    </row>
    <row r="95" spans="5:77" x14ac:dyDescent="0.25">
      <c r="E95">
        <v>84</v>
      </c>
      <c r="F95">
        <v>65000</v>
      </c>
      <c r="G95" s="58">
        <f t="shared" si="79"/>
        <v>-1.717128253350328</v>
      </c>
      <c r="H95" s="58">
        <f t="shared" si="80"/>
        <v>-40.725784303067869</v>
      </c>
      <c r="I95">
        <f t="shared" si="81"/>
        <v>11.951488626262528</v>
      </c>
      <c r="J95">
        <f t="shared" si="82"/>
        <v>-1.6495071782995741</v>
      </c>
      <c r="K95" t="str">
        <f t="shared" si="83"/>
        <v>34283.4296285839-10501.1934547379i</v>
      </c>
      <c r="L95" t="str">
        <f t="shared" si="84"/>
        <v>100000000-2448538.09543305i</v>
      </c>
      <c r="M95" t="str">
        <f t="shared" si="85"/>
        <v>149775.471204197-5.48943894202511i</v>
      </c>
      <c r="N95">
        <f t="shared" si="99"/>
        <v>-14.222109669827404</v>
      </c>
      <c r="O95">
        <f t="shared" si="86"/>
        <v>-13.763018124769539</v>
      </c>
      <c r="P95" t="str">
        <f t="shared" si="87"/>
        <v>-544.967303679734i</v>
      </c>
      <c r="Q95" t="str">
        <f t="shared" si="88"/>
        <v>7350-317.99196044585i</v>
      </c>
      <c r="R95" t="str">
        <f t="shared" si="100"/>
        <v>39.857284349745-540.287682894359i</v>
      </c>
      <c r="S95" t="str">
        <f t="shared" si="89"/>
        <v>14986.1008431692-1224085.57752244i</v>
      </c>
      <c r="T95" t="str">
        <f t="shared" si="101"/>
        <v>39.8250290719873-540.050217026713i</v>
      </c>
      <c r="U95" t="str">
        <f t="shared" si="102"/>
        <v>0.904465799886942-0.293951384963256i</v>
      </c>
      <c r="V95">
        <f t="shared" si="90"/>
        <v>-5.7638423976476938</v>
      </c>
      <c r="W95">
        <f t="shared" si="91"/>
        <v>-103.78664331413765</v>
      </c>
      <c r="X95">
        <f t="shared" si="103"/>
        <v>-0.43607850253798275</v>
      </c>
      <c r="Y95">
        <f t="shared" si="92"/>
        <v>-18.004165351573619</v>
      </c>
      <c r="AA95" s="123">
        <f t="shared" si="104"/>
        <v>10.234360372912199</v>
      </c>
      <c r="AB95" s="123">
        <f t="shared" si="105"/>
        <v>-42.375291481367441</v>
      </c>
      <c r="AC95">
        <f t="shared" si="106"/>
        <v>-19.985952067475097</v>
      </c>
      <c r="AD95">
        <f t="shared" si="107"/>
        <v>-117.54966143890719</v>
      </c>
      <c r="AE95" s="123">
        <f t="shared" si="108"/>
        <v>-9.7515916945628973</v>
      </c>
      <c r="AF95" s="123">
        <f t="shared" si="109"/>
        <v>-159.92495292027462</v>
      </c>
      <c r="AI95" s="123">
        <f t="shared" si="110"/>
        <v>0</v>
      </c>
      <c r="AJ95" s="123">
        <f t="shared" si="111"/>
        <v>0</v>
      </c>
      <c r="AK95" s="123">
        <f t="shared" si="112"/>
        <v>0</v>
      </c>
      <c r="AL95" s="123">
        <f t="shared" si="113"/>
        <v>0</v>
      </c>
      <c r="AM95" s="123">
        <f t="shared" si="114"/>
        <v>0</v>
      </c>
      <c r="AN95" s="123">
        <f t="shared" si="115"/>
        <v>0</v>
      </c>
      <c r="AO95" s="123">
        <f t="shared" si="116"/>
        <v>0</v>
      </c>
      <c r="AP95" s="123"/>
      <c r="AQ95" s="123">
        <f t="shared" si="117"/>
        <v>0</v>
      </c>
      <c r="AR95" s="123">
        <f t="shared" si="118"/>
        <v>0</v>
      </c>
      <c r="AS95" s="123">
        <f t="shared" si="119"/>
        <v>0</v>
      </c>
      <c r="AW95" t="str">
        <f t="shared" si="93"/>
        <v>8000</v>
      </c>
      <c r="AX95" t="str">
        <f t="shared" si="94"/>
        <v>3952-293.238095261443i</v>
      </c>
      <c r="AY95" t="str">
        <f t="shared" si="120"/>
        <v>2648.4690053848-131.297921318067i</v>
      </c>
      <c r="AZ95">
        <f t="shared" si="95"/>
        <v>-5.5088417022030818</v>
      </c>
      <c r="BA95">
        <f t="shared" si="96"/>
        <v>-2.8381168405473312</v>
      </c>
      <c r="BB95">
        <f t="shared" si="97"/>
        <v>-3.0734279528123526E-3</v>
      </c>
      <c r="BC95">
        <f t="shared" si="98"/>
        <v>0.4947334186323778</v>
      </c>
      <c r="BD95" s="123">
        <f t="shared" si="121"/>
        <v>-1.7202016813031404</v>
      </c>
      <c r="BE95" s="123">
        <f t="shared" si="122"/>
        <v>-40.23105088443549</v>
      </c>
      <c r="BF95">
        <f t="shared" si="123"/>
        <v>-11.272684099850775</v>
      </c>
      <c r="BG95">
        <f t="shared" si="124"/>
        <v>-106.62476015468498</v>
      </c>
      <c r="BH95" s="123">
        <f t="shared" si="125"/>
        <v>-12.992885781153916</v>
      </c>
      <c r="BI95" s="123">
        <f t="shared" si="126"/>
        <v>-146.85581103912045</v>
      </c>
      <c r="BL95" s="123">
        <f t="shared" si="127"/>
        <v>0</v>
      </c>
      <c r="BM95" s="123">
        <f t="shared" si="128"/>
        <v>0</v>
      </c>
      <c r="BN95" s="123">
        <f t="shared" si="129"/>
        <v>0</v>
      </c>
      <c r="BO95" s="123">
        <f t="shared" si="130"/>
        <v>0</v>
      </c>
      <c r="BP95" s="123">
        <f t="shared" si="131"/>
        <v>0</v>
      </c>
      <c r="BQ95" s="123">
        <f t="shared" si="132"/>
        <v>0</v>
      </c>
      <c r="BR95" s="123">
        <f t="shared" si="133"/>
        <v>0</v>
      </c>
      <c r="BS95" s="123"/>
      <c r="BT95" s="123">
        <f t="shared" si="134"/>
        <v>0</v>
      </c>
      <c r="BU95" s="123">
        <f t="shared" si="135"/>
        <v>0</v>
      </c>
      <c r="BV95" s="123">
        <f t="shared" si="136"/>
        <v>0</v>
      </c>
      <c r="BX95" s="123">
        <f t="shared" si="137"/>
        <v>0</v>
      </c>
      <c r="BY95" s="123"/>
    </row>
    <row r="96" spans="5:77" x14ac:dyDescent="0.25">
      <c r="E96">
        <v>85</v>
      </c>
      <c r="F96">
        <v>70000</v>
      </c>
      <c r="G96" s="58">
        <f t="shared" si="79"/>
        <v>-1.9410223552619628</v>
      </c>
      <c r="H96" s="58">
        <f t="shared" si="80"/>
        <v>-43.215724988967573</v>
      </c>
      <c r="I96">
        <f t="shared" si="81"/>
        <v>11.949437336727811</v>
      </c>
      <c r="J96">
        <f t="shared" si="82"/>
        <v>-1.5324504272597137</v>
      </c>
      <c r="K96" t="str">
        <f t="shared" si="83"/>
        <v>33819.9698338536-11156.097400379i</v>
      </c>
      <c r="L96" t="str">
        <f t="shared" si="84"/>
        <v>100000000-2273642.51718783i</v>
      </c>
      <c r="M96" t="str">
        <f t="shared" si="85"/>
        <v>149775.452725652-5.09775566726123i</v>
      </c>
      <c r="N96">
        <f t="shared" si="99"/>
        <v>-14.261212817689282</v>
      </c>
      <c r="O96">
        <f t="shared" si="86"/>
        <v>-14.777165989982922</v>
      </c>
      <c r="P96" t="str">
        <f t="shared" si="87"/>
        <v>-506.04106770261i</v>
      </c>
      <c r="Q96" t="str">
        <f t="shared" si="88"/>
        <v>7350-295.278248985432i</v>
      </c>
      <c r="R96" t="str">
        <f t="shared" si="100"/>
        <v>34.4312342305565-502.287270003786i</v>
      </c>
      <c r="S96" t="str">
        <f t="shared" si="89"/>
        <v>12921.9557547104-1136674.35905386i</v>
      </c>
      <c r="T96" t="str">
        <f t="shared" si="101"/>
        <v>34.403337383082-502.066135991863i</v>
      </c>
      <c r="U96" t="str">
        <f t="shared" si="102"/>
        <v>0.89086859688196-0.311804008908686i</v>
      </c>
      <c r="V96">
        <f t="shared" si="90"/>
        <v>-6.4663004553480183</v>
      </c>
      <c r="W96">
        <f t="shared" si="91"/>
        <v>-105.37008754522165</v>
      </c>
      <c r="X96">
        <f t="shared" si="103"/>
        <v>-0.50186349675360742</v>
      </c>
      <c r="Y96">
        <f t="shared" si="92"/>
        <v>-19.29005023236973</v>
      </c>
      <c r="AA96" s="123">
        <f t="shared" si="104"/>
        <v>10.008414981465849</v>
      </c>
      <c r="AB96" s="123">
        <f t="shared" si="105"/>
        <v>-44.748175416227284</v>
      </c>
      <c r="AC96">
        <f t="shared" si="106"/>
        <v>-20.7275132730373</v>
      </c>
      <c r="AD96">
        <f t="shared" si="107"/>
        <v>-120.14725353520457</v>
      </c>
      <c r="AE96" s="123">
        <f t="shared" si="108"/>
        <v>-10.71909829157145</v>
      </c>
      <c r="AF96" s="123">
        <f t="shared" si="109"/>
        <v>-164.89542895143185</v>
      </c>
      <c r="AI96" s="123">
        <f t="shared" si="110"/>
        <v>0</v>
      </c>
      <c r="AJ96" s="123">
        <f t="shared" si="111"/>
        <v>0</v>
      </c>
      <c r="AK96" s="123">
        <f t="shared" si="112"/>
        <v>0</v>
      </c>
      <c r="AL96" s="123">
        <f t="shared" si="113"/>
        <v>0</v>
      </c>
      <c r="AM96" s="123">
        <f t="shared" si="114"/>
        <v>70549.972846740216</v>
      </c>
      <c r="AN96" s="123">
        <f t="shared" si="115"/>
        <v>-10.822006907657606</v>
      </c>
      <c r="AO96" s="123">
        <f t="shared" si="116"/>
        <v>0</v>
      </c>
      <c r="AP96" s="123"/>
      <c r="AQ96" s="123">
        <f t="shared" si="117"/>
        <v>0</v>
      </c>
      <c r="AR96" s="123">
        <f t="shared" si="118"/>
        <v>0</v>
      </c>
      <c r="AS96" s="123">
        <f t="shared" si="119"/>
        <v>0</v>
      </c>
      <c r="AW96" t="str">
        <f t="shared" si="93"/>
        <v>8000</v>
      </c>
      <c r="AX96" t="str">
        <f t="shared" si="94"/>
        <v>3952-272.292517028482i</v>
      </c>
      <c r="AY96" t="str">
        <f t="shared" si="120"/>
        <v>2648.0254784527-121.929602873529i</v>
      </c>
      <c r="AZ96">
        <f t="shared" si="95"/>
        <v>-5.5117587939281121</v>
      </c>
      <c r="BA96">
        <f t="shared" si="96"/>
        <v>-2.6363500575767147</v>
      </c>
      <c r="BB96">
        <f t="shared" si="97"/>
        <v>-2.6506665098281201E-3</v>
      </c>
      <c r="BC96">
        <f t="shared" si="98"/>
        <v>0.45950182572799059</v>
      </c>
      <c r="BD96" s="123">
        <f t="shared" si="121"/>
        <v>-1.9436730217717908</v>
      </c>
      <c r="BE96" s="123">
        <f t="shared" si="122"/>
        <v>-42.756223163239582</v>
      </c>
      <c r="BF96">
        <f t="shared" si="123"/>
        <v>-11.97805924927613</v>
      </c>
      <c r="BG96">
        <f t="shared" si="124"/>
        <v>-108.00643760279837</v>
      </c>
      <c r="BH96" s="123">
        <f t="shared" si="125"/>
        <v>-13.921732271047921</v>
      </c>
      <c r="BI96" s="123">
        <f t="shared" si="126"/>
        <v>-150.76266076603795</v>
      </c>
      <c r="BL96" s="123">
        <f t="shared" si="127"/>
        <v>0</v>
      </c>
      <c r="BM96" s="123">
        <f t="shared" si="128"/>
        <v>0</v>
      </c>
      <c r="BN96" s="123">
        <f t="shared" si="129"/>
        <v>0</v>
      </c>
      <c r="BO96" s="123">
        <f t="shared" si="130"/>
        <v>0</v>
      </c>
      <c r="BP96" s="123">
        <f t="shared" si="131"/>
        <v>74632.902099741943</v>
      </c>
      <c r="BQ96" s="123">
        <f t="shared" si="132"/>
        <v>-14.750396470915668</v>
      </c>
      <c r="BR96" s="123">
        <f t="shared" si="133"/>
        <v>0</v>
      </c>
      <c r="BS96" s="123"/>
      <c r="BT96" s="123">
        <f t="shared" si="134"/>
        <v>0</v>
      </c>
      <c r="BU96" s="123">
        <f t="shared" si="135"/>
        <v>0</v>
      </c>
      <c r="BV96" s="123">
        <f t="shared" si="136"/>
        <v>0</v>
      </c>
      <c r="BX96" s="123">
        <f t="shared" si="137"/>
        <v>0</v>
      </c>
      <c r="BY96" s="123"/>
    </row>
    <row r="97" spans="5:77" x14ac:dyDescent="0.25">
      <c r="E97">
        <v>86</v>
      </c>
      <c r="F97">
        <v>75000</v>
      </c>
      <c r="G97" s="58">
        <f t="shared" si="79"/>
        <v>-2.1701785544573693</v>
      </c>
      <c r="H97" s="58">
        <f t="shared" si="80"/>
        <v>-45.606739055485193</v>
      </c>
      <c r="I97">
        <f t="shared" si="81"/>
        <v>11.947780910013554</v>
      </c>
      <c r="J97">
        <f t="shared" si="82"/>
        <v>-1.4308637867079557</v>
      </c>
      <c r="K97" t="str">
        <f t="shared" si="83"/>
        <v>33335.9371299899-11781.8902575089i</v>
      </c>
      <c r="L97" t="str">
        <f t="shared" si="84"/>
        <v>100000000-2122066.34937531i</v>
      </c>
      <c r="M97" t="str">
        <f t="shared" si="85"/>
        <v>149775.437815887-4.75822121066688i</v>
      </c>
      <c r="N97">
        <f t="shared" si="99"/>
        <v>-14.302824210666444</v>
      </c>
      <c r="O97">
        <f t="shared" si="86"/>
        <v>-15.781917462979582</v>
      </c>
      <c r="P97" t="str">
        <f t="shared" si="87"/>
        <v>-472.304996522436i</v>
      </c>
      <c r="Q97" t="str">
        <f t="shared" si="88"/>
        <v>7350-275.593032386403i</v>
      </c>
      <c r="R97" t="str">
        <f t="shared" si="100"/>
        <v>30.0389090454644-469.248392323024i</v>
      </c>
      <c r="S97" t="str">
        <f t="shared" si="89"/>
        <v>11256.6467142736-1060913.73793165i</v>
      </c>
      <c r="T97" t="str">
        <f t="shared" si="101"/>
        <v>30.0145478483314-469.041523852696i</v>
      </c>
      <c r="U97" t="str">
        <f t="shared" si="102"/>
        <v>0.876712328767123-0.328767123287671i</v>
      </c>
      <c r="V97">
        <f t="shared" si="90"/>
        <v>-7.1294554991013905</v>
      </c>
      <c r="W97">
        <f t="shared" si="91"/>
        <v>-106.89463185311475</v>
      </c>
      <c r="X97">
        <f t="shared" si="103"/>
        <v>-0.57142886136569104</v>
      </c>
      <c r="Y97">
        <f t="shared" si="92"/>
        <v>-20.55604949614812</v>
      </c>
      <c r="AA97" s="123">
        <f t="shared" si="104"/>
        <v>9.7776023555561853</v>
      </c>
      <c r="AB97" s="123">
        <f t="shared" si="105"/>
        <v>-47.037602842193145</v>
      </c>
      <c r="AC97">
        <f t="shared" si="106"/>
        <v>-21.432279709767833</v>
      </c>
      <c r="AD97">
        <f t="shared" si="107"/>
        <v>-122.67654931609432</v>
      </c>
      <c r="AE97" s="123">
        <f t="shared" si="108"/>
        <v>-11.654677354211648</v>
      </c>
      <c r="AF97" s="123">
        <f t="shared" si="109"/>
        <v>-169.71415215828748</v>
      </c>
      <c r="AI97" s="123">
        <f t="shared" si="110"/>
        <v>0</v>
      </c>
      <c r="AJ97" s="123">
        <f t="shared" si="111"/>
        <v>0</v>
      </c>
      <c r="AK97" s="123">
        <f t="shared" si="112"/>
        <v>0</v>
      </c>
      <c r="AL97" s="123">
        <f t="shared" si="113"/>
        <v>0</v>
      </c>
      <c r="AM97" s="123">
        <f t="shared" si="114"/>
        <v>0</v>
      </c>
      <c r="AN97" s="123">
        <f t="shared" si="115"/>
        <v>0</v>
      </c>
      <c r="AO97" s="123">
        <f t="shared" si="116"/>
        <v>0</v>
      </c>
      <c r="AP97" s="123"/>
      <c r="AQ97" s="123">
        <f t="shared" si="117"/>
        <v>0</v>
      </c>
      <c r="AR97" s="123">
        <f t="shared" si="118"/>
        <v>0</v>
      </c>
      <c r="AS97" s="123">
        <f t="shared" si="119"/>
        <v>0</v>
      </c>
      <c r="AW97" t="str">
        <f t="shared" si="93"/>
        <v>8000</v>
      </c>
      <c r="AX97" t="str">
        <f t="shared" si="94"/>
        <v>3952-254.139682559917i</v>
      </c>
      <c r="AY97" t="str">
        <f t="shared" si="120"/>
        <v>2647.66760997352-113.808572168382i</v>
      </c>
      <c r="AZ97">
        <f t="shared" si="95"/>
        <v>-5.5141139362191103</v>
      </c>
      <c r="BA97">
        <f t="shared" si="96"/>
        <v>-2.4613137173053952</v>
      </c>
      <c r="BB97">
        <f t="shared" si="97"/>
        <v>-2.3094602047659179E-3</v>
      </c>
      <c r="BC97">
        <f t="shared" si="98"/>
        <v>0.42894860196615775</v>
      </c>
      <c r="BD97" s="123">
        <f t="shared" si="121"/>
        <v>-2.172488014662135</v>
      </c>
      <c r="BE97" s="123">
        <f t="shared" si="122"/>
        <v>-45.177790453519037</v>
      </c>
      <c r="BF97">
        <f t="shared" si="123"/>
        <v>-12.643569435320501</v>
      </c>
      <c r="BG97">
        <f t="shared" si="124"/>
        <v>-109.35594557042015</v>
      </c>
      <c r="BH97" s="123">
        <f t="shared" si="125"/>
        <v>-14.816057449982637</v>
      </c>
      <c r="BI97" s="123">
        <f t="shared" si="126"/>
        <v>-154.53373602393918</v>
      </c>
      <c r="BL97" s="123">
        <f t="shared" si="127"/>
        <v>0</v>
      </c>
      <c r="BM97" s="123">
        <f t="shared" si="128"/>
        <v>0</v>
      </c>
      <c r="BN97" s="123">
        <f t="shared" si="129"/>
        <v>0</v>
      </c>
      <c r="BO97" s="123">
        <f t="shared" si="130"/>
        <v>0</v>
      </c>
      <c r="BP97" s="123">
        <f t="shared" si="131"/>
        <v>0</v>
      </c>
      <c r="BQ97" s="123">
        <f t="shared" si="132"/>
        <v>0</v>
      </c>
      <c r="BR97" s="123">
        <f t="shared" si="133"/>
        <v>0</v>
      </c>
      <c r="BS97" s="123"/>
      <c r="BT97" s="123">
        <f t="shared" si="134"/>
        <v>0</v>
      </c>
      <c r="BU97" s="123">
        <f t="shared" si="135"/>
        <v>0</v>
      </c>
      <c r="BV97" s="123">
        <f t="shared" si="136"/>
        <v>0</v>
      </c>
      <c r="BX97" s="123">
        <f t="shared" si="137"/>
        <v>0</v>
      </c>
      <c r="BY97" s="123"/>
    </row>
    <row r="98" spans="5:77" x14ac:dyDescent="0.25">
      <c r="E98">
        <v>87</v>
      </c>
      <c r="F98">
        <v>80000</v>
      </c>
      <c r="G98" s="58">
        <f t="shared" si="79"/>
        <v>-2.4034158616277863</v>
      </c>
      <c r="H98" s="58">
        <f t="shared" si="80"/>
        <v>-47.901859403290089</v>
      </c>
      <c r="I98">
        <f t="shared" si="81"/>
        <v>11.946424214028259</v>
      </c>
      <c r="J98">
        <f t="shared" si="82"/>
        <v>-1.341877652773019</v>
      </c>
      <c r="K98" t="str">
        <f t="shared" si="83"/>
        <v>32833.6132048144-12377.9779890407i</v>
      </c>
      <c r="L98" t="str">
        <f t="shared" si="84"/>
        <v>100000000-1989437.20253935i</v>
      </c>
      <c r="M98" t="str">
        <f t="shared" si="85"/>
        <v>149775.425611864-4.46107481272545i</v>
      </c>
      <c r="N98">
        <f t="shared" si="99"/>
        <v>-14.346868997576257</v>
      </c>
      <c r="O98">
        <f t="shared" si="86"/>
        <v>-16.776796172276072</v>
      </c>
      <c r="P98" t="str">
        <f t="shared" si="87"/>
        <v>-442.785934239784i</v>
      </c>
      <c r="Q98" t="str">
        <f t="shared" si="88"/>
        <v>7350-258.368467862253i</v>
      </c>
      <c r="R98" t="str">
        <f t="shared" si="100"/>
        <v>26.4341887087698-440.264240664389i</v>
      </c>
      <c r="S98" t="str">
        <f t="shared" si="89"/>
        <v>9893.67201280648-994620.187073815i</v>
      </c>
      <c r="T98" t="str">
        <f t="shared" si="101"/>
        <v>26.4127342178709-440.069934212104i</v>
      </c>
      <c r="U98" t="str">
        <f t="shared" si="102"/>
        <v>0.862068965517241-0.344827586206897i</v>
      </c>
      <c r="V98">
        <f t="shared" si="90"/>
        <v>-7.7585293217587949</v>
      </c>
      <c r="W98">
        <f t="shared" si="91"/>
        <v>-108.36669401442123</v>
      </c>
      <c r="X98">
        <f t="shared" si="103"/>
        <v>-0.64457989226918699</v>
      </c>
      <c r="Y98">
        <f t="shared" si="92"/>
        <v>-21.801414022007247</v>
      </c>
      <c r="AA98" s="123">
        <f t="shared" si="104"/>
        <v>9.5430083524004718</v>
      </c>
      <c r="AB98" s="123">
        <f t="shared" si="105"/>
        <v>-49.243737056063111</v>
      </c>
      <c r="AC98">
        <f t="shared" si="106"/>
        <v>-22.105398319335052</v>
      </c>
      <c r="AD98">
        <f t="shared" si="107"/>
        <v>-125.14349018669731</v>
      </c>
      <c r="AE98" s="123">
        <f t="shared" si="108"/>
        <v>-12.56238996693458</v>
      </c>
      <c r="AF98" s="123">
        <f t="shared" si="109"/>
        <v>-174.38722724276042</v>
      </c>
      <c r="AI98" s="123">
        <f t="shared" si="110"/>
        <v>0</v>
      </c>
      <c r="AJ98" s="123">
        <f t="shared" si="111"/>
        <v>0</v>
      </c>
      <c r="AK98" s="123">
        <f t="shared" si="112"/>
        <v>0</v>
      </c>
      <c r="AL98" s="123">
        <f t="shared" si="113"/>
        <v>0</v>
      </c>
      <c r="AM98" s="123">
        <f t="shared" si="114"/>
        <v>0</v>
      </c>
      <c r="AN98" s="123">
        <f t="shared" si="115"/>
        <v>0</v>
      </c>
      <c r="AO98" s="123">
        <f t="shared" si="116"/>
        <v>0</v>
      </c>
      <c r="AP98" s="123"/>
      <c r="AQ98" s="123">
        <f t="shared" si="117"/>
        <v>0</v>
      </c>
      <c r="AR98" s="123">
        <f t="shared" si="118"/>
        <v>0</v>
      </c>
      <c r="AS98" s="123">
        <f t="shared" si="119"/>
        <v>0</v>
      </c>
      <c r="AW98" t="str">
        <f t="shared" si="93"/>
        <v>8000</v>
      </c>
      <c r="AX98" t="str">
        <f t="shared" si="94"/>
        <v>3952-238.255952399922i</v>
      </c>
      <c r="AY98" t="str">
        <f t="shared" si="120"/>
        <v>2647.37468523148-106.701375686923i</v>
      </c>
      <c r="AZ98">
        <f t="shared" si="95"/>
        <v>-5.5160426329893895</v>
      </c>
      <c r="BA98">
        <f t="shared" si="96"/>
        <v>-2.3080346813654407</v>
      </c>
      <c r="BB98">
        <f t="shared" si="97"/>
        <v>-2.0301121337081875E-3</v>
      </c>
      <c r="BC98">
        <f t="shared" si="98"/>
        <v>0.40220089506122331</v>
      </c>
      <c r="BD98" s="123">
        <f t="shared" si="121"/>
        <v>-2.4054459737614944</v>
      </c>
      <c r="BE98" s="123">
        <f t="shared" si="122"/>
        <v>-47.499658508228869</v>
      </c>
      <c r="BF98">
        <f t="shared" si="123"/>
        <v>-13.274571954748184</v>
      </c>
      <c r="BG98">
        <f t="shared" si="124"/>
        <v>-110.67472869578667</v>
      </c>
      <c r="BH98" s="123">
        <f t="shared" si="125"/>
        <v>-15.680017928509679</v>
      </c>
      <c r="BI98" s="123">
        <f t="shared" si="126"/>
        <v>-158.17438720401555</v>
      </c>
      <c r="BL98" s="123">
        <f t="shared" si="127"/>
        <v>0</v>
      </c>
      <c r="BM98" s="123">
        <f t="shared" si="128"/>
        <v>0</v>
      </c>
      <c r="BN98" s="123">
        <f t="shared" si="129"/>
        <v>0</v>
      </c>
      <c r="BO98" s="123">
        <f t="shared" si="130"/>
        <v>0</v>
      </c>
      <c r="BP98" s="123">
        <f t="shared" si="131"/>
        <v>0</v>
      </c>
      <c r="BQ98" s="123">
        <f t="shared" si="132"/>
        <v>0</v>
      </c>
      <c r="BR98" s="123">
        <f t="shared" si="133"/>
        <v>0</v>
      </c>
      <c r="BS98" s="123"/>
      <c r="BT98" s="123">
        <f t="shared" si="134"/>
        <v>0</v>
      </c>
      <c r="BU98" s="123">
        <f t="shared" si="135"/>
        <v>0</v>
      </c>
      <c r="BV98" s="123">
        <f t="shared" si="136"/>
        <v>0</v>
      </c>
      <c r="BX98" s="123">
        <f t="shared" si="137"/>
        <v>0</v>
      </c>
      <c r="BY98" s="123"/>
    </row>
    <row r="99" spans="5:77" x14ac:dyDescent="0.25">
      <c r="E99">
        <v>88</v>
      </c>
      <c r="F99">
        <v>85000</v>
      </c>
      <c r="G99" s="58">
        <f t="shared" si="79"/>
        <v>-2.6396871083784577</v>
      </c>
      <c r="H99" s="58">
        <f t="shared" si="80"/>
        <v>-50.104577145967731</v>
      </c>
      <c r="I99">
        <f t="shared" si="81"/>
        <v>11.945299112756249</v>
      </c>
      <c r="J99">
        <f t="shared" si="82"/>
        <v>-1.2632893332299933</v>
      </c>
      <c r="K99" t="str">
        <f t="shared" si="83"/>
        <v>32315.2537648257-12943.9711949572i</v>
      </c>
      <c r="L99" t="str">
        <f t="shared" si="84"/>
        <v>100000000-1872411.48474292i</v>
      </c>
      <c r="M99" t="str">
        <f t="shared" si="85"/>
        <v>149775.415496463-4.19884776552949i</v>
      </c>
      <c r="N99">
        <f t="shared" si="99"/>
        <v>-14.393269791665571</v>
      </c>
      <c r="O99">
        <f t="shared" si="86"/>
        <v>-17.76135816341181</v>
      </c>
      <c r="P99" t="str">
        <f t="shared" si="87"/>
        <v>-416.739702813914i</v>
      </c>
      <c r="Q99" t="str">
        <f t="shared" si="88"/>
        <v>7350-243.170322693885i</v>
      </c>
      <c r="R99" t="str">
        <f t="shared" si="100"/>
        <v>23.4398893085762-414.635183364728i</v>
      </c>
      <c r="S99" t="str">
        <f t="shared" si="89"/>
        <v>8764.04376854-936123.692890434i</v>
      </c>
      <c r="T99" t="str">
        <f t="shared" si="101"/>
        <v>23.4208527634345-414.452019275165i</v>
      </c>
      <c r="U99" t="str">
        <f t="shared" si="102"/>
        <v>0.847008999470619-0.359978824775013i</v>
      </c>
      <c r="V99">
        <f t="shared" si="90"/>
        <v>-8.3577877777855676</v>
      </c>
      <c r="W99">
        <f t="shared" si="91"/>
        <v>-109.7911469430644</v>
      </c>
      <c r="X99">
        <f t="shared" si="103"/>
        <v>-0.72111975265909201</v>
      </c>
      <c r="Y99">
        <f t="shared" si="92"/>
        <v>-23.025496798846621</v>
      </c>
      <c r="AA99" s="123">
        <f t="shared" si="104"/>
        <v>9.3056120043777923</v>
      </c>
      <c r="AB99" s="123">
        <f t="shared" si="105"/>
        <v>-51.367866479197723</v>
      </c>
      <c r="AC99">
        <f t="shared" si="106"/>
        <v>-22.751057569451138</v>
      </c>
      <c r="AD99">
        <f t="shared" si="107"/>
        <v>-127.55250510647622</v>
      </c>
      <c r="AE99" s="123">
        <f t="shared" si="108"/>
        <v>-13.445445565073346</v>
      </c>
      <c r="AF99" s="123">
        <f t="shared" si="109"/>
        <v>-178.92037158567393</v>
      </c>
      <c r="AI99" s="123">
        <f t="shared" si="110"/>
        <v>0</v>
      </c>
      <c r="AJ99" s="123">
        <f t="shared" si="111"/>
        <v>0</v>
      </c>
      <c r="AK99" s="123">
        <f t="shared" si="112"/>
        <v>86227.225332862727</v>
      </c>
      <c r="AL99" s="123">
        <f t="shared" si="113"/>
        <v>-13.656766588111783</v>
      </c>
      <c r="AM99" s="123">
        <f t="shared" si="114"/>
        <v>0</v>
      </c>
      <c r="AN99" s="123">
        <f t="shared" si="115"/>
        <v>0</v>
      </c>
      <c r="AO99" s="123">
        <f t="shared" si="116"/>
        <v>0</v>
      </c>
      <c r="AP99" s="123"/>
      <c r="AQ99" s="123">
        <f t="shared" si="117"/>
        <v>0</v>
      </c>
      <c r="AR99" s="123">
        <f t="shared" si="118"/>
        <v>0</v>
      </c>
      <c r="AS99" s="123">
        <f t="shared" si="119"/>
        <v>0</v>
      </c>
      <c r="AW99" t="str">
        <f t="shared" si="93"/>
        <v>8000</v>
      </c>
      <c r="AX99" t="str">
        <f t="shared" si="94"/>
        <v>3952-224.240896376397i</v>
      </c>
      <c r="AY99" t="str">
        <f t="shared" si="120"/>
        <v>2647.13189207341-100.429379409814i</v>
      </c>
      <c r="AZ99">
        <f t="shared" si="95"/>
        <v>-5.5176418991224434</v>
      </c>
      <c r="BA99">
        <f t="shared" si="96"/>
        <v>-2.1726995885976499</v>
      </c>
      <c r="BB99">
        <f t="shared" si="97"/>
        <v>-1.7985299653880851E-3</v>
      </c>
      <c r="BC99">
        <f t="shared" si="98"/>
        <v>0.37859006697259151</v>
      </c>
      <c r="BD99" s="123">
        <f t="shared" si="121"/>
        <v>-2.6414856383438456</v>
      </c>
      <c r="BE99" s="123">
        <f t="shared" si="122"/>
        <v>-49.725987078995139</v>
      </c>
      <c r="BF99">
        <f t="shared" si="123"/>
        <v>-13.875429676908011</v>
      </c>
      <c r="BG99">
        <f t="shared" si="124"/>
        <v>-111.96384653166206</v>
      </c>
      <c r="BH99" s="123">
        <f t="shared" si="125"/>
        <v>-16.516915315251858</v>
      </c>
      <c r="BI99" s="123">
        <f t="shared" si="126"/>
        <v>-161.68983361065719</v>
      </c>
      <c r="BL99" s="123">
        <f t="shared" si="127"/>
        <v>0</v>
      </c>
      <c r="BM99" s="123">
        <f t="shared" si="128"/>
        <v>0</v>
      </c>
      <c r="BN99" s="123">
        <f t="shared" si="129"/>
        <v>0</v>
      </c>
      <c r="BO99" s="123">
        <f t="shared" si="130"/>
        <v>0</v>
      </c>
      <c r="BP99" s="123">
        <f t="shared" si="131"/>
        <v>0</v>
      </c>
      <c r="BQ99" s="123">
        <f t="shared" si="132"/>
        <v>0</v>
      </c>
      <c r="BR99" s="123">
        <f t="shared" si="133"/>
        <v>0</v>
      </c>
      <c r="BS99" s="123"/>
      <c r="BT99" s="123">
        <f t="shared" si="134"/>
        <v>0</v>
      </c>
      <c r="BU99" s="123">
        <f t="shared" si="135"/>
        <v>0</v>
      </c>
      <c r="BV99" s="123">
        <f t="shared" si="136"/>
        <v>0</v>
      </c>
      <c r="BX99" s="123">
        <f t="shared" si="137"/>
        <v>0</v>
      </c>
      <c r="BY99" s="123"/>
    </row>
    <row r="100" spans="5:77" x14ac:dyDescent="0.25">
      <c r="E100">
        <v>89</v>
      </c>
      <c r="F100">
        <v>90000</v>
      </c>
      <c r="G100" s="58">
        <f t="shared" si="79"/>
        <v>-2.8780728251414613</v>
      </c>
      <c r="H100" s="58">
        <f t="shared" si="80"/>
        <v>-52.218693047859972</v>
      </c>
      <c r="I100">
        <f t="shared" si="81"/>
        <v>11.944355774497126</v>
      </c>
      <c r="J100">
        <f t="shared" si="82"/>
        <v>-1.1933803143643287</v>
      </c>
      <c r="K100" t="str">
        <f t="shared" si="83"/>
        <v>31783.0692025506-13479.6738521942i</v>
      </c>
      <c r="L100" t="str">
        <f t="shared" si="84"/>
        <v>100000000-1768388.62447942i</v>
      </c>
      <c r="M100" t="str">
        <f t="shared" si="85"/>
        <v>149775.407018957-3.96572813594329i</v>
      </c>
      <c r="N100">
        <f t="shared" si="99"/>
        <v>-14.441947065280855</v>
      </c>
      <c r="O100">
        <f t="shared" si="86"/>
        <v>-18.735192492898481</v>
      </c>
      <c r="P100" t="str">
        <f t="shared" si="87"/>
        <v>-393.58749710203i</v>
      </c>
      <c r="Q100" t="str">
        <f t="shared" si="88"/>
        <v>7350-229.660860322003i</v>
      </c>
      <c r="R100" t="str">
        <f t="shared" si="100"/>
        <v>20.925879013592-391.813072649938i</v>
      </c>
      <c r="S100" t="str">
        <f t="shared" si="89"/>
        <v>7817.38465516514-884125.191369224i</v>
      </c>
      <c r="T100" t="str">
        <f t="shared" si="101"/>
        <v>20.9088749970539-391.639856223934i</v>
      </c>
      <c r="U100" t="str">
        <f t="shared" si="102"/>
        <v>0.831600831600832-0.374220374220374i</v>
      </c>
      <c r="V100">
        <f t="shared" si="90"/>
        <v>-8.9307521990979293</v>
      </c>
      <c r="W100">
        <f t="shared" si="91"/>
        <v>-111.17176172882508</v>
      </c>
      <c r="X100">
        <f t="shared" si="103"/>
        <v>-0.80085085045869064</v>
      </c>
      <c r="Y100">
        <f t="shared" si="92"/>
        <v>-24.227750358394488</v>
      </c>
      <c r="AA100" s="123">
        <f t="shared" si="104"/>
        <v>9.0662829493556636</v>
      </c>
      <c r="AB100" s="123">
        <f t="shared" si="105"/>
        <v>-53.412073362224298</v>
      </c>
      <c r="AC100">
        <f t="shared" si="106"/>
        <v>-23.372699264378785</v>
      </c>
      <c r="AD100">
        <f t="shared" si="107"/>
        <v>-129.90695422172357</v>
      </c>
      <c r="AE100" s="123">
        <f t="shared" si="108"/>
        <v>-14.306416315023121</v>
      </c>
      <c r="AF100" s="123">
        <f t="shared" si="109"/>
        <v>-183.31902758394787</v>
      </c>
      <c r="AI100" s="123">
        <f t="shared" si="110"/>
        <v>0</v>
      </c>
      <c r="AJ100" s="123">
        <f t="shared" si="111"/>
        <v>0</v>
      </c>
      <c r="AK100" s="123">
        <f t="shared" si="112"/>
        <v>0</v>
      </c>
      <c r="AL100" s="123">
        <f t="shared" si="113"/>
        <v>0</v>
      </c>
      <c r="AM100" s="123">
        <f t="shared" si="114"/>
        <v>0</v>
      </c>
      <c r="AN100" s="123">
        <f t="shared" si="115"/>
        <v>0</v>
      </c>
      <c r="AO100" s="123">
        <f t="shared" si="116"/>
        <v>0</v>
      </c>
      <c r="AP100" s="123"/>
      <c r="AQ100" s="123">
        <f t="shared" si="117"/>
        <v>0</v>
      </c>
      <c r="AR100" s="123">
        <f t="shared" si="118"/>
        <v>0</v>
      </c>
      <c r="AS100" s="123">
        <f t="shared" si="119"/>
        <v>0</v>
      </c>
      <c r="AW100" t="str">
        <f t="shared" si="93"/>
        <v>8000</v>
      </c>
      <c r="AX100" t="str">
        <f t="shared" si="94"/>
        <v>3952-211.783068799931i</v>
      </c>
      <c r="AY100" t="str">
        <f t="shared" si="120"/>
        <v>2646.92841208167-94.8535749995872i</v>
      </c>
      <c r="AZ100">
        <f t="shared" si="95"/>
        <v>-5.5189826651894904</v>
      </c>
      <c r="BA100">
        <f t="shared" si="96"/>
        <v>-2.0523358505324745</v>
      </c>
      <c r="BB100">
        <f t="shared" si="97"/>
        <v>-1.6044162414077571E-3</v>
      </c>
      <c r="BC100">
        <f t="shared" si="98"/>
        <v>0.35759532231394625</v>
      </c>
      <c r="BD100" s="123">
        <f t="shared" si="121"/>
        <v>-2.8796772413828693</v>
      </c>
      <c r="BE100" s="123">
        <f t="shared" si="122"/>
        <v>-51.861097725546024</v>
      </c>
      <c r="BF100">
        <f t="shared" si="123"/>
        <v>-14.44973486428742</v>
      </c>
      <c r="BG100">
        <f t="shared" si="124"/>
        <v>-113.22409757935755</v>
      </c>
      <c r="BH100" s="123">
        <f t="shared" si="125"/>
        <v>-17.32941210567029</v>
      </c>
      <c r="BI100" s="123">
        <f t="shared" si="126"/>
        <v>-165.08519530490358</v>
      </c>
      <c r="BL100" s="123">
        <f t="shared" si="127"/>
        <v>0</v>
      </c>
      <c r="BM100" s="123">
        <f t="shared" si="128"/>
        <v>0</v>
      </c>
      <c r="BN100" s="123">
        <f t="shared" si="129"/>
        <v>0</v>
      </c>
      <c r="BO100" s="123">
        <f t="shared" si="130"/>
        <v>0</v>
      </c>
      <c r="BP100" s="123">
        <f t="shared" si="131"/>
        <v>0</v>
      </c>
      <c r="BQ100" s="123">
        <f t="shared" si="132"/>
        <v>0</v>
      </c>
      <c r="BR100" s="123">
        <f t="shared" si="133"/>
        <v>0</v>
      </c>
      <c r="BS100" s="123"/>
      <c r="BT100" s="123">
        <f t="shared" si="134"/>
        <v>0</v>
      </c>
      <c r="BU100" s="123">
        <f t="shared" si="135"/>
        <v>0</v>
      </c>
      <c r="BV100" s="123">
        <f t="shared" si="136"/>
        <v>0</v>
      </c>
      <c r="BX100" s="123">
        <f t="shared" si="137"/>
        <v>0</v>
      </c>
      <c r="BY100" s="123"/>
    </row>
    <row r="101" spans="5:77" x14ac:dyDescent="0.25">
      <c r="E101">
        <v>90</v>
      </c>
      <c r="F101">
        <v>95000</v>
      </c>
      <c r="G101" s="58">
        <f t="shared" si="79"/>
        <v>-3.1177728780563889</v>
      </c>
      <c r="H101" s="58">
        <f t="shared" si="80"/>
        <v>-54.24819392019527</v>
      </c>
      <c r="I101">
        <f t="shared" si="81"/>
        <v>11.943557076270032</v>
      </c>
      <c r="J101">
        <f t="shared" si="82"/>
        <v>-1.1307903827484356</v>
      </c>
      <c r="K101" t="str">
        <f t="shared" si="83"/>
        <v>31239.2076092532-13985.0703713986i</v>
      </c>
      <c r="L101" t="str">
        <f t="shared" si="84"/>
        <v>100000000-1675315.5389805i</v>
      </c>
      <c r="M101" t="str">
        <f t="shared" si="85"/>
        <v>149775.399843944-3.75712562654894i</v>
      </c>
      <c r="N101">
        <f t="shared" si="99"/>
        <v>-14.492819539287844</v>
      </c>
      <c r="O101">
        <f t="shared" si="86"/>
        <v>-19.697921528593408</v>
      </c>
      <c r="P101" t="str">
        <f t="shared" si="87"/>
        <v>-372.872365675608i</v>
      </c>
      <c r="Q101" t="str">
        <f t="shared" si="88"/>
        <v>7350-217.573446620845i</v>
      </c>
      <c r="R101" t="str">
        <f t="shared" si="100"/>
        <v>18.7948734616258-371.362521549342i</v>
      </c>
      <c r="S101" t="str">
        <f t="shared" si="89"/>
        <v>7016.21308087257-837598.997636256i</v>
      </c>
      <c r="T101" t="str">
        <f t="shared" si="101"/>
        <v>18.7795940544809-371.198238452423i</v>
      </c>
      <c r="U101" t="str">
        <f t="shared" si="102"/>
        <v>0.815910249872514-0.387557368689444i</v>
      </c>
      <c r="V101">
        <f t="shared" si="90"/>
        <v>-9.4803562732792326</v>
      </c>
      <c r="W101">
        <f t="shared" si="91"/>
        <v>-112.5115131278914</v>
      </c>
      <c r="X101">
        <f t="shared" si="103"/>
        <v>-0.88357611011859283</v>
      </c>
      <c r="Y101">
        <f t="shared" si="92"/>
        <v>-25.407723394875223</v>
      </c>
      <c r="AA101" s="123">
        <f t="shared" si="104"/>
        <v>8.8257841982136434</v>
      </c>
      <c r="AB101" s="123">
        <f t="shared" si="105"/>
        <v>-55.378984302943707</v>
      </c>
      <c r="AC101">
        <f t="shared" si="106"/>
        <v>-23.973175812567078</v>
      </c>
      <c r="AD101">
        <f t="shared" si="107"/>
        <v>-132.2094346564848</v>
      </c>
      <c r="AE101" s="123">
        <f t="shared" si="108"/>
        <v>-15.147391614353435</v>
      </c>
      <c r="AF101" s="123">
        <f t="shared" si="109"/>
        <v>-187.58841895942851</v>
      </c>
      <c r="AI101" s="123">
        <f t="shared" si="110"/>
        <v>0</v>
      </c>
      <c r="AJ101" s="123">
        <f t="shared" si="111"/>
        <v>0</v>
      </c>
      <c r="AK101" s="123">
        <f t="shared" si="112"/>
        <v>0</v>
      </c>
      <c r="AL101" s="123">
        <f t="shared" si="113"/>
        <v>0</v>
      </c>
      <c r="AM101" s="123">
        <f t="shared" si="114"/>
        <v>0</v>
      </c>
      <c r="AN101" s="123">
        <f t="shared" si="115"/>
        <v>0</v>
      </c>
      <c r="AO101" s="123">
        <f t="shared" si="116"/>
        <v>0</v>
      </c>
      <c r="AP101" s="123"/>
      <c r="AQ101" s="123">
        <f t="shared" si="117"/>
        <v>0</v>
      </c>
      <c r="AR101" s="123">
        <f t="shared" si="118"/>
        <v>0</v>
      </c>
      <c r="AS101" s="123">
        <f t="shared" si="119"/>
        <v>0</v>
      </c>
      <c r="AW101" t="str">
        <f t="shared" si="93"/>
        <v>8000</v>
      </c>
      <c r="AX101" t="str">
        <f t="shared" si="94"/>
        <v>3952-200.636591494671i</v>
      </c>
      <c r="AY101" t="str">
        <f t="shared" si="120"/>
        <v>2646.75619488629-89.864172565092i</v>
      </c>
      <c r="AZ101">
        <f t="shared" si="95"/>
        <v>-5.5201177586051164</v>
      </c>
      <c r="BA101">
        <f t="shared" si="96"/>
        <v>-1.9445923195642942</v>
      </c>
      <c r="BB101">
        <f t="shared" si="97"/>
        <v>-1.4401052976373591E-3</v>
      </c>
      <c r="BC101">
        <f t="shared" si="98"/>
        <v>0.33880501829008175</v>
      </c>
      <c r="BD101" s="123">
        <f t="shared" si="121"/>
        <v>-3.1192129833540263</v>
      </c>
      <c r="BE101" s="123">
        <f t="shared" si="122"/>
        <v>-53.909388901905189</v>
      </c>
      <c r="BF101">
        <f t="shared" si="123"/>
        <v>-15.000474031884348</v>
      </c>
      <c r="BG101">
        <f t="shared" si="124"/>
        <v>-114.4561054474557</v>
      </c>
      <c r="BH101" s="123">
        <f t="shared" si="125"/>
        <v>-18.119687015238373</v>
      </c>
      <c r="BI101" s="123">
        <f t="shared" si="126"/>
        <v>-168.36549434936089</v>
      </c>
      <c r="BL101" s="123">
        <f t="shared" si="127"/>
        <v>0</v>
      </c>
      <c r="BM101" s="123">
        <f t="shared" si="128"/>
        <v>0</v>
      </c>
      <c r="BN101" s="123">
        <f t="shared" si="129"/>
        <v>0</v>
      </c>
      <c r="BO101" s="123">
        <f t="shared" si="130"/>
        <v>0</v>
      </c>
      <c r="BP101" s="123">
        <f t="shared" si="131"/>
        <v>0</v>
      </c>
      <c r="BQ101" s="123">
        <f t="shared" si="132"/>
        <v>0</v>
      </c>
      <c r="BR101" s="123">
        <f t="shared" si="133"/>
        <v>0</v>
      </c>
      <c r="BS101" s="123"/>
      <c r="BT101" s="123">
        <f t="shared" si="134"/>
        <v>0</v>
      </c>
      <c r="BU101" s="123">
        <f t="shared" si="135"/>
        <v>0</v>
      </c>
      <c r="BV101" s="123">
        <f t="shared" si="136"/>
        <v>0</v>
      </c>
      <c r="BX101" s="123">
        <f t="shared" si="137"/>
        <v>0</v>
      </c>
      <c r="BY101" s="123"/>
    </row>
    <row r="102" spans="5:77" x14ac:dyDescent="0.25">
      <c r="E102">
        <v>91</v>
      </c>
      <c r="F102">
        <v>100000</v>
      </c>
      <c r="G102" s="58">
        <f t="shared" si="79"/>
        <v>-3.3580968001160088</v>
      </c>
      <c r="H102" s="58">
        <f t="shared" si="80"/>
        <v>-56.197152321398661</v>
      </c>
      <c r="I102">
        <f t="shared" si="81"/>
        <v>11.942874905793811</v>
      </c>
      <c r="J102">
        <f t="shared" si="82"/>
        <v>-1.0744290153520057</v>
      </c>
      <c r="K102" t="str">
        <f t="shared" si="83"/>
        <v>30685.7402109979-14460.3113941424i</v>
      </c>
      <c r="L102" t="str">
        <f t="shared" si="84"/>
        <v>100000000-1591549.76203148i</v>
      </c>
      <c r="M102" t="str">
        <f t="shared" si="85"/>
        <v>149775.393717671-3.56936670186575i</v>
      </c>
      <c r="N102">
        <f t="shared" si="99"/>
        <v>-14.545804563457754</v>
      </c>
      <c r="O102">
        <f t="shared" si="86"/>
        <v>-20.649200990659633</v>
      </c>
      <c r="P102" t="str">
        <f t="shared" si="87"/>
        <v>-354.228747391827i</v>
      </c>
      <c r="Q102" t="str">
        <f t="shared" si="88"/>
        <v>7350-206.694774289803i</v>
      </c>
      <c r="R102" t="str">
        <f t="shared" si="100"/>
        <v>16.9729842569431-352.933434996881i</v>
      </c>
      <c r="S102" t="str">
        <f t="shared" si="89"/>
        <v>6332.1756226836-795724.491152713i</v>
      </c>
      <c r="T102" t="str">
        <f t="shared" si="101"/>
        <v>16.9591805538532-352.777217064723i</v>
      </c>
      <c r="U102" t="str">
        <f t="shared" si="102"/>
        <v>0.8-0.4i</v>
      </c>
      <c r="V102">
        <f t="shared" si="90"/>
        <v>-10.009064364671678</v>
      </c>
      <c r="W102">
        <f t="shared" si="91"/>
        <v>-113.81279404113876</v>
      </c>
      <c r="X102">
        <f t="shared" si="103"/>
        <v>-0.96910013008056328</v>
      </c>
      <c r="Y102">
        <f t="shared" si="92"/>
        <v>-26.565056703781107</v>
      </c>
      <c r="AA102" s="123">
        <f t="shared" si="104"/>
        <v>8.5847781056778025</v>
      </c>
      <c r="AB102" s="123">
        <f t="shared" si="105"/>
        <v>-57.271581336750664</v>
      </c>
      <c r="AC102">
        <f t="shared" si="106"/>
        <v>-24.55486892812943</v>
      </c>
      <c r="AD102">
        <f t="shared" si="107"/>
        <v>-134.46199503179838</v>
      </c>
      <c r="AE102" s="123">
        <f t="shared" si="108"/>
        <v>-15.970090822451628</v>
      </c>
      <c r="AF102" s="123">
        <f t="shared" si="109"/>
        <v>-191.73357636854905</v>
      </c>
      <c r="AI102" s="123">
        <f t="shared" si="110"/>
        <v>0</v>
      </c>
      <c r="AJ102" s="123">
        <f t="shared" si="111"/>
        <v>0</v>
      </c>
      <c r="AK102" s="123">
        <f t="shared" si="112"/>
        <v>0</v>
      </c>
      <c r="AL102" s="123">
        <f t="shared" si="113"/>
        <v>0</v>
      </c>
      <c r="AM102" s="123">
        <f t="shared" si="114"/>
        <v>0</v>
      </c>
      <c r="AN102" s="123">
        <f t="shared" si="115"/>
        <v>0</v>
      </c>
      <c r="AO102" s="123">
        <f t="shared" si="116"/>
        <v>0</v>
      </c>
      <c r="AP102" s="123"/>
      <c r="AQ102" s="123">
        <f t="shared" si="117"/>
        <v>0</v>
      </c>
      <c r="AR102" s="123">
        <f t="shared" si="118"/>
        <v>0</v>
      </c>
      <c r="AS102" s="123">
        <f t="shared" si="119"/>
        <v>0</v>
      </c>
      <c r="AW102" t="str">
        <f t="shared" si="93"/>
        <v>8000</v>
      </c>
      <c r="AX102" t="str">
        <f t="shared" si="94"/>
        <v>3952-190.604761919938i</v>
      </c>
      <c r="AY102" t="str">
        <f t="shared" si="120"/>
        <v>2646.60914986821-85.3733089402393i</v>
      </c>
      <c r="AZ102">
        <f t="shared" si="95"/>
        <v>-5.521087175608967</v>
      </c>
      <c r="BA102">
        <f t="shared" si="96"/>
        <v>-1.8475851364812765</v>
      </c>
      <c r="BB102">
        <f t="shared" si="97"/>
        <v>-1.2997956885546671E-3</v>
      </c>
      <c r="BC102">
        <f t="shared" si="98"/>
        <v>0.32188951190901971</v>
      </c>
      <c r="BD102" s="123">
        <f t="shared" si="121"/>
        <v>-3.3593965958045633</v>
      </c>
      <c r="BE102" s="123">
        <f t="shared" si="122"/>
        <v>-55.875262809489641</v>
      </c>
      <c r="BF102">
        <f t="shared" si="123"/>
        <v>-15.530151540280645</v>
      </c>
      <c r="BG102">
        <f t="shared" si="124"/>
        <v>-115.66037917762003</v>
      </c>
      <c r="BH102" s="123">
        <f t="shared" si="125"/>
        <v>-18.88954813608521</v>
      </c>
      <c r="BI102" s="123">
        <f t="shared" si="126"/>
        <v>-171.53564198710967</v>
      </c>
      <c r="BL102" s="123">
        <f t="shared" si="127"/>
        <v>0</v>
      </c>
      <c r="BM102" s="123">
        <f t="shared" si="128"/>
        <v>0</v>
      </c>
      <c r="BN102" s="123">
        <f t="shared" si="129"/>
        <v>115901.41880769352</v>
      </c>
      <c r="BO102" s="123">
        <f t="shared" si="130"/>
        <v>-21.06086426257885</v>
      </c>
      <c r="BP102" s="123">
        <f t="shared" si="131"/>
        <v>0</v>
      </c>
      <c r="BQ102" s="123">
        <f t="shared" si="132"/>
        <v>0</v>
      </c>
      <c r="BR102" s="123">
        <f t="shared" si="133"/>
        <v>0</v>
      </c>
      <c r="BS102" s="123"/>
      <c r="BT102" s="123">
        <f t="shared" si="134"/>
        <v>0</v>
      </c>
      <c r="BU102" s="123">
        <f t="shared" si="135"/>
        <v>0</v>
      </c>
      <c r="BV102" s="123">
        <f t="shared" si="136"/>
        <v>0</v>
      </c>
      <c r="BX102" s="123">
        <f t="shared" si="137"/>
        <v>0</v>
      </c>
      <c r="BY102" s="123"/>
    </row>
    <row r="103" spans="5:77" x14ac:dyDescent="0.25">
      <c r="E103">
        <v>92</v>
      </c>
      <c r="F103">
        <v>150000</v>
      </c>
      <c r="G103" s="58">
        <f t="shared" si="79"/>
        <v>-5.702412179117383</v>
      </c>
      <c r="H103" s="58">
        <f t="shared" si="80"/>
        <v>-72.100835118219749</v>
      </c>
      <c r="I103">
        <f t="shared" si="81"/>
        <v>11.939363165137344</v>
      </c>
      <c r="J103">
        <f t="shared" si="82"/>
        <v>-0.71689743737732159</v>
      </c>
      <c r="K103" t="str">
        <f t="shared" si="83"/>
        <v>25005.8594578874-17675.5968058552i</v>
      </c>
      <c r="L103" t="str">
        <f t="shared" si="84"/>
        <v>100000000-1061033.17468765i</v>
      </c>
      <c r="M103" t="str">
        <f t="shared" si="85"/>
        <v>149775.362208339-2.37991162497273i</v>
      </c>
      <c r="N103">
        <f t="shared" si="99"/>
        <v>-15.173367481895433</v>
      </c>
      <c r="O103">
        <f t="shared" si="86"/>
        <v>-29.47944732465276</v>
      </c>
      <c r="P103" t="str">
        <f t="shared" si="87"/>
        <v>-236.152498261218i</v>
      </c>
      <c r="Q103" t="str">
        <f t="shared" si="88"/>
        <v>7350-137.796516193202i</v>
      </c>
      <c r="R103" t="str">
        <f t="shared" si="100"/>
        <v>7.56789374409776-235.767463375898i</v>
      </c>
      <c r="S103" t="str">
        <f t="shared" si="89"/>
        <v>2814.39928380681-530501.656488792i</v>
      </c>
      <c r="T103" t="str">
        <f t="shared" si="101"/>
        <v>7.56172650975362-235.662804414616i</v>
      </c>
      <c r="U103" t="str">
        <f t="shared" si="102"/>
        <v>0.64-0.48i</v>
      </c>
      <c r="V103">
        <f t="shared" si="90"/>
        <v>-14.48791032324136</v>
      </c>
      <c r="W103">
        <f t="shared" si="91"/>
        <v>-125.03210110663514</v>
      </c>
      <c r="X103">
        <f t="shared" si="103"/>
        <v>-1.9382002601611279</v>
      </c>
      <c r="Y103">
        <f t="shared" si="92"/>
        <v>-36.869905316410019</v>
      </c>
      <c r="AA103" s="123">
        <f t="shared" si="104"/>
        <v>6.236950986019961</v>
      </c>
      <c r="AB103" s="123">
        <f t="shared" si="105"/>
        <v>-72.817732555597075</v>
      </c>
      <c r="AC103">
        <f t="shared" si="106"/>
        <v>-29.661277805136791</v>
      </c>
      <c r="AD103">
        <f t="shared" si="107"/>
        <v>-154.51154843128791</v>
      </c>
      <c r="AE103" s="123">
        <f t="shared" si="108"/>
        <v>-23.424326819116828</v>
      </c>
      <c r="AF103" s="123">
        <f t="shared" si="109"/>
        <v>-227.32928098688498</v>
      </c>
      <c r="AI103" s="123">
        <f t="shared" si="110"/>
        <v>0</v>
      </c>
      <c r="AJ103" s="123">
        <f t="shared" si="111"/>
        <v>0</v>
      </c>
      <c r="AK103" s="123">
        <f t="shared" si="112"/>
        <v>0</v>
      </c>
      <c r="AL103" s="123">
        <f t="shared" si="113"/>
        <v>0</v>
      </c>
      <c r="AM103" s="123">
        <f t="shared" si="114"/>
        <v>0</v>
      </c>
      <c r="AN103" s="123">
        <f t="shared" si="115"/>
        <v>0</v>
      </c>
      <c r="AO103" s="123">
        <f t="shared" si="116"/>
        <v>0</v>
      </c>
      <c r="AP103" s="123"/>
      <c r="AQ103" s="123">
        <f t="shared" si="117"/>
        <v>0</v>
      </c>
      <c r="AR103" s="123">
        <f t="shared" si="118"/>
        <v>0</v>
      </c>
      <c r="AS103" s="123">
        <f t="shared" si="119"/>
        <v>0</v>
      </c>
      <c r="AW103" t="str">
        <f t="shared" si="93"/>
        <v>8000</v>
      </c>
      <c r="AX103" t="str">
        <f t="shared" si="94"/>
        <v>3952-127.069841279958i</v>
      </c>
      <c r="AY103" t="str">
        <f t="shared" si="120"/>
        <v>2645.85285059228-56.9235800254999i</v>
      </c>
      <c r="AZ103">
        <f t="shared" si="95"/>
        <v>-5.5260766169660869</v>
      </c>
      <c r="BA103">
        <f t="shared" si="96"/>
        <v>-1.2324867199998208</v>
      </c>
      <c r="BB103">
        <f t="shared" si="97"/>
        <v>-5.7791713969551671E-4</v>
      </c>
      <c r="BC103">
        <f t="shared" si="98"/>
        <v>0.21467788029183096</v>
      </c>
      <c r="BD103" s="123">
        <f t="shared" si="121"/>
        <v>-5.7029900962570785</v>
      </c>
      <c r="BE103" s="123">
        <f t="shared" si="122"/>
        <v>-71.886157237927918</v>
      </c>
      <c r="BF103">
        <f t="shared" si="123"/>
        <v>-20.013986940207445</v>
      </c>
      <c r="BG103">
        <f t="shared" si="124"/>
        <v>-126.26458782663497</v>
      </c>
      <c r="BH103" s="123">
        <f t="shared" si="125"/>
        <v>-25.716977036464524</v>
      </c>
      <c r="BI103" s="123">
        <f t="shared" si="126"/>
        <v>-198.1507450645629</v>
      </c>
      <c r="BL103" s="123">
        <f t="shared" si="127"/>
        <v>0</v>
      </c>
      <c r="BM103" s="123">
        <f t="shared" si="128"/>
        <v>0</v>
      </c>
      <c r="BN103" s="123">
        <f t="shared" si="129"/>
        <v>0</v>
      </c>
      <c r="BO103" s="123">
        <f t="shared" si="130"/>
        <v>0</v>
      </c>
      <c r="BP103" s="123">
        <f t="shared" si="131"/>
        <v>0</v>
      </c>
      <c r="BQ103" s="123">
        <f t="shared" si="132"/>
        <v>0</v>
      </c>
      <c r="BR103" s="123">
        <f t="shared" si="133"/>
        <v>0</v>
      </c>
      <c r="BS103" s="123"/>
      <c r="BT103" s="123">
        <f t="shared" si="134"/>
        <v>0</v>
      </c>
      <c r="BU103" s="123">
        <f t="shared" si="135"/>
        <v>0</v>
      </c>
      <c r="BV103" s="123">
        <f t="shared" si="136"/>
        <v>0</v>
      </c>
      <c r="BX103" s="123">
        <f t="shared" si="137"/>
        <v>0</v>
      </c>
      <c r="BY103" s="123"/>
    </row>
    <row r="104" spans="5:77" x14ac:dyDescent="0.25">
      <c r="E104">
        <v>93</v>
      </c>
      <c r="F104">
        <v>200000</v>
      </c>
      <c r="G104" s="58">
        <f t="shared" si="79"/>
        <v>-7.8250743806743914</v>
      </c>
      <c r="H104" s="58">
        <f t="shared" si="80"/>
        <v>-83.57014359114838</v>
      </c>
      <c r="I104">
        <f t="shared" si="81"/>
        <v>11.938132584984558</v>
      </c>
      <c r="J104">
        <f t="shared" si="82"/>
        <v>-0.53783377658970211</v>
      </c>
      <c r="K104" t="str">
        <f t="shared" si="83"/>
        <v>19859.5108913203-18717.1441620254i</v>
      </c>
      <c r="L104" t="str">
        <f t="shared" si="84"/>
        <v>100000000-795774.88101574i</v>
      </c>
      <c r="M104" t="str">
        <f t="shared" si="85"/>
        <v>149775.351177985-1.78502136404952i</v>
      </c>
      <c r="N104">
        <f t="shared" si="99"/>
        <v>-15.922867659137474</v>
      </c>
      <c r="O104">
        <f t="shared" si="86"/>
        <v>-37.006790261471934</v>
      </c>
      <c r="P104" t="str">
        <f t="shared" si="87"/>
        <v>-177.114373695914i</v>
      </c>
      <c r="Q104" t="str">
        <f t="shared" si="88"/>
        <v>7350-103.347387144901i</v>
      </c>
      <c r="R104" t="str">
        <f t="shared" si="100"/>
        <v>4.26175409518722-176.951753415941i</v>
      </c>
      <c r="S104" t="str">
        <f t="shared" si="89"/>
        <v>1583.11909008173-397881.141475842i</v>
      </c>
      <c r="T104" t="str">
        <f t="shared" si="101"/>
        <v>4.25827863743634-176.873123492579i</v>
      </c>
      <c r="U104" t="str">
        <f t="shared" si="102"/>
        <v>0.5-0.5i</v>
      </c>
      <c r="V104">
        <f t="shared" si="90"/>
        <v>-18.054546515561469</v>
      </c>
      <c r="W104">
        <f t="shared" si="91"/>
        <v>-133.62087947771346</v>
      </c>
      <c r="X104">
        <f t="shared" si="103"/>
        <v>-3.0102999566398116</v>
      </c>
      <c r="Y104">
        <f t="shared" si="92"/>
        <v>-45.000009361986116</v>
      </c>
      <c r="AA104" s="123">
        <f t="shared" si="104"/>
        <v>4.1130582043101667</v>
      </c>
      <c r="AB104" s="123">
        <f t="shared" si="105"/>
        <v>-84.107977367738087</v>
      </c>
      <c r="AC104">
        <f t="shared" si="106"/>
        <v>-33.977414174698943</v>
      </c>
      <c r="AD104">
        <f t="shared" si="107"/>
        <v>-170.62766973918539</v>
      </c>
      <c r="AE104" s="123">
        <f t="shared" si="108"/>
        <v>-29.864355970388775</v>
      </c>
      <c r="AF104" s="123">
        <f t="shared" si="109"/>
        <v>-254.73564710692347</v>
      </c>
      <c r="AI104" s="123">
        <f t="shared" si="110"/>
        <v>0</v>
      </c>
      <c r="AJ104" s="123">
        <f t="shared" si="111"/>
        <v>0</v>
      </c>
      <c r="AK104" s="123">
        <f t="shared" si="112"/>
        <v>0</v>
      </c>
      <c r="AL104" s="123">
        <f t="shared" si="113"/>
        <v>0</v>
      </c>
      <c r="AM104" s="123">
        <f t="shared" si="114"/>
        <v>0</v>
      </c>
      <c r="AN104" s="123">
        <f t="shared" si="115"/>
        <v>0</v>
      </c>
      <c r="AO104" s="123">
        <f t="shared" si="116"/>
        <v>0</v>
      </c>
      <c r="AP104" s="123"/>
      <c r="AQ104" s="123">
        <f t="shared" si="117"/>
        <v>0</v>
      </c>
      <c r="AR104" s="123">
        <f t="shared" si="118"/>
        <v>0</v>
      </c>
      <c r="AS104" s="123">
        <f t="shared" si="119"/>
        <v>0</v>
      </c>
      <c r="AW104" t="str">
        <f t="shared" si="93"/>
        <v>8000</v>
      </c>
      <c r="AX104" t="str">
        <f t="shared" si="94"/>
        <v>3952-95.3023809599688i</v>
      </c>
      <c r="AY104" t="str">
        <f t="shared" si="120"/>
        <v>2645.58809535845-42.6947961138504i</v>
      </c>
      <c r="AZ104">
        <f t="shared" si="95"/>
        <v>-5.5278246099488797</v>
      </c>
      <c r="BA104">
        <f t="shared" si="96"/>
        <v>-0.92456562169520518</v>
      </c>
      <c r="BB104">
        <f t="shared" si="97"/>
        <v>-3.2512372990914752E-4</v>
      </c>
      <c r="BC104">
        <f t="shared" si="98"/>
        <v>0.16103070128390018</v>
      </c>
      <c r="BD104" s="123">
        <f t="shared" si="121"/>
        <v>-7.8253995044043005</v>
      </c>
      <c r="BE104" s="123">
        <f t="shared" si="122"/>
        <v>-83.409112889864474</v>
      </c>
      <c r="BF104">
        <f t="shared" si="123"/>
        <v>-23.582371125510349</v>
      </c>
      <c r="BG104">
        <f t="shared" si="124"/>
        <v>-134.54544509940865</v>
      </c>
      <c r="BH104" s="123">
        <f t="shared" si="125"/>
        <v>-31.407770629914651</v>
      </c>
      <c r="BI104" s="123">
        <f t="shared" si="126"/>
        <v>-217.95455798927313</v>
      </c>
      <c r="BL104" s="123">
        <f t="shared" si="127"/>
        <v>0</v>
      </c>
      <c r="BM104" s="123">
        <f t="shared" si="128"/>
        <v>0</v>
      </c>
      <c r="BN104" s="123">
        <f t="shared" si="129"/>
        <v>0</v>
      </c>
      <c r="BO104" s="123">
        <f t="shared" si="130"/>
        <v>0</v>
      </c>
      <c r="BP104" s="123">
        <f t="shared" si="131"/>
        <v>0</v>
      </c>
      <c r="BQ104" s="123">
        <f t="shared" si="132"/>
        <v>0</v>
      </c>
      <c r="BR104" s="123">
        <f t="shared" si="133"/>
        <v>0</v>
      </c>
      <c r="BS104" s="123"/>
      <c r="BT104" s="123">
        <f t="shared" si="134"/>
        <v>0</v>
      </c>
      <c r="BU104" s="123">
        <f t="shared" si="135"/>
        <v>0</v>
      </c>
      <c r="BV104" s="123">
        <f t="shared" si="136"/>
        <v>0</v>
      </c>
      <c r="BX104" s="123">
        <f t="shared" si="137"/>
        <v>0</v>
      </c>
      <c r="BY104" s="123"/>
    </row>
    <row r="105" spans="5:77" x14ac:dyDescent="0.25">
      <c r="E105">
        <v>94</v>
      </c>
      <c r="F105">
        <v>250000</v>
      </c>
      <c r="G105" s="58">
        <f t="shared" si="79"/>
        <v>-9.7165173953115431</v>
      </c>
      <c r="H105" s="58">
        <f t="shared" si="80"/>
        <v>-92.466786695621082</v>
      </c>
      <c r="I105">
        <f t="shared" si="81"/>
        <v>11.937562743590755</v>
      </c>
      <c r="J105">
        <f t="shared" si="82"/>
        <v>-0.43032655362969702</v>
      </c>
      <c r="K105" t="str">
        <f t="shared" si="83"/>
        <v>15704.0927377822-18500.9445421029i</v>
      </c>
      <c r="L105" t="str">
        <f t="shared" si="84"/>
        <v>100000000-636619.904812592i</v>
      </c>
      <c r="M105" t="str">
        <f t="shared" si="85"/>
        <v>149775.346072139-1.42804954738249i</v>
      </c>
      <c r="N105">
        <f t="shared" si="99"/>
        <v>-16.728396924143624</v>
      </c>
      <c r="O105">
        <f t="shared" si="86"/>
        <v>-43.294744423060145</v>
      </c>
      <c r="P105" t="str">
        <f t="shared" si="87"/>
        <v>-141.691498956731i</v>
      </c>
      <c r="Q105" t="str">
        <f t="shared" si="88"/>
        <v>7350-82.677909715921i</v>
      </c>
      <c r="R105" t="str">
        <f t="shared" si="100"/>
        <v>2.72895098520133-141.608193770493i</v>
      </c>
      <c r="S105" t="str">
        <f t="shared" si="89"/>
        <v>1013.2019921222-318306.727283517i</v>
      </c>
      <c r="T105" t="str">
        <f t="shared" si="101"/>
        <v>2.72672479548715-141.54523946114i</v>
      </c>
      <c r="U105" t="str">
        <f t="shared" si="102"/>
        <v>0.390243902439024-0.487804878048781i</v>
      </c>
      <c r="V105">
        <f t="shared" si="90"/>
        <v>-21.067122019000667</v>
      </c>
      <c r="W105">
        <f t="shared" si="91"/>
        <v>-140.23661261987419</v>
      </c>
      <c r="X105">
        <f t="shared" si="103"/>
        <v>-4.0866387406381053</v>
      </c>
      <c r="Y105">
        <f t="shared" si="92"/>
        <v>-51.340202426935797</v>
      </c>
      <c r="AA105" s="123">
        <f t="shared" si="104"/>
        <v>2.2210453482792119</v>
      </c>
      <c r="AB105" s="123">
        <f t="shared" si="105"/>
        <v>-92.897113249250779</v>
      </c>
      <c r="AC105">
        <f t="shared" si="106"/>
        <v>-37.795518943144288</v>
      </c>
      <c r="AD105">
        <f t="shared" si="107"/>
        <v>-183.53135704293433</v>
      </c>
      <c r="AE105" s="123">
        <f t="shared" si="108"/>
        <v>-35.574473594865076</v>
      </c>
      <c r="AF105" s="123">
        <f t="shared" si="109"/>
        <v>-276.42847029218512</v>
      </c>
      <c r="AI105" s="123">
        <f t="shared" si="110"/>
        <v>0</v>
      </c>
      <c r="AJ105" s="123">
        <f t="shared" si="111"/>
        <v>0</v>
      </c>
      <c r="AK105" s="123">
        <f t="shared" si="112"/>
        <v>0</v>
      </c>
      <c r="AL105" s="123">
        <f t="shared" si="113"/>
        <v>0</v>
      </c>
      <c r="AM105" s="123">
        <f t="shared" si="114"/>
        <v>0</v>
      </c>
      <c r="AN105" s="123">
        <f t="shared" si="115"/>
        <v>0</v>
      </c>
      <c r="AO105" s="123">
        <f t="shared" si="116"/>
        <v>0</v>
      </c>
      <c r="AP105" s="123"/>
      <c r="AQ105" s="123">
        <f t="shared" si="117"/>
        <v>0</v>
      </c>
      <c r="AR105" s="123">
        <f t="shared" si="118"/>
        <v>0</v>
      </c>
      <c r="AS105" s="123">
        <f t="shared" si="119"/>
        <v>0</v>
      </c>
      <c r="AW105" t="str">
        <f t="shared" si="93"/>
        <v>8000</v>
      </c>
      <c r="AX105" t="str">
        <f t="shared" si="94"/>
        <v>3952-76.2419047679751i</v>
      </c>
      <c r="AY105" t="str">
        <f t="shared" si="120"/>
        <v>2645.4655426428-34.1566186558458i</v>
      </c>
      <c r="AZ105">
        <f t="shared" si="95"/>
        <v>-5.5286339777821265</v>
      </c>
      <c r="BA105">
        <f t="shared" si="96"/>
        <v>-0.73972680035027261</v>
      </c>
      <c r="BB105">
        <f t="shared" si="97"/>
        <v>-2.0809262059198595E-4</v>
      </c>
      <c r="BC105">
        <f t="shared" si="98"/>
        <v>0.12883281678649439</v>
      </c>
      <c r="BD105" s="123">
        <f t="shared" si="121"/>
        <v>-9.7167254879321359</v>
      </c>
      <c r="BE105" s="123">
        <f t="shared" si="122"/>
        <v>-92.337953878834583</v>
      </c>
      <c r="BF105">
        <f t="shared" si="123"/>
        <v>-26.595755996782792</v>
      </c>
      <c r="BG105">
        <f t="shared" si="124"/>
        <v>-140.97633942022446</v>
      </c>
      <c r="BH105" s="123">
        <f t="shared" si="125"/>
        <v>-36.31248148471493</v>
      </c>
      <c r="BI105" s="123">
        <f t="shared" si="126"/>
        <v>-233.31429329905905</v>
      </c>
      <c r="BL105" s="123">
        <f t="shared" si="127"/>
        <v>0</v>
      </c>
      <c r="BM105" s="123">
        <f t="shared" si="128"/>
        <v>0</v>
      </c>
      <c r="BN105" s="123">
        <f t="shared" si="129"/>
        <v>0</v>
      </c>
      <c r="BO105" s="123">
        <f t="shared" si="130"/>
        <v>0</v>
      </c>
      <c r="BP105" s="123">
        <f t="shared" si="131"/>
        <v>0</v>
      </c>
      <c r="BQ105" s="123">
        <f t="shared" si="132"/>
        <v>0</v>
      </c>
      <c r="BR105" s="123">
        <f t="shared" si="133"/>
        <v>0</v>
      </c>
      <c r="BS105" s="123"/>
      <c r="BT105" s="123">
        <f t="shared" si="134"/>
        <v>0</v>
      </c>
      <c r="BU105" s="123">
        <f t="shared" si="135"/>
        <v>0</v>
      </c>
      <c r="BV105" s="123">
        <f t="shared" si="136"/>
        <v>0</v>
      </c>
      <c r="BX105" s="123">
        <f t="shared" si="137"/>
        <v>0</v>
      </c>
      <c r="BY105" s="123"/>
    </row>
    <row r="106" spans="5:77" x14ac:dyDescent="0.25">
      <c r="E106">
        <v>95</v>
      </c>
      <c r="F106">
        <v>300000</v>
      </c>
      <c r="G106" s="58">
        <f t="shared" si="79"/>
        <v>-11.418133417242952</v>
      </c>
      <c r="H106" s="58">
        <f t="shared" si="80"/>
        <v>-99.737352725262653</v>
      </c>
      <c r="I106">
        <f t="shared" si="81"/>
        <v>11.937253131492927</v>
      </c>
      <c r="J106">
        <f t="shared" si="82"/>
        <v>-0.35863241634977555</v>
      </c>
      <c r="K106" t="str">
        <f t="shared" si="83"/>
        <v>12505.8608315392-17679.7405536646i</v>
      </c>
      <c r="L106" t="str">
        <f t="shared" si="84"/>
        <v>100000000-530516.587343827i</v>
      </c>
      <c r="M106" t="str">
        <f t="shared" si="85"/>
        <v>149775.343298497-1.19005598208211i</v>
      </c>
      <c r="N106">
        <f t="shared" si="99"/>
        <v>-17.545165747061741</v>
      </c>
      <c r="O106">
        <f t="shared" si="86"/>
        <v>-48.508135409921074</v>
      </c>
      <c r="P106" t="str">
        <f t="shared" si="87"/>
        <v>-118.076249130609i</v>
      </c>
      <c r="Q106" t="str">
        <f t="shared" si="88"/>
        <v>7350-68.8982580966008i</v>
      </c>
      <c r="R106" t="str">
        <f t="shared" si="100"/>
        <v>1.89564410695479-118.028026392816i</v>
      </c>
      <c r="S106" t="str">
        <f t="shared" si="89"/>
        <v>703.614672846435-265256.427275638i</v>
      </c>
      <c r="T106" t="str">
        <f t="shared" si="101"/>
        <v>1.89409742556769-117.975541639785i</v>
      </c>
      <c r="U106" t="str">
        <f t="shared" si="102"/>
        <v>0.307692307692308-0.461538461538462i</v>
      </c>
      <c r="V106">
        <f t="shared" si="90"/>
        <v>-23.681874704976174</v>
      </c>
      <c r="W106">
        <f t="shared" si="91"/>
        <v>-145.3901579558601</v>
      </c>
      <c r="X106">
        <f t="shared" si="103"/>
        <v>-5.1188336097887346</v>
      </c>
      <c r="Y106">
        <f t="shared" si="92"/>
        <v>-56.309944188971457</v>
      </c>
      <c r="AA106" s="123">
        <f t="shared" si="104"/>
        <v>0.51911971424997461</v>
      </c>
      <c r="AB106" s="123">
        <f t="shared" si="105"/>
        <v>-100.09598514161243</v>
      </c>
      <c r="AC106">
        <f t="shared" si="106"/>
        <v>-41.227040452037912</v>
      </c>
      <c r="AD106">
        <f t="shared" si="107"/>
        <v>-193.89829336578117</v>
      </c>
      <c r="AE106" s="123">
        <f t="shared" si="108"/>
        <v>-40.707920737787937</v>
      </c>
      <c r="AF106" s="123">
        <f t="shared" si="109"/>
        <v>-293.99427850739357</v>
      </c>
      <c r="AI106" s="123">
        <f t="shared" si="110"/>
        <v>0</v>
      </c>
      <c r="AJ106" s="123">
        <f t="shared" si="111"/>
        <v>0</v>
      </c>
      <c r="AK106" s="123">
        <f t="shared" si="112"/>
        <v>0</v>
      </c>
      <c r="AL106" s="123">
        <f t="shared" si="113"/>
        <v>0</v>
      </c>
      <c r="AM106" s="123">
        <f t="shared" si="114"/>
        <v>0</v>
      </c>
      <c r="AN106" s="123">
        <f t="shared" si="115"/>
        <v>0</v>
      </c>
      <c r="AO106" s="123">
        <f t="shared" si="116"/>
        <v>0</v>
      </c>
      <c r="AP106" s="123"/>
      <c r="AQ106" s="123">
        <f t="shared" si="117"/>
        <v>0</v>
      </c>
      <c r="AR106" s="123">
        <f t="shared" si="118"/>
        <v>0</v>
      </c>
      <c r="AS106" s="123">
        <f t="shared" si="119"/>
        <v>0</v>
      </c>
      <c r="AW106" t="str">
        <f t="shared" si="93"/>
        <v>8000</v>
      </c>
      <c r="AX106" t="str">
        <f t="shared" si="94"/>
        <v>3952-63.5349206399792i</v>
      </c>
      <c r="AY106" t="str">
        <f t="shared" si="120"/>
        <v>2645.39896844583-28.4642027776561i</v>
      </c>
      <c r="AZ106">
        <f t="shared" si="95"/>
        <v>-5.5290737131458325</v>
      </c>
      <c r="BA106">
        <f t="shared" si="96"/>
        <v>-0.61647264212801189</v>
      </c>
      <c r="BB106">
        <f t="shared" si="97"/>
        <v>-1.4451383227897662E-4</v>
      </c>
      <c r="BC106">
        <f t="shared" si="98"/>
        <v>0.10736441820549714</v>
      </c>
      <c r="BD106" s="123">
        <f t="shared" si="121"/>
        <v>-11.418277931075231</v>
      </c>
      <c r="BE106" s="123">
        <f t="shared" si="122"/>
        <v>-99.629988307057161</v>
      </c>
      <c r="BF106">
        <f t="shared" si="123"/>
        <v>-29.210948418122008</v>
      </c>
      <c r="BG106">
        <f t="shared" si="124"/>
        <v>-146.00663059798811</v>
      </c>
      <c r="BH106" s="123">
        <f t="shared" si="125"/>
        <v>-40.629226349197239</v>
      </c>
      <c r="BI106" s="123">
        <f t="shared" si="126"/>
        <v>-245.63661890504528</v>
      </c>
      <c r="BL106" s="123">
        <f t="shared" si="127"/>
        <v>0</v>
      </c>
      <c r="BM106" s="123">
        <f t="shared" si="128"/>
        <v>0</v>
      </c>
      <c r="BN106" s="123">
        <f t="shared" si="129"/>
        <v>0</v>
      </c>
      <c r="BO106" s="123">
        <f t="shared" si="130"/>
        <v>0</v>
      </c>
      <c r="BP106" s="123">
        <f t="shared" si="131"/>
        <v>0</v>
      </c>
      <c r="BQ106" s="123">
        <f t="shared" si="132"/>
        <v>0</v>
      </c>
      <c r="BR106" s="123">
        <f t="shared" si="133"/>
        <v>0</v>
      </c>
      <c r="BS106" s="123"/>
      <c r="BT106" s="123">
        <f t="shared" si="134"/>
        <v>0</v>
      </c>
      <c r="BU106" s="123">
        <f t="shared" si="135"/>
        <v>0</v>
      </c>
      <c r="BV106" s="123">
        <f t="shared" si="136"/>
        <v>0</v>
      </c>
      <c r="BX106" s="123">
        <f t="shared" si="137"/>
        <v>0</v>
      </c>
      <c r="BY106" s="123"/>
    </row>
    <row r="107" spans="5:77" x14ac:dyDescent="0.25">
      <c r="E107">
        <v>96</v>
      </c>
      <c r="F107">
        <v>350000</v>
      </c>
      <c r="G107" s="58">
        <f t="shared" si="79"/>
        <v>-12.969168978030911</v>
      </c>
      <c r="H107" s="58">
        <f t="shared" si="80"/>
        <v>-105.88400660511957</v>
      </c>
      <c r="I107">
        <f t="shared" si="81"/>
        <v>11.937066421808725</v>
      </c>
      <c r="J107">
        <f t="shared" si="82"/>
        <v>-0.30741314697036193</v>
      </c>
      <c r="K107" t="str">
        <f t="shared" si="83"/>
        <v>10079.8090217266-16624.9898766967i</v>
      </c>
      <c r="L107" t="str">
        <f t="shared" si="84"/>
        <v>100000000-454728.503437566i</v>
      </c>
      <c r="M107" t="str">
        <f t="shared" si="85"/>
        <v>149775.341626044-1.0200555783679i</v>
      </c>
      <c r="N107">
        <f t="shared" si="99"/>
        <v>-18.346424049675925</v>
      </c>
      <c r="O107">
        <f t="shared" si="86"/>
        <v>-52.833584997682607</v>
      </c>
      <c r="P107" t="str">
        <f t="shared" si="87"/>
        <v>-101.208213540522i</v>
      </c>
      <c r="Q107" t="str">
        <f t="shared" si="88"/>
        <v>7350-59.0556497970864i</v>
      </c>
      <c r="R107" t="str">
        <f t="shared" si="100"/>
        <v>1.39295711734891-101.177840657653i</v>
      </c>
      <c r="S107" t="str">
        <f t="shared" si="89"/>
        <v>516.942357288599-227363.076376661i</v>
      </c>
      <c r="T107" t="str">
        <f t="shared" si="101"/>
        <v>1.39182046248138-101.132841920097i</v>
      </c>
      <c r="U107" t="str">
        <f t="shared" si="102"/>
        <v>0.246153846153846-0.430769230769231i</v>
      </c>
      <c r="V107">
        <f t="shared" si="90"/>
        <v>-25.989267030916018</v>
      </c>
      <c r="W107">
        <f t="shared" si="91"/>
        <v>-149.46667789602662</v>
      </c>
      <c r="X107">
        <f t="shared" si="103"/>
        <v>-6.0879337398693059</v>
      </c>
      <c r="Y107">
        <f t="shared" si="92"/>
        <v>-60.255131238781914</v>
      </c>
      <c r="AA107" s="123">
        <f t="shared" si="104"/>
        <v>-1.0321025562221866</v>
      </c>
      <c r="AB107" s="123">
        <f t="shared" si="105"/>
        <v>-106.19141975208993</v>
      </c>
      <c r="AC107">
        <f t="shared" si="106"/>
        <v>-44.335691080591943</v>
      </c>
      <c r="AD107">
        <f t="shared" si="107"/>
        <v>-202.30026289370923</v>
      </c>
      <c r="AE107" s="123">
        <f t="shared" si="108"/>
        <v>-45.367793636814127</v>
      </c>
      <c r="AF107" s="123">
        <f t="shared" si="109"/>
        <v>-308.49168264579919</v>
      </c>
      <c r="AI107" s="123">
        <f t="shared" si="110"/>
        <v>0</v>
      </c>
      <c r="AJ107" s="123">
        <f t="shared" si="111"/>
        <v>0</v>
      </c>
      <c r="AK107" s="123">
        <f t="shared" si="112"/>
        <v>0</v>
      </c>
      <c r="AL107" s="123">
        <f t="shared" si="113"/>
        <v>0</v>
      </c>
      <c r="AM107" s="123">
        <f t="shared" si="114"/>
        <v>0</v>
      </c>
      <c r="AN107" s="123">
        <f t="shared" si="115"/>
        <v>0</v>
      </c>
      <c r="AO107" s="123">
        <f t="shared" si="116"/>
        <v>0</v>
      </c>
      <c r="AP107" s="123"/>
      <c r="AQ107" s="123">
        <f t="shared" si="117"/>
        <v>0</v>
      </c>
      <c r="AR107" s="123">
        <f t="shared" si="118"/>
        <v>0</v>
      </c>
      <c r="AS107" s="123">
        <f t="shared" si="119"/>
        <v>0</v>
      </c>
      <c r="AW107" t="str">
        <f t="shared" si="93"/>
        <v>8000</v>
      </c>
      <c r="AX107" t="str">
        <f t="shared" si="94"/>
        <v>3952-54.4585034056965i</v>
      </c>
      <c r="AY107" t="str">
        <f t="shared" si="120"/>
        <v>2645.35882550476-24.3980710038096i</v>
      </c>
      <c r="AZ107">
        <f t="shared" si="95"/>
        <v>-5.5293388865048732</v>
      </c>
      <c r="BA107">
        <f t="shared" si="96"/>
        <v>-0.52842251090269354</v>
      </c>
      <c r="BB107">
        <f t="shared" si="97"/>
        <v>-1.0617567304158018E-4</v>
      </c>
      <c r="BC107">
        <f t="shared" si="98"/>
        <v>9.2028575963945397E-2</v>
      </c>
      <c r="BD107" s="123">
        <f t="shared" si="121"/>
        <v>-12.969275153703952</v>
      </c>
      <c r="BE107" s="123">
        <f t="shared" si="122"/>
        <v>-105.79197802915562</v>
      </c>
      <c r="BF107">
        <f t="shared" si="123"/>
        <v>-31.518605917420892</v>
      </c>
      <c r="BG107">
        <f t="shared" si="124"/>
        <v>-149.99510040692931</v>
      </c>
      <c r="BH107" s="123">
        <f t="shared" si="125"/>
        <v>-44.487881071124846</v>
      </c>
      <c r="BI107" s="123">
        <f t="shared" si="126"/>
        <v>-255.78707843608493</v>
      </c>
      <c r="BL107" s="123">
        <f t="shared" si="127"/>
        <v>0</v>
      </c>
      <c r="BM107" s="123">
        <f t="shared" si="128"/>
        <v>0</v>
      </c>
      <c r="BN107" s="123">
        <f t="shared" si="129"/>
        <v>0</v>
      </c>
      <c r="BO107" s="123">
        <f t="shared" si="130"/>
        <v>0</v>
      </c>
      <c r="BP107" s="123">
        <f t="shared" si="131"/>
        <v>0</v>
      </c>
      <c r="BQ107" s="123">
        <f t="shared" si="132"/>
        <v>0</v>
      </c>
      <c r="BR107" s="123">
        <f t="shared" si="133"/>
        <v>0</v>
      </c>
      <c r="BS107" s="123"/>
      <c r="BT107" s="123">
        <f t="shared" si="134"/>
        <v>0</v>
      </c>
      <c r="BU107" s="123">
        <f t="shared" si="135"/>
        <v>0</v>
      </c>
      <c r="BV107" s="123">
        <f t="shared" si="136"/>
        <v>0</v>
      </c>
      <c r="BX107" s="123">
        <f t="shared" si="137"/>
        <v>0</v>
      </c>
      <c r="BY107" s="123"/>
    </row>
    <row r="108" spans="5:77" x14ac:dyDescent="0.25">
      <c r="E108">
        <v>97</v>
      </c>
      <c r="F108">
        <v>400000</v>
      </c>
      <c r="G108" s="58">
        <f t="shared" ref="G108:G138" si="138">20*LOG(IMABS(IMDIV(1,IMSUM(0,IMSUM(COMPLEX(0,2*PI*F108/Wsh),COMPLEX(1-(F108/fsw_sh)^2,0))))))</f>
        <v>-14.399235118588747</v>
      </c>
      <c r="H108" s="58">
        <f t="shared" ref="H108:H138" si="139">180/PI*IMARGUMENT(IMDIV(1,IMSUM(0,IMSUM(COMPLEX(0,2*PI*F108/Wsh),COMPLEX(1-(F108/fsw_sh)^2,0)))))</f>
        <v>-111.19502219601733</v>
      </c>
      <c r="I108">
        <f t="shared" ref="I108:I138" si="140">20*LOG(IMABS(IMPRODUCT(A_COMP2VOUT,IMDIV(COMPLEX(1, 2*PI*F108/Wesr_zero),COMPLEX(1, 2*PI*F108/Wload_pole)))))</f>
        <v>11.936945230638599</v>
      </c>
      <c r="J108">
        <f t="shared" ref="J108:J138" si="141">180/PI*(IMARGUMENT(IMPRODUCT(A_COMP2VOUT,IMDIV(COMPLEX(1, 2*PI*F108/Wesr_zero),COMPLEX(1, 2*PI*F108/Wload_pole)))))</f>
        <v>-0.26899441688146047</v>
      </c>
      <c r="K108" t="str">
        <f t="shared" ref="K108:K138" si="142">IMDIV(IMPRODUCT(COMPLEX(R.fbb,0),IMDIV(COMPLEX(1,0),COMPLEX(0,2*PI*F108*C.fbb))),IMSUM(COMPLEX(R.fbb,0),IMDIV(COMPLEX(1,0),COMPLEX(0,2*PI*F108*C.fbb))) )</f>
        <v>8236.22620211613-15524.917408055i</v>
      </c>
      <c r="L108" t="str">
        <f t="shared" ref="L108:L138" si="143">IMSUM(COMPLEX(R.ff,0),IMDIV(COMPLEX(1,0),COMPLEX(0,2*PI*F108*C.ff)))</f>
        <v>100000000-397887.44050787i</v>
      </c>
      <c r="M108" t="str">
        <f t="shared" ref="M108:M138" si="144">IMDIV(IMPRODUCT(COMPLEX(R.fbt,0),L108),IMSUM(COMPLEX(R.fbt,0),L108))</f>
        <v>149775.340540545-0.892552943667718i</v>
      </c>
      <c r="N108">
        <f t="shared" si="99"/>
        <v>-19.117910198355542</v>
      </c>
      <c r="O108">
        <f t="shared" ref="O108:O138" si="145">180/PI*IMARGUMENT((IMDIV(K108,IMSUM(K108,M108))))</f>
        <v>-56.44159693604977</v>
      </c>
      <c r="P108" t="str">
        <f t="shared" ref="P108:P138" si="146">IMDIV(COMPLEX(1,0),COMPLEX(0,2*PI*F108*C.hf))</f>
        <v>-88.5571868479568i</v>
      </c>
      <c r="Q108" t="str">
        <f t="shared" ref="Q108:Q138" si="147">IMSUM(R.comp,0,IMDIV(COMPLEX(1,0),COMPLEX(0,2*PI*F108*C.comp)))</f>
        <v>7350-51.6736935724506i</v>
      </c>
      <c r="R108" t="str">
        <f t="shared" si="100"/>
        <v>1.06660158946231-88.5368371227937i</v>
      </c>
      <c r="S108" t="str">
        <f t="shared" ref="S108:S138" si="148">IMDIV(IMPRODUCT(COMPLEX(R.eaout,0),IMDIV(1,COMPLEX(0,2*PI*F108*C.eaout))),IMSUM(COMPLEX(R.eaout,0),IMDIV(1,COMPLEX(0,2*PI*F108*C.eaout))))</f>
        <v>395.784471825078-198942.932865583i</v>
      </c>
      <c r="T108" t="str">
        <f t="shared" si="101"/>
        <v>1.0657311802348-88.4974565196997i</v>
      </c>
      <c r="U108" t="str">
        <f t="shared" si="102"/>
        <v>0.2-0.4i</v>
      </c>
      <c r="V108">
        <f t="shared" ref="V108:V138" si="149">20*LOG(IMABS(IMPRODUCT(IMPRODUCT(COMPLEX(GM,0),T108),U108)))</f>
        <v>-28.050454487807666</v>
      </c>
      <c r="W108">
        <f t="shared" ref="W108:W138" si="150">180/PI*IMARGUMENT((IMPRODUCT(IMPRODUCT(COMPLEX(GM,0),T108),U108)))</f>
        <v>-152.74502916462745</v>
      </c>
      <c r="X108">
        <f t="shared" si="103"/>
        <v>-6.9897000433601875</v>
      </c>
      <c r="Y108">
        <f t="shared" ref="Y108:Y138" si="151">180/PI*IMARGUMENT((U108))</f>
        <v>-63.434962020191122</v>
      </c>
      <c r="AA108" s="123">
        <f t="shared" si="104"/>
        <v>-2.4622898879501474</v>
      </c>
      <c r="AB108" s="123">
        <f t="shared" si="105"/>
        <v>-111.46401661289879</v>
      </c>
      <c r="AC108">
        <f t="shared" si="106"/>
        <v>-47.168364686163208</v>
      </c>
      <c r="AD108">
        <f t="shared" si="107"/>
        <v>-209.18662610067722</v>
      </c>
      <c r="AE108" s="123">
        <f t="shared" si="108"/>
        <v>-49.630654574113358</v>
      </c>
      <c r="AF108" s="123">
        <f t="shared" si="109"/>
        <v>-320.65064271357602</v>
      </c>
      <c r="AI108" s="123">
        <f t="shared" si="110"/>
        <v>0</v>
      </c>
      <c r="AJ108" s="123">
        <f t="shared" si="111"/>
        <v>0</v>
      </c>
      <c r="AK108" s="123">
        <f t="shared" si="112"/>
        <v>0</v>
      </c>
      <c r="AL108" s="123">
        <f t="shared" si="113"/>
        <v>0</v>
      </c>
      <c r="AM108" s="123">
        <f t="shared" si="114"/>
        <v>0</v>
      </c>
      <c r="AN108" s="123">
        <f t="shared" si="115"/>
        <v>0</v>
      </c>
      <c r="AO108" s="123">
        <f t="shared" si="116"/>
        <v>0</v>
      </c>
      <c r="AP108" s="123"/>
      <c r="AQ108" s="123">
        <f t="shared" si="117"/>
        <v>0</v>
      </c>
      <c r="AR108" s="123">
        <f t="shared" si="118"/>
        <v>0</v>
      </c>
      <c r="AS108" s="123">
        <f t="shared" si="119"/>
        <v>0</v>
      </c>
      <c r="AW108" t="str">
        <f t="shared" ref="AW108:AW138" si="152">COMPLEX(R.imon,0)</f>
        <v>8000</v>
      </c>
      <c r="AX108" t="str">
        <f t="shared" ref="AX108:AX138" si="153">IMSUM(R.imonhf,0,IMDIV(COMPLEX(1,0),COMPLEX(0,2*PI*F108*C.imon)))</f>
        <v>3952-47.6511904799844i</v>
      </c>
      <c r="AY108" t="str">
        <f t="shared" si="120"/>
        <v>2645.33277086994-21.3484160050374i</v>
      </c>
      <c r="AZ108">
        <f t="shared" ref="AZ108:AZ138" si="154">20*LOG(IMABS(IMDIV(IMPRODUCT(IMPRODUCT(COMPLEX(-1,0),COMPLEX(GM.imon,0)),AY108),COMPLEX(A.s_typ,0))))</f>
        <v>-5.529511005006718</v>
      </c>
      <c r="BA108">
        <f t="shared" ref="BA108:BA138" si="155">180/PI*(IMARGUMENT(IMDIV(IMPRODUCT(IMPRODUCT(COMPLEX(1,0),COMPLEX(GM.imon,0)),AY108),COMPLEX(A.s_typ,0))))</f>
        <v>-0.46237957314040479</v>
      </c>
      <c r="BB108">
        <f t="shared" ref="BB108:BB138" si="156">20*LOG(IMABS(IMPRODUCT(A_COMP2CS,IMPRODUCT(IMDIV(COMPLEX(1, 2*PI*F108/Wesr_zero),COMPLEX(1, 2*PI*F108/Wload_pole)),IMDIV(COMPLEX(1, 2*PI*F108/WloadZ),COMPLEX(1, 2*PI*F108/Wesr_zero))))))</f>
        <v>-8.1291865478365683E-5</v>
      </c>
      <c r="BC108">
        <f t="shared" ref="BC108:BC138" si="157">180/PI*(IMARGUMENT(IMPRODUCT(A_COMP2CS,IMPRODUCT(IMDIV(COMPLEX(1, 2*PI*F108/Wesr_zero),COMPLEX(1, 2*PI*F108/Wload_pole)),IMDIV(COMPLEX(1, 2*PI*F108/WloadZ),COMPLEX(1, 2*PI*F108/Wesr_zero))))))</f>
        <v>8.0526101086001584E-2</v>
      </c>
      <c r="BD108" s="123">
        <f t="shared" si="121"/>
        <v>-14.399316410454226</v>
      </c>
      <c r="BE108" s="123">
        <f t="shared" si="122"/>
        <v>-111.11449609493133</v>
      </c>
      <c r="BF108">
        <f t="shared" si="123"/>
        <v>-33.579965492814381</v>
      </c>
      <c r="BG108">
        <f t="shared" si="124"/>
        <v>-153.20740873776785</v>
      </c>
      <c r="BH108" s="123">
        <f t="shared" si="125"/>
        <v>-47.979281903268607</v>
      </c>
      <c r="BI108" s="123">
        <f t="shared" si="126"/>
        <v>-264.32190483269915</v>
      </c>
      <c r="BL108" s="123">
        <f t="shared" si="127"/>
        <v>0</v>
      </c>
      <c r="BM108" s="123">
        <f t="shared" si="128"/>
        <v>0</v>
      </c>
      <c r="BN108" s="123">
        <f t="shared" si="129"/>
        <v>0</v>
      </c>
      <c r="BO108" s="123">
        <f t="shared" si="130"/>
        <v>0</v>
      </c>
      <c r="BP108" s="123">
        <f t="shared" si="131"/>
        <v>0</v>
      </c>
      <c r="BQ108" s="123">
        <f t="shared" si="132"/>
        <v>0</v>
      </c>
      <c r="BR108" s="123">
        <f t="shared" si="133"/>
        <v>0</v>
      </c>
      <c r="BS108" s="123"/>
      <c r="BT108" s="123">
        <f t="shared" si="134"/>
        <v>0</v>
      </c>
      <c r="BU108" s="123">
        <f t="shared" si="135"/>
        <v>0</v>
      </c>
      <c r="BV108" s="123">
        <f t="shared" si="136"/>
        <v>0</v>
      </c>
      <c r="BX108" s="123">
        <f t="shared" si="137"/>
        <v>0</v>
      </c>
      <c r="BY108" s="123"/>
    </row>
    <row r="109" spans="5:77" x14ac:dyDescent="0.25">
      <c r="E109">
        <v>98</v>
      </c>
      <c r="F109">
        <v>450000</v>
      </c>
      <c r="G109" s="58">
        <f t="shared" si="138"/>
        <v>-15.729685424004723</v>
      </c>
      <c r="H109" s="58">
        <f t="shared" si="139"/>
        <v>-115.8504077324545</v>
      </c>
      <c r="I109">
        <f t="shared" si="140"/>
        <v>11.936862138093591</v>
      </c>
      <c r="J109">
        <f t="shared" si="141"/>
        <v>-0.23911097110320559</v>
      </c>
      <c r="K109" t="str">
        <f t="shared" si="142"/>
        <v>6822.10560287014-14466.7838599641i</v>
      </c>
      <c r="L109" t="str">
        <f t="shared" si="143"/>
        <v>100000000-353677.724895884i</v>
      </c>
      <c r="M109" t="str">
        <f t="shared" si="144"/>
        <v>149775.339796325-0.793383022571964i</v>
      </c>
      <c r="N109">
        <f t="shared" si="99"/>
        <v>-19.853107737450376</v>
      </c>
      <c r="O109">
        <f t="shared" si="145"/>
        <v>-59.474434783085577</v>
      </c>
      <c r="P109" t="str">
        <f t="shared" si="146"/>
        <v>-78.717499420406i</v>
      </c>
      <c r="Q109" t="str">
        <f t="shared" si="147"/>
        <v>7350-45.9321720644006i</v>
      </c>
      <c r="R109" t="str">
        <f t="shared" si="100"/>
        <v>0.842811299744979-78.7032060664418i</v>
      </c>
      <c r="S109" t="str">
        <f t="shared" si="148"/>
        <v>312.718854784942-176838.309439477i</v>
      </c>
      <c r="T109" t="str">
        <f t="shared" si="101"/>
        <v>0.842123483469848-78.6681969969667i</v>
      </c>
      <c r="U109" t="str">
        <f t="shared" si="102"/>
        <v>0.164948453608247-0.371134020618557i</v>
      </c>
      <c r="V109">
        <f t="shared" si="149"/>
        <v>-29.910035946156732</v>
      </c>
      <c r="W109">
        <f t="shared" si="150"/>
        <v>-155.42422971689456</v>
      </c>
      <c r="X109">
        <f t="shared" si="103"/>
        <v>-7.8265175161032001</v>
      </c>
      <c r="Y109">
        <f t="shared" si="151"/>
        <v>-66.037524764138809</v>
      </c>
      <c r="AA109" s="123">
        <f t="shared" si="104"/>
        <v>-3.7928232859111315</v>
      </c>
      <c r="AB109" s="123">
        <f t="shared" si="105"/>
        <v>-116.0895187035577</v>
      </c>
      <c r="AC109">
        <f t="shared" si="106"/>
        <v>-49.763143683607112</v>
      </c>
      <c r="AD109">
        <f t="shared" si="107"/>
        <v>-214.89866449998013</v>
      </c>
      <c r="AE109" s="123">
        <f t="shared" si="108"/>
        <v>-53.555966969518245</v>
      </c>
      <c r="AF109" s="123">
        <f t="shared" si="109"/>
        <v>-330.9881832035378</v>
      </c>
      <c r="AI109" s="123">
        <f t="shared" si="110"/>
        <v>0</v>
      </c>
      <c r="AJ109" s="123">
        <f t="shared" si="111"/>
        <v>0</v>
      </c>
      <c r="AK109" s="123">
        <f t="shared" si="112"/>
        <v>0</v>
      </c>
      <c r="AL109" s="123">
        <f t="shared" si="113"/>
        <v>0</v>
      </c>
      <c r="AM109" s="123">
        <f t="shared" si="114"/>
        <v>0</v>
      </c>
      <c r="AN109" s="123">
        <f t="shared" si="115"/>
        <v>0</v>
      </c>
      <c r="AO109" s="123">
        <f t="shared" si="116"/>
        <v>0</v>
      </c>
      <c r="AP109" s="123"/>
      <c r="AQ109" s="123">
        <f t="shared" si="117"/>
        <v>0</v>
      </c>
      <c r="AR109" s="123">
        <f t="shared" si="118"/>
        <v>0</v>
      </c>
      <c r="AS109" s="123">
        <f t="shared" si="119"/>
        <v>0</v>
      </c>
      <c r="AW109" t="str">
        <f t="shared" si="152"/>
        <v>8000</v>
      </c>
      <c r="AX109" t="str">
        <f t="shared" si="153"/>
        <v>3952-42.3566137599862i</v>
      </c>
      <c r="AY109" t="str">
        <f t="shared" si="120"/>
        <v>2645.31490775157-18.9764330872426i</v>
      </c>
      <c r="AZ109">
        <f t="shared" si="154"/>
        <v>-5.5296290137944846</v>
      </c>
      <c r="BA109">
        <f t="shared" si="155"/>
        <v>-0.41101008397986</v>
      </c>
      <c r="BB109">
        <f t="shared" si="156"/>
        <v>-6.4231214136701442E-5</v>
      </c>
      <c r="BC109">
        <f t="shared" si="157"/>
        <v>7.1579425141074807E-2</v>
      </c>
      <c r="BD109" s="123">
        <f t="shared" si="121"/>
        <v>-15.729749655218859</v>
      </c>
      <c r="BE109" s="123">
        <f t="shared" si="122"/>
        <v>-115.77882830731342</v>
      </c>
      <c r="BF109">
        <f t="shared" si="123"/>
        <v>-35.439664959951216</v>
      </c>
      <c r="BG109">
        <f t="shared" si="124"/>
        <v>-155.8352398008744</v>
      </c>
      <c r="BH109" s="123">
        <f t="shared" si="125"/>
        <v>-51.169414615170076</v>
      </c>
      <c r="BI109" s="123">
        <f t="shared" si="126"/>
        <v>-271.61406810818784</v>
      </c>
      <c r="BL109" s="123">
        <f t="shared" si="127"/>
        <v>0</v>
      </c>
      <c r="BM109" s="123">
        <f t="shared" si="128"/>
        <v>0</v>
      </c>
      <c r="BN109" s="123">
        <f t="shared" si="129"/>
        <v>0</v>
      </c>
      <c r="BO109" s="123">
        <f t="shared" si="130"/>
        <v>0</v>
      </c>
      <c r="BP109" s="123">
        <f t="shared" si="131"/>
        <v>0</v>
      </c>
      <c r="BQ109" s="123">
        <f t="shared" si="132"/>
        <v>0</v>
      </c>
      <c r="BR109" s="123">
        <f t="shared" si="133"/>
        <v>0</v>
      </c>
      <c r="BS109" s="123"/>
      <c r="BT109" s="123">
        <f t="shared" si="134"/>
        <v>0</v>
      </c>
      <c r="BU109" s="123">
        <f t="shared" si="135"/>
        <v>0</v>
      </c>
      <c r="BV109" s="123">
        <f t="shared" si="136"/>
        <v>0</v>
      </c>
      <c r="BX109" s="123">
        <f t="shared" si="137"/>
        <v>0</v>
      </c>
      <c r="BY109" s="123"/>
    </row>
    <row r="110" spans="5:77" x14ac:dyDescent="0.25">
      <c r="E110">
        <v>99</v>
      </c>
      <c r="F110">
        <v>500000</v>
      </c>
      <c r="G110" s="58">
        <f t="shared" si="138"/>
        <v>-16.97597868235076</v>
      </c>
      <c r="H110" s="58">
        <f t="shared" si="139"/>
        <v>-119.97174814603167</v>
      </c>
      <c r="I110">
        <f t="shared" si="140"/>
        <v>11.936802700349954</v>
      </c>
      <c r="J110">
        <f t="shared" si="141"/>
        <v>-0.21520297883372239</v>
      </c>
      <c r="K110" t="str">
        <f t="shared" si="142"/>
        <v>5723.74883455941-13486.2626614959i</v>
      </c>
      <c r="L110" t="str">
        <f t="shared" si="143"/>
        <v>100000000-318309.952406296i</v>
      </c>
      <c r="M110" t="str">
        <f t="shared" si="144"/>
        <v>149775.339263985-0.714046412267185i</v>
      </c>
      <c r="N110">
        <f t="shared" si="99"/>
        <v>-20.549986953443955</v>
      </c>
      <c r="O110">
        <f t="shared" si="145"/>
        <v>-62.045944034960307</v>
      </c>
      <c r="P110" t="str">
        <f t="shared" si="146"/>
        <v>-70.8457494783654i</v>
      </c>
      <c r="Q110" t="str">
        <f t="shared" si="147"/>
        <v>7350-41.3389548579605i</v>
      </c>
      <c r="R110" t="str">
        <f t="shared" si="100"/>
        <v>0.682714449922524-70.8353290540511i</v>
      </c>
      <c r="S110" t="str">
        <f t="shared" si="148"/>
        <v>253.302422879446-159154.573059737i</v>
      </c>
      <c r="T110" t="str">
        <f t="shared" si="101"/>
        <v>0.682157269177105-70.8038182586978i</v>
      </c>
      <c r="U110" t="str">
        <f t="shared" si="102"/>
        <v>0.137931034482759-0.344827586206897i</v>
      </c>
      <c r="V110">
        <f t="shared" si="149"/>
        <v>-31.601843386195281</v>
      </c>
      <c r="W110">
        <f t="shared" si="150"/>
        <v>-157.64662591610272</v>
      </c>
      <c r="X110">
        <f t="shared" si="103"/>
        <v>-8.6033800657099242</v>
      </c>
      <c r="Y110">
        <f t="shared" si="151"/>
        <v>-68.198604701964996</v>
      </c>
      <c r="AA110" s="123">
        <f t="shared" si="104"/>
        <v>-5.0391759820008062</v>
      </c>
      <c r="AB110" s="123">
        <f t="shared" si="105"/>
        <v>-120.18695112486539</v>
      </c>
      <c r="AC110">
        <f t="shared" si="106"/>
        <v>-52.151830339639233</v>
      </c>
      <c r="AD110">
        <f t="shared" si="107"/>
        <v>-219.69256995106304</v>
      </c>
      <c r="AE110" s="123">
        <f t="shared" si="108"/>
        <v>-57.191006321640039</v>
      </c>
      <c r="AF110" s="123">
        <f t="shared" si="109"/>
        <v>-339.87952107592844</v>
      </c>
      <c r="AI110" s="123">
        <f t="shared" si="110"/>
        <v>0</v>
      </c>
      <c r="AJ110" s="123">
        <f t="shared" si="111"/>
        <v>0</v>
      </c>
      <c r="AK110" s="123">
        <f t="shared" si="112"/>
        <v>0</v>
      </c>
      <c r="AL110" s="123">
        <f t="shared" si="113"/>
        <v>0</v>
      </c>
      <c r="AM110" s="123">
        <f t="shared" si="114"/>
        <v>0</v>
      </c>
      <c r="AN110" s="123">
        <f t="shared" si="115"/>
        <v>0</v>
      </c>
      <c r="AO110" s="123">
        <f t="shared" si="116"/>
        <v>0</v>
      </c>
      <c r="AP110" s="123"/>
      <c r="AQ110" s="123">
        <f t="shared" si="117"/>
        <v>0</v>
      </c>
      <c r="AR110" s="123">
        <f t="shared" si="118"/>
        <v>0</v>
      </c>
      <c r="AS110" s="123">
        <f t="shared" si="119"/>
        <v>0</v>
      </c>
      <c r="AW110" t="str">
        <f t="shared" si="152"/>
        <v>8000</v>
      </c>
      <c r="AX110" t="str">
        <f t="shared" si="153"/>
        <v>3952-38.1209523839875i</v>
      </c>
      <c r="AY110" t="str">
        <f t="shared" si="120"/>
        <v>2645.30213029497-17.0788305322678i</v>
      </c>
      <c r="AZ110">
        <f t="shared" si="154"/>
        <v>-5.5297134272364099</v>
      </c>
      <c r="BA110">
        <f t="shared" si="155"/>
        <v>-0.36991295050558609</v>
      </c>
      <c r="BB110">
        <f t="shared" si="156"/>
        <v>-5.2027633661505003E-5</v>
      </c>
      <c r="BC110">
        <f t="shared" si="157"/>
        <v>6.44219130680425E-2</v>
      </c>
      <c r="BD110" s="123">
        <f t="shared" si="121"/>
        <v>-16.976030709984421</v>
      </c>
      <c r="BE110" s="123">
        <f t="shared" si="122"/>
        <v>-119.90732623296363</v>
      </c>
      <c r="BF110">
        <f t="shared" si="123"/>
        <v>-37.131556813431693</v>
      </c>
      <c r="BG110">
        <f t="shared" si="124"/>
        <v>-158.0165388666083</v>
      </c>
      <c r="BH110" s="123">
        <f t="shared" si="125"/>
        <v>-54.107587523416115</v>
      </c>
      <c r="BI110" s="123">
        <f t="shared" si="126"/>
        <v>-277.92386509957191</v>
      </c>
      <c r="BL110" s="123">
        <f t="shared" si="127"/>
        <v>0</v>
      </c>
      <c r="BM110" s="123">
        <f t="shared" si="128"/>
        <v>0</v>
      </c>
      <c r="BN110" s="123">
        <f t="shared" si="129"/>
        <v>0</v>
      </c>
      <c r="BO110" s="123">
        <f t="shared" si="130"/>
        <v>0</v>
      </c>
      <c r="BP110" s="123">
        <f t="shared" si="131"/>
        <v>0</v>
      </c>
      <c r="BQ110" s="123">
        <f t="shared" si="132"/>
        <v>0</v>
      </c>
      <c r="BR110" s="123">
        <f t="shared" si="133"/>
        <v>0</v>
      </c>
      <c r="BS110" s="123"/>
      <c r="BT110" s="123">
        <f t="shared" si="134"/>
        <v>0</v>
      </c>
      <c r="BU110" s="123">
        <f t="shared" si="135"/>
        <v>0</v>
      </c>
      <c r="BV110" s="123">
        <f t="shared" si="136"/>
        <v>0</v>
      </c>
      <c r="BX110" s="123">
        <f t="shared" si="137"/>
        <v>0</v>
      </c>
      <c r="BY110" s="123"/>
    </row>
    <row r="111" spans="5:77" x14ac:dyDescent="0.25">
      <c r="E111">
        <v>100</v>
      </c>
      <c r="F111">
        <v>550000</v>
      </c>
      <c r="G111" s="58">
        <f t="shared" si="138"/>
        <v>-18.149561557755614</v>
      </c>
      <c r="H111" s="58">
        <f t="shared" si="139"/>
        <v>-123.64686388522185</v>
      </c>
      <c r="I111">
        <f t="shared" si="140"/>
        <v>11.93675872199548</v>
      </c>
      <c r="J111">
        <f t="shared" si="141"/>
        <v>-0.19564116011528551</v>
      </c>
      <c r="K111" t="str">
        <f t="shared" si="142"/>
        <v>4859.08856921979-12593.8508654907i</v>
      </c>
      <c r="L111" t="str">
        <f t="shared" si="143"/>
        <v>100000000-289372.684005724i</v>
      </c>
      <c r="M111" t="str">
        <f t="shared" si="144"/>
        <v>149775.338870112-0.649134240114367i</v>
      </c>
      <c r="N111">
        <f t="shared" si="99"/>
        <v>-21.208977220363639</v>
      </c>
      <c r="O111">
        <f t="shared" si="145"/>
        <v>-64.245602805987758</v>
      </c>
      <c r="P111" t="str">
        <f t="shared" si="146"/>
        <v>-64.405226798514i</v>
      </c>
      <c r="Q111" t="str">
        <f t="shared" si="147"/>
        <v>7350-37.5808680526914i</v>
      </c>
      <c r="R111" t="str">
        <f t="shared" si="100"/>
        <v>0.564249626614268-64.397397463012i</v>
      </c>
      <c r="S111" t="str">
        <f t="shared" si="148"/>
        <v>209.340937384493-144686.039115117i</v>
      </c>
      <c r="T111" t="str">
        <f t="shared" si="101"/>
        <v>0.563789116349054-64.3687495142682i</v>
      </c>
      <c r="U111" t="str">
        <f t="shared" si="102"/>
        <v>0.116788321167883-0.321167883211679i</v>
      </c>
      <c r="V111">
        <f t="shared" si="149"/>
        <v>-33.152171242269944</v>
      </c>
      <c r="W111">
        <f t="shared" si="150"/>
        <v>-159.51510068282275</v>
      </c>
      <c r="X111">
        <f t="shared" si="103"/>
        <v>-9.3260058450048167</v>
      </c>
      <c r="Y111">
        <f t="shared" si="151"/>
        <v>-70.016908044704167</v>
      </c>
      <c r="AA111" s="123">
        <f t="shared" si="104"/>
        <v>-6.2128028357601348</v>
      </c>
      <c r="AB111" s="123">
        <f t="shared" si="105"/>
        <v>-123.84250504533713</v>
      </c>
      <c r="AC111">
        <f t="shared" si="106"/>
        <v>-54.361148462633579</v>
      </c>
      <c r="AD111">
        <f t="shared" si="107"/>
        <v>-223.76070348881052</v>
      </c>
      <c r="AE111" s="123">
        <f t="shared" si="108"/>
        <v>-60.573951298393716</v>
      </c>
      <c r="AF111" s="123">
        <f t="shared" si="109"/>
        <v>-347.60320853414765</v>
      </c>
      <c r="AI111" s="123">
        <f t="shared" si="110"/>
        <v>0</v>
      </c>
      <c r="AJ111" s="123">
        <f t="shared" si="111"/>
        <v>0</v>
      </c>
      <c r="AK111" s="123">
        <f t="shared" si="112"/>
        <v>0</v>
      </c>
      <c r="AL111" s="123">
        <f t="shared" si="113"/>
        <v>0</v>
      </c>
      <c r="AM111" s="123">
        <f t="shared" si="114"/>
        <v>0</v>
      </c>
      <c r="AN111" s="123">
        <f t="shared" si="115"/>
        <v>0</v>
      </c>
      <c r="AO111" s="123">
        <f t="shared" si="116"/>
        <v>0</v>
      </c>
      <c r="AP111" s="123"/>
      <c r="AQ111" s="123">
        <f t="shared" si="117"/>
        <v>0</v>
      </c>
      <c r="AR111" s="123">
        <f t="shared" si="118"/>
        <v>0</v>
      </c>
      <c r="AS111" s="123">
        <f t="shared" si="119"/>
        <v>0</v>
      </c>
      <c r="AW111" t="str">
        <f t="shared" si="152"/>
        <v>8000</v>
      </c>
      <c r="AX111" t="str">
        <f t="shared" si="153"/>
        <v>3952-34.6554112581705i</v>
      </c>
      <c r="AY111" t="str">
        <f t="shared" si="120"/>
        <v>2645.29267638287-15.5262369868716i</v>
      </c>
      <c r="AZ111">
        <f t="shared" si="154"/>
        <v>-5.5297758849523042</v>
      </c>
      <c r="BA111">
        <f t="shared" si="155"/>
        <v>-0.33628710688946378</v>
      </c>
      <c r="BB111">
        <f t="shared" si="156"/>
        <v>-4.2998258505578824E-5</v>
      </c>
      <c r="BC111">
        <f t="shared" si="157"/>
        <v>5.8565665045013829E-2</v>
      </c>
      <c r="BD111" s="123">
        <f t="shared" si="121"/>
        <v>-18.149604556014118</v>
      </c>
      <c r="BE111" s="123">
        <f t="shared" si="122"/>
        <v>-123.58829822017684</v>
      </c>
      <c r="BF111">
        <f t="shared" si="123"/>
        <v>-38.681947127222244</v>
      </c>
      <c r="BG111">
        <f t="shared" si="124"/>
        <v>-159.85138778971222</v>
      </c>
      <c r="BH111" s="123">
        <f t="shared" si="125"/>
        <v>-56.831551683236363</v>
      </c>
      <c r="BI111" s="123">
        <f t="shared" si="126"/>
        <v>-283.43968600988904</v>
      </c>
      <c r="BL111" s="123">
        <f t="shared" si="127"/>
        <v>0</v>
      </c>
      <c r="BM111" s="123">
        <f t="shared" si="128"/>
        <v>0</v>
      </c>
      <c r="BN111" s="123">
        <f t="shared" si="129"/>
        <v>0</v>
      </c>
      <c r="BO111" s="123">
        <f t="shared" si="130"/>
        <v>0</v>
      </c>
      <c r="BP111" s="123">
        <f t="shared" si="131"/>
        <v>0</v>
      </c>
      <c r="BQ111" s="123">
        <f t="shared" si="132"/>
        <v>0</v>
      </c>
      <c r="BR111" s="123">
        <f t="shared" si="133"/>
        <v>0</v>
      </c>
      <c r="BS111" s="123"/>
      <c r="BT111" s="123">
        <f t="shared" si="134"/>
        <v>0</v>
      </c>
      <c r="BU111" s="123">
        <f t="shared" si="135"/>
        <v>0</v>
      </c>
      <c r="BV111" s="123">
        <f t="shared" si="136"/>
        <v>0</v>
      </c>
      <c r="BX111" s="123">
        <f t="shared" si="137"/>
        <v>0</v>
      </c>
      <c r="BY111" s="123"/>
    </row>
    <row r="112" spans="5:77" x14ac:dyDescent="0.25">
      <c r="E112">
        <v>101</v>
      </c>
      <c r="F112">
        <v>600000</v>
      </c>
      <c r="G112" s="58">
        <f t="shared" si="138"/>
        <v>-19.259168620966118</v>
      </c>
      <c r="H112" s="58">
        <f t="shared" si="139"/>
        <v>-126.94264013355482</v>
      </c>
      <c r="I112">
        <f t="shared" si="140"/>
        <v>11.936725272197556</v>
      </c>
      <c r="J112">
        <f t="shared" si="141"/>
        <v>-0.17933918620160258</v>
      </c>
      <c r="K112" t="str">
        <f t="shared" si="142"/>
        <v>4169.27188785112-11788.3360878281i</v>
      </c>
      <c r="L112" t="str">
        <f t="shared" si="143"/>
        <v>100000000-265258.293671913i</v>
      </c>
      <c r="M112" t="str">
        <f t="shared" si="144"/>
        <v>149775.338570539-0.595040513557666i</v>
      </c>
      <c r="N112">
        <f t="shared" si="99"/>
        <v>-21.831769090146416</v>
      </c>
      <c r="O112">
        <f t="shared" si="145"/>
        <v>-66.143351911875598</v>
      </c>
      <c r="P112" t="str">
        <f t="shared" si="146"/>
        <v>-59.0381245653045i</v>
      </c>
      <c r="Q112" t="str">
        <f t="shared" si="147"/>
        <v>7350-34.4491290483004i</v>
      </c>
      <c r="R112" t="str">
        <f t="shared" si="100"/>
        <v>0.474141000314648-59.032093797965i</v>
      </c>
      <c r="S112" t="str">
        <f t="shared" si="148"/>
        <v>175.904596479524-132628.913535191i</v>
      </c>
      <c r="T112" t="str">
        <f t="shared" si="101"/>
        <v>0.473754024399116-59.0058319433083i</v>
      </c>
      <c r="U112" t="str">
        <f t="shared" si="102"/>
        <v>0.1-0.3i</v>
      </c>
      <c r="V112">
        <f t="shared" si="149"/>
        <v>-34.581821286093373</v>
      </c>
      <c r="W112">
        <f t="shared" si="150"/>
        <v>-161.1050704550498</v>
      </c>
      <c r="X112">
        <f t="shared" si="103"/>
        <v>-10</v>
      </c>
      <c r="Y112">
        <f t="shared" si="151"/>
        <v>-71.565066065767226</v>
      </c>
      <c r="AA112" s="123">
        <f t="shared" si="104"/>
        <v>-7.3224433487685623</v>
      </c>
      <c r="AB112" s="123">
        <f t="shared" si="105"/>
        <v>-127.12197931975642</v>
      </c>
      <c r="AC112">
        <f t="shared" si="106"/>
        <v>-56.413590376239789</v>
      </c>
      <c r="AD112">
        <f t="shared" si="107"/>
        <v>-227.24842236692541</v>
      </c>
      <c r="AE112" s="123">
        <f t="shared" si="108"/>
        <v>-63.736033725008355</v>
      </c>
      <c r="AF112" s="123">
        <f t="shared" si="109"/>
        <v>-354.37040168668182</v>
      </c>
      <c r="AI112" s="123">
        <f t="shared" si="110"/>
        <v>0</v>
      </c>
      <c r="AJ112" s="123">
        <f t="shared" si="111"/>
        <v>0</v>
      </c>
      <c r="AK112" s="123">
        <f t="shared" si="112"/>
        <v>0</v>
      </c>
      <c r="AL112" s="123">
        <f t="shared" si="113"/>
        <v>0</v>
      </c>
      <c r="AM112" s="123">
        <f t="shared" si="114"/>
        <v>0</v>
      </c>
      <c r="AN112" s="123">
        <f t="shared" si="115"/>
        <v>0</v>
      </c>
      <c r="AO112" s="123">
        <f t="shared" si="116"/>
        <v>0</v>
      </c>
      <c r="AP112" s="123"/>
      <c r="AQ112" s="123">
        <f t="shared" si="117"/>
        <v>0</v>
      </c>
      <c r="AR112" s="123">
        <f t="shared" si="118"/>
        <v>0</v>
      </c>
      <c r="AS112" s="123">
        <f t="shared" si="119"/>
        <v>0</v>
      </c>
      <c r="AW112" t="str">
        <f t="shared" si="152"/>
        <v>8000</v>
      </c>
      <c r="AX112" t="str">
        <f t="shared" si="153"/>
        <v>3952-31.7674603199896i</v>
      </c>
      <c r="AY112" t="str">
        <f t="shared" si="120"/>
        <v>2645.28548588505-14.2324030164005i</v>
      </c>
      <c r="AZ112">
        <f t="shared" si="154"/>
        <v>-5.529823389916487</v>
      </c>
      <c r="BA112">
        <f t="shared" si="155"/>
        <v>-0.30826499855071554</v>
      </c>
      <c r="BB112">
        <f t="shared" si="156"/>
        <v>-3.6130617909772253E-5</v>
      </c>
      <c r="BC112">
        <f t="shared" si="157"/>
        <v>5.3685394819112296E-2</v>
      </c>
      <c r="BD112" s="123">
        <f t="shared" si="121"/>
        <v>-19.259204751584029</v>
      </c>
      <c r="BE112" s="123">
        <f t="shared" si="122"/>
        <v>-126.88895473873571</v>
      </c>
      <c r="BF112">
        <f t="shared" si="123"/>
        <v>-40.11164467600986</v>
      </c>
      <c r="BG112">
        <f t="shared" si="124"/>
        <v>-161.41333545360052</v>
      </c>
      <c r="BH112" s="123">
        <f t="shared" si="125"/>
        <v>-59.370849427593889</v>
      </c>
      <c r="BI112" s="123">
        <f t="shared" si="126"/>
        <v>-288.30229019233622</v>
      </c>
      <c r="BL112" s="123">
        <f t="shared" si="127"/>
        <v>0</v>
      </c>
      <c r="BM112" s="123">
        <f t="shared" si="128"/>
        <v>0</v>
      </c>
      <c r="BN112" s="123">
        <f t="shared" si="129"/>
        <v>0</v>
      </c>
      <c r="BO112" s="123">
        <f t="shared" si="130"/>
        <v>0</v>
      </c>
      <c r="BP112" s="123">
        <f t="shared" si="131"/>
        <v>0</v>
      </c>
      <c r="BQ112" s="123">
        <f t="shared" si="132"/>
        <v>0</v>
      </c>
      <c r="BR112" s="123">
        <f t="shared" si="133"/>
        <v>0</v>
      </c>
      <c r="BS112" s="123"/>
      <c r="BT112" s="123">
        <f t="shared" si="134"/>
        <v>0</v>
      </c>
      <c r="BU112" s="123">
        <f t="shared" si="135"/>
        <v>0</v>
      </c>
      <c r="BV112" s="123">
        <f t="shared" si="136"/>
        <v>0</v>
      </c>
      <c r="BX112" s="123">
        <f t="shared" si="137"/>
        <v>0</v>
      </c>
      <c r="BY112" s="123"/>
    </row>
    <row r="113" spans="5:77" x14ac:dyDescent="0.25">
      <c r="E113">
        <v>102</v>
      </c>
      <c r="F113">
        <v>650000</v>
      </c>
      <c r="G113" s="58">
        <f t="shared" si="138"/>
        <v>-20.311680241893313</v>
      </c>
      <c r="H113" s="58">
        <f t="shared" si="139"/>
        <v>-129.91206110978294</v>
      </c>
      <c r="I113">
        <f t="shared" si="140"/>
        <v>11.936699239999054</v>
      </c>
      <c r="J113">
        <f t="shared" si="141"/>
        <v>-0.16554491021927698</v>
      </c>
      <c r="K113" t="str">
        <f t="shared" si="142"/>
        <v>3611.92033807707-11063.5005377717i</v>
      </c>
      <c r="L113" t="str">
        <f t="shared" si="143"/>
        <v>100000000-244853.809543305i</v>
      </c>
      <c r="M113" t="str">
        <f t="shared" si="144"/>
        <v>149775.338337399-0.549268736357033i</v>
      </c>
      <c r="N113">
        <f t="shared" si="99"/>
        <v>-22.420628952574546</v>
      </c>
      <c r="O113">
        <f t="shared" si="145"/>
        <v>-67.79393262632081</v>
      </c>
      <c r="P113" t="str">
        <f t="shared" si="146"/>
        <v>-54.4967303679734i</v>
      </c>
      <c r="Q113" t="str">
        <f t="shared" si="147"/>
        <v>7350-31.799196044585i</v>
      </c>
      <c r="R113" t="str">
        <f t="shared" si="100"/>
        <v>0.404011466421822-54.4919868926296i</v>
      </c>
      <c r="S113" t="str">
        <f t="shared" si="148"/>
        <v>149.883245469462-122426.721274234i</v>
      </c>
      <c r="T113" t="str">
        <f t="shared" si="101"/>
        <v>0.403681722616624-54.4677442933975i</v>
      </c>
      <c r="U113" t="str">
        <f t="shared" si="102"/>
        <v>0.0864864864864865-0.281081081081081i</v>
      </c>
      <c r="V113">
        <f t="shared" si="149"/>
        <v>-35.907491112913441</v>
      </c>
      <c r="W113">
        <f t="shared" si="150"/>
        <v>-162.47267121119438</v>
      </c>
      <c r="X113">
        <f t="shared" si="103"/>
        <v>-10.630517457470891</v>
      </c>
      <c r="Y113">
        <f t="shared" si="151"/>
        <v>-72.897286196797381</v>
      </c>
      <c r="AA113" s="123">
        <f t="shared" si="104"/>
        <v>-8.374981001894259</v>
      </c>
      <c r="AB113" s="123">
        <f t="shared" si="105"/>
        <v>-130.07760602000221</v>
      </c>
      <c r="AC113">
        <f t="shared" si="106"/>
        <v>-58.328120065487987</v>
      </c>
      <c r="AD113">
        <f t="shared" si="107"/>
        <v>-230.26660383751519</v>
      </c>
      <c r="AE113" s="123">
        <f t="shared" si="108"/>
        <v>-66.703101067382249</v>
      </c>
      <c r="AF113" s="123">
        <f t="shared" si="109"/>
        <v>-360.3442098575174</v>
      </c>
      <c r="AI113" s="123">
        <f t="shared" si="110"/>
        <v>0</v>
      </c>
      <c r="AJ113" s="123">
        <f t="shared" si="111"/>
        <v>0</v>
      </c>
      <c r="AK113" s="123">
        <f t="shared" si="112"/>
        <v>0</v>
      </c>
      <c r="AL113" s="123">
        <f t="shared" si="113"/>
        <v>0</v>
      </c>
      <c r="AM113" s="123">
        <f t="shared" si="114"/>
        <v>0</v>
      </c>
      <c r="AN113" s="123">
        <f t="shared" si="115"/>
        <v>0</v>
      </c>
      <c r="AO113" s="123">
        <f t="shared" si="116"/>
        <v>0</v>
      </c>
      <c r="AP113" s="123"/>
      <c r="AQ113" s="123">
        <f t="shared" si="117"/>
        <v>0</v>
      </c>
      <c r="AR113" s="123">
        <f t="shared" si="118"/>
        <v>0</v>
      </c>
      <c r="AS113" s="123">
        <f t="shared" si="119"/>
        <v>0</v>
      </c>
      <c r="AW113" t="str">
        <f t="shared" si="152"/>
        <v>8000</v>
      </c>
      <c r="AX113" t="str">
        <f t="shared" si="153"/>
        <v>3952-29.3238095261443i</v>
      </c>
      <c r="AY113" t="str">
        <f t="shared" si="120"/>
        <v>2645.27988997358-13.1376165137407i</v>
      </c>
      <c r="AZ113">
        <f t="shared" si="154"/>
        <v>-5.5298603603969445</v>
      </c>
      <c r="BA113">
        <f t="shared" si="155"/>
        <v>-0.28455361182119981</v>
      </c>
      <c r="BB113">
        <f t="shared" si="156"/>
        <v>-3.0785942705073757E-5</v>
      </c>
      <c r="BC113">
        <f t="shared" si="157"/>
        <v>4.9555894075980191E-2</v>
      </c>
      <c r="BD113" s="123">
        <f t="shared" si="121"/>
        <v>-20.311711027836019</v>
      </c>
      <c r="BE113" s="123">
        <f t="shared" si="122"/>
        <v>-129.86250521570696</v>
      </c>
      <c r="BF113">
        <f t="shared" si="123"/>
        <v>-41.437351473310386</v>
      </c>
      <c r="BG113">
        <f t="shared" si="124"/>
        <v>-162.75722482301558</v>
      </c>
      <c r="BH113" s="123">
        <f t="shared" si="125"/>
        <v>-61.749062501146405</v>
      </c>
      <c r="BI113" s="123">
        <f t="shared" si="126"/>
        <v>-292.61973003872254</v>
      </c>
      <c r="BL113" s="123">
        <f t="shared" si="127"/>
        <v>0</v>
      </c>
      <c r="BM113" s="123">
        <f t="shared" si="128"/>
        <v>0</v>
      </c>
      <c r="BN113" s="123">
        <f t="shared" si="129"/>
        <v>0</v>
      </c>
      <c r="BO113" s="123">
        <f t="shared" si="130"/>
        <v>0</v>
      </c>
      <c r="BP113" s="123">
        <f t="shared" si="131"/>
        <v>0</v>
      </c>
      <c r="BQ113" s="123">
        <f t="shared" si="132"/>
        <v>0</v>
      </c>
      <c r="BR113" s="123">
        <f t="shared" si="133"/>
        <v>0</v>
      </c>
      <c r="BS113" s="123"/>
      <c r="BT113" s="123">
        <f t="shared" si="134"/>
        <v>0</v>
      </c>
      <c r="BU113" s="123">
        <f t="shared" si="135"/>
        <v>0</v>
      </c>
      <c r="BV113" s="123">
        <f t="shared" si="136"/>
        <v>0</v>
      </c>
      <c r="BX113" s="123">
        <f t="shared" si="137"/>
        <v>0</v>
      </c>
      <c r="BY113" s="123"/>
    </row>
    <row r="114" spans="5:77" x14ac:dyDescent="0.25">
      <c r="E114">
        <v>103</v>
      </c>
      <c r="F114">
        <v>700000</v>
      </c>
      <c r="G114" s="58">
        <f t="shared" si="138"/>
        <v>-21.312681338334336</v>
      </c>
      <c r="H114" s="58">
        <f t="shared" si="139"/>
        <v>-132.59828995229614</v>
      </c>
      <c r="I114">
        <f t="shared" si="140"/>
        <v>11.936678584003417</v>
      </c>
      <c r="J114">
        <f t="shared" si="141"/>
        <v>-0.15372104449436391</v>
      </c>
      <c r="K114" t="str">
        <f t="shared" si="142"/>
        <v>3156.2377254196-10411.3917476903i</v>
      </c>
      <c r="L114" t="str">
        <f t="shared" si="143"/>
        <v>100000000-227364.251718783i</v>
      </c>
      <c r="M114" t="str">
        <f t="shared" si="144"/>
        <v>149775.33815241-0.510035675156943i</v>
      </c>
      <c r="N114">
        <f t="shared" si="99"/>
        <v>-22.978017315790609</v>
      </c>
      <c r="O114">
        <f t="shared" si="145"/>
        <v>-69.240405639190925</v>
      </c>
      <c r="P114" t="str">
        <f t="shared" si="146"/>
        <v>-50.604106770261i</v>
      </c>
      <c r="Q114" t="str">
        <f t="shared" si="147"/>
        <v>7350-29.5278248985432i</v>
      </c>
      <c r="R114" t="str">
        <f t="shared" si="100"/>
        <v>0.348363439976135-50.6003088062653i</v>
      </c>
      <c r="S114" t="str">
        <f t="shared" si="148"/>
        <v>129.236090379218-113681.978941056i</v>
      </c>
      <c r="T114" t="str">
        <f t="shared" si="101"/>
        <v>0.348079111272085-50.5777971675101i</v>
      </c>
      <c r="U114" t="str">
        <f t="shared" si="102"/>
        <v>0.0754716981132075-0.264150943396226i</v>
      </c>
      <c r="V114">
        <f t="shared" si="149"/>
        <v>-37.142754885356283</v>
      </c>
      <c r="W114">
        <f t="shared" si="150"/>
        <v>-163.66033174681317</v>
      </c>
      <c r="X114">
        <f t="shared" si="103"/>
        <v>-11.222158782728279</v>
      </c>
      <c r="Y114">
        <f t="shared" si="151"/>
        <v>-74.054619505703258</v>
      </c>
      <c r="AA114" s="123">
        <f t="shared" si="104"/>
        <v>-9.3760027543309192</v>
      </c>
      <c r="AB114" s="123">
        <f t="shared" si="105"/>
        <v>-132.75201099679052</v>
      </c>
      <c r="AC114">
        <f t="shared" si="106"/>
        <v>-60.120772201146892</v>
      </c>
      <c r="AD114">
        <f t="shared" si="107"/>
        <v>-232.9007373860041</v>
      </c>
      <c r="AE114" s="123">
        <f t="shared" si="108"/>
        <v>-69.496774955477804</v>
      </c>
      <c r="AF114" s="123">
        <f t="shared" si="109"/>
        <v>-365.65274838279458</v>
      </c>
      <c r="AI114" s="123">
        <f t="shared" si="110"/>
        <v>0</v>
      </c>
      <c r="AJ114" s="123">
        <f t="shared" si="111"/>
        <v>0</v>
      </c>
      <c r="AK114" s="123">
        <f t="shared" si="112"/>
        <v>0</v>
      </c>
      <c r="AL114" s="123">
        <f t="shared" si="113"/>
        <v>0</v>
      </c>
      <c r="AM114" s="123">
        <f t="shared" si="114"/>
        <v>0</v>
      </c>
      <c r="AN114" s="123">
        <f t="shared" si="115"/>
        <v>0</v>
      </c>
      <c r="AO114" s="123">
        <f t="shared" si="116"/>
        <v>0</v>
      </c>
      <c r="AP114" s="123"/>
      <c r="AQ114" s="123">
        <f t="shared" si="117"/>
        <v>0</v>
      </c>
      <c r="AR114" s="123">
        <f t="shared" si="118"/>
        <v>0</v>
      </c>
      <c r="AS114" s="123">
        <f t="shared" si="119"/>
        <v>0</v>
      </c>
      <c r="AW114" t="str">
        <f t="shared" si="152"/>
        <v>8000</v>
      </c>
      <c r="AX114" t="str">
        <f t="shared" si="153"/>
        <v>3952-27.2292517028482i</v>
      </c>
      <c r="AY114" t="str">
        <f t="shared" si="120"/>
        <v>2645.27544978082-12.1992254499112i</v>
      </c>
      <c r="AZ114">
        <f t="shared" si="154"/>
        <v>-5.5298896956203238</v>
      </c>
      <c r="BA114">
        <f t="shared" si="155"/>
        <v>-0.26422931570291769</v>
      </c>
      <c r="BB114">
        <f t="shared" si="156"/>
        <v>-2.6545084132470702E-5</v>
      </c>
      <c r="BC114">
        <f t="shared" si="157"/>
        <v>4.6016294200796844E-2</v>
      </c>
      <c r="BD114" s="123">
        <f t="shared" si="121"/>
        <v>-21.312707883418469</v>
      </c>
      <c r="BE114" s="123">
        <f t="shared" si="122"/>
        <v>-132.55227365809534</v>
      </c>
      <c r="BF114">
        <f t="shared" si="123"/>
        <v>-42.672644580976609</v>
      </c>
      <c r="BG114">
        <f t="shared" si="124"/>
        <v>-163.92456106251609</v>
      </c>
      <c r="BH114" s="123">
        <f t="shared" si="125"/>
        <v>-63.985352464395078</v>
      </c>
      <c r="BI114" s="123">
        <f t="shared" si="126"/>
        <v>-296.47683472061146</v>
      </c>
      <c r="BL114" s="123">
        <f t="shared" si="127"/>
        <v>0</v>
      </c>
      <c r="BM114" s="123">
        <f t="shared" si="128"/>
        <v>0</v>
      </c>
      <c r="BN114" s="123">
        <f t="shared" si="129"/>
        <v>0</v>
      </c>
      <c r="BO114" s="123">
        <f t="shared" si="130"/>
        <v>0</v>
      </c>
      <c r="BP114" s="123">
        <f t="shared" si="131"/>
        <v>0</v>
      </c>
      <c r="BQ114" s="123">
        <f t="shared" si="132"/>
        <v>0</v>
      </c>
      <c r="BR114" s="123">
        <f t="shared" si="133"/>
        <v>0</v>
      </c>
      <c r="BS114" s="123"/>
      <c r="BT114" s="123">
        <f t="shared" si="134"/>
        <v>0</v>
      </c>
      <c r="BU114" s="123">
        <f t="shared" si="135"/>
        <v>0</v>
      </c>
      <c r="BV114" s="123">
        <f t="shared" si="136"/>
        <v>0</v>
      </c>
      <c r="BX114" s="123">
        <f t="shared" si="137"/>
        <v>0</v>
      </c>
      <c r="BY114" s="123"/>
    </row>
    <row r="115" spans="5:77" x14ac:dyDescent="0.25">
      <c r="E115">
        <v>104</v>
      </c>
      <c r="F115">
        <v>750000</v>
      </c>
      <c r="G115" s="58">
        <f t="shared" si="138"/>
        <v>-22.266825963494398</v>
      </c>
      <c r="H115" s="58">
        <f t="shared" si="139"/>
        <v>-135.0371814008671</v>
      </c>
      <c r="I115">
        <f t="shared" si="140"/>
        <v>11.936661919643486</v>
      </c>
      <c r="J115">
        <f t="shared" si="141"/>
        <v>-0.14347355519227578</v>
      </c>
      <c r="K115" t="str">
        <f t="shared" si="142"/>
        <v>2779.58700629025-9823.86934004859i</v>
      </c>
      <c r="L115" t="str">
        <f t="shared" si="143"/>
        <v>100000000-212206.634937531i</v>
      </c>
      <c r="M115" t="str">
        <f t="shared" si="144"/>
        <v>149775.33800317-0.476033613037043i</v>
      </c>
      <c r="N115">
        <f t="shared" si="99"/>
        <v>-23.506383057292865</v>
      </c>
      <c r="O115">
        <f t="shared" si="145"/>
        <v>-70.516880770983292</v>
      </c>
      <c r="P115" t="str">
        <f t="shared" si="146"/>
        <v>-47.2304996522436i</v>
      </c>
      <c r="Q115" t="str">
        <f t="shared" si="147"/>
        <v>7350-27.5593032386403i</v>
      </c>
      <c r="R115" t="str">
        <f t="shared" si="100"/>
        <v>0.303467911771838-47.227411719549i</v>
      </c>
      <c r="S115" t="str">
        <f t="shared" si="148"/>
        <v>112.579013038291-106103.198018697i</v>
      </c>
      <c r="T115" t="str">
        <f t="shared" si="101"/>
        <v>0.303220223700635-47.2064003644312i</v>
      </c>
      <c r="U115" t="str">
        <f t="shared" si="102"/>
        <v>0.0663900414937759-0.24896265560166i</v>
      </c>
      <c r="V115">
        <f t="shared" si="149"/>
        <v>-38.298773711390098</v>
      </c>
      <c r="W115">
        <f t="shared" si="150"/>
        <v>-164.7005949538117</v>
      </c>
      <c r="X115">
        <f t="shared" si="103"/>
        <v>-11.778970599189426</v>
      </c>
      <c r="Y115">
        <f t="shared" si="151"/>
        <v>-75.068598439440919</v>
      </c>
      <c r="AA115" s="123">
        <f t="shared" si="104"/>
        <v>-10.330164043850912</v>
      </c>
      <c r="AB115" s="123">
        <f t="shared" si="105"/>
        <v>-135.18065495605939</v>
      </c>
      <c r="AC115">
        <f t="shared" si="106"/>
        <v>-61.805156768682963</v>
      </c>
      <c r="AD115">
        <f t="shared" si="107"/>
        <v>-235.21747572479501</v>
      </c>
      <c r="AE115" s="123">
        <f t="shared" si="108"/>
        <v>-72.135320812533877</v>
      </c>
      <c r="AF115" s="123">
        <f t="shared" si="109"/>
        <v>-370.39813068085436</v>
      </c>
      <c r="AI115" s="123">
        <f t="shared" si="110"/>
        <v>0</v>
      </c>
      <c r="AJ115" s="123">
        <f t="shared" si="111"/>
        <v>0</v>
      </c>
      <c r="AK115" s="123">
        <f t="shared" si="112"/>
        <v>0</v>
      </c>
      <c r="AL115" s="123">
        <f t="shared" si="113"/>
        <v>0</v>
      </c>
      <c r="AM115" s="123">
        <f t="shared" si="114"/>
        <v>0</v>
      </c>
      <c r="AN115" s="123">
        <f t="shared" si="115"/>
        <v>0</v>
      </c>
      <c r="AO115" s="123">
        <f t="shared" si="116"/>
        <v>0</v>
      </c>
      <c r="AP115" s="123"/>
      <c r="AQ115" s="123">
        <f t="shared" si="117"/>
        <v>0</v>
      </c>
      <c r="AR115" s="123">
        <f t="shared" si="118"/>
        <v>0</v>
      </c>
      <c r="AS115" s="123">
        <f t="shared" si="119"/>
        <v>0</v>
      </c>
      <c r="AW115" t="str">
        <f t="shared" si="152"/>
        <v>8000</v>
      </c>
      <c r="AX115" t="str">
        <f t="shared" si="153"/>
        <v>3952-25.4139682559917i</v>
      </c>
      <c r="AY115" t="str">
        <f t="shared" si="120"/>
        <v>2645.27186765451-11.3859513700548i</v>
      </c>
      <c r="AZ115">
        <f t="shared" si="154"/>
        <v>-5.5299133619614773</v>
      </c>
      <c r="BA115">
        <f t="shared" si="155"/>
        <v>-0.24661475224987656</v>
      </c>
      <c r="BB115">
        <f t="shared" si="156"/>
        <v>-2.3123761353354797E-5</v>
      </c>
      <c r="BC115">
        <f t="shared" si="157"/>
        <v>4.2948621704687599E-2</v>
      </c>
      <c r="BD115" s="123">
        <f t="shared" si="121"/>
        <v>-22.26684908725575</v>
      </c>
      <c r="BE115" s="123">
        <f t="shared" si="122"/>
        <v>-134.99423277916242</v>
      </c>
      <c r="BF115">
        <f t="shared" si="123"/>
        <v>-43.828687073351574</v>
      </c>
      <c r="BG115">
        <f t="shared" si="124"/>
        <v>-164.94720970606159</v>
      </c>
      <c r="BH115" s="123">
        <f t="shared" si="125"/>
        <v>-66.095536160607324</v>
      </c>
      <c r="BI115" s="123">
        <f t="shared" si="126"/>
        <v>-299.941442485224</v>
      </c>
      <c r="BL115" s="123">
        <f t="shared" si="127"/>
        <v>0</v>
      </c>
      <c r="BM115" s="123">
        <f t="shared" si="128"/>
        <v>0</v>
      </c>
      <c r="BN115" s="123">
        <f t="shared" si="129"/>
        <v>0</v>
      </c>
      <c r="BO115" s="123">
        <f t="shared" si="130"/>
        <v>0</v>
      </c>
      <c r="BP115" s="123">
        <f t="shared" si="131"/>
        <v>0</v>
      </c>
      <c r="BQ115" s="123">
        <f t="shared" si="132"/>
        <v>0</v>
      </c>
      <c r="BR115" s="123">
        <f t="shared" si="133"/>
        <v>0</v>
      </c>
      <c r="BS115" s="123"/>
      <c r="BT115" s="123">
        <f t="shared" si="134"/>
        <v>0</v>
      </c>
      <c r="BU115" s="123">
        <f t="shared" si="135"/>
        <v>0</v>
      </c>
      <c r="BV115" s="123">
        <f t="shared" si="136"/>
        <v>0</v>
      </c>
      <c r="BX115" s="123">
        <f t="shared" si="137"/>
        <v>0</v>
      </c>
      <c r="BY115" s="123"/>
    </row>
    <row r="116" spans="5:77" x14ac:dyDescent="0.25">
      <c r="E116">
        <v>105</v>
      </c>
      <c r="F116">
        <v>800000</v>
      </c>
      <c r="G116" s="58">
        <f t="shared" si="138"/>
        <v>-23.178077834392941</v>
      </c>
      <c r="H116" s="58">
        <f t="shared" si="139"/>
        <v>-137.25892711787802</v>
      </c>
      <c r="I116">
        <f t="shared" si="140"/>
        <v>11.936648280981796</v>
      </c>
      <c r="J116">
        <f t="shared" si="141"/>
        <v>-0.13450690326968043</v>
      </c>
      <c r="K116" t="str">
        <f t="shared" si="142"/>
        <v>2465.12271675191-9293.29176715926i</v>
      </c>
      <c r="L116" t="str">
        <f t="shared" si="143"/>
        <v>100000000-198943.720253935i</v>
      </c>
      <c r="M116" t="str">
        <f t="shared" si="144"/>
        <v>149775.337881028-0.446281754851416i</v>
      </c>
      <c r="N116">
        <f t="shared" si="99"/>
        <v>-24.008058298318979</v>
      </c>
      <c r="O116">
        <f t="shared" si="145"/>
        <v>-71.650592577421449</v>
      </c>
      <c r="P116" t="str">
        <f t="shared" si="146"/>
        <v>-44.2785934239784i</v>
      </c>
      <c r="Q116" t="str">
        <f t="shared" si="147"/>
        <v>7350-25.8368467862253i</v>
      </c>
      <c r="R116" t="str">
        <f t="shared" si="100"/>
        <v>0.266723188187256-44.2760490139438i</v>
      </c>
      <c r="S116" t="str">
        <f t="shared" si="148"/>
        <v>98.9464116671692-99471.7617031313i</v>
      </c>
      <c r="T116" t="str">
        <f t="shared" si="101"/>
        <v>0.266505489149371-44.2563504907921i</v>
      </c>
      <c r="U116" t="str">
        <f t="shared" si="102"/>
        <v>0.0588235294117647-0.235294117647059i</v>
      </c>
      <c r="V116">
        <f t="shared" si="149"/>
        <v>-39.384819772101388</v>
      </c>
      <c r="W116">
        <f t="shared" si="150"/>
        <v>-165.61876807031084</v>
      </c>
      <c r="X116">
        <f t="shared" si="103"/>
        <v>-12.304489213782734</v>
      </c>
      <c r="Y116">
        <f t="shared" si="151"/>
        <v>-75.963772335887626</v>
      </c>
      <c r="AA116" s="123">
        <f t="shared" si="104"/>
        <v>-11.241429553411145</v>
      </c>
      <c r="AB116" s="123">
        <f t="shared" si="105"/>
        <v>-137.3934340211477</v>
      </c>
      <c r="AC116">
        <f t="shared" si="106"/>
        <v>-63.392878070420366</v>
      </c>
      <c r="AD116">
        <f t="shared" si="107"/>
        <v>-237.2693606477323</v>
      </c>
      <c r="AE116" s="123">
        <f t="shared" si="108"/>
        <v>-74.634307623831518</v>
      </c>
      <c r="AF116" s="123">
        <f t="shared" si="109"/>
        <v>-374.66279466888</v>
      </c>
      <c r="AI116" s="123">
        <f t="shared" si="110"/>
        <v>0</v>
      </c>
      <c r="AJ116" s="123">
        <f t="shared" si="111"/>
        <v>0</v>
      </c>
      <c r="AK116" s="123">
        <f t="shared" si="112"/>
        <v>0</v>
      </c>
      <c r="AL116" s="123">
        <f t="shared" si="113"/>
        <v>0</v>
      </c>
      <c r="AM116" s="123">
        <f t="shared" si="114"/>
        <v>0</v>
      </c>
      <c r="AN116" s="123">
        <f t="shared" si="115"/>
        <v>0</v>
      </c>
      <c r="AO116" s="123">
        <f t="shared" si="116"/>
        <v>0</v>
      </c>
      <c r="AP116" s="123"/>
      <c r="AQ116" s="123">
        <f t="shared" si="117"/>
        <v>0</v>
      </c>
      <c r="AR116" s="123">
        <f t="shared" si="118"/>
        <v>0</v>
      </c>
      <c r="AS116" s="123">
        <f t="shared" si="119"/>
        <v>0</v>
      </c>
      <c r="AW116" t="str">
        <f t="shared" si="152"/>
        <v>8000</v>
      </c>
      <c r="AX116" t="str">
        <f t="shared" si="153"/>
        <v>3952-23.8255952399922i</v>
      </c>
      <c r="AY116" t="str">
        <f t="shared" si="120"/>
        <v>2645.26893594304-10.6743352536173i</v>
      </c>
      <c r="AZ116">
        <f t="shared" si="154"/>
        <v>-5.5299327312470803</v>
      </c>
      <c r="BA116">
        <f t="shared" si="155"/>
        <v>-0.23120188594509386</v>
      </c>
      <c r="BB116">
        <f t="shared" si="156"/>
        <v>-2.0323649811019678E-5</v>
      </c>
      <c r="BC116">
        <f t="shared" si="157"/>
        <v>4.0264394576104603E-2</v>
      </c>
      <c r="BD116" s="123">
        <f t="shared" si="121"/>
        <v>-23.178098158042751</v>
      </c>
      <c r="BE116" s="123">
        <f t="shared" si="122"/>
        <v>-137.21866272330192</v>
      </c>
      <c r="BF116">
        <f t="shared" si="123"/>
        <v>-44.914752503348467</v>
      </c>
      <c r="BG116">
        <f t="shared" si="124"/>
        <v>-165.84996995625593</v>
      </c>
      <c r="BH116" s="123">
        <f t="shared" si="125"/>
        <v>-68.092850661391225</v>
      </c>
      <c r="BI116" s="123">
        <f t="shared" si="126"/>
        <v>-303.06863267955782</v>
      </c>
      <c r="BL116" s="123">
        <f t="shared" si="127"/>
        <v>0</v>
      </c>
      <c r="BM116" s="123">
        <f t="shared" si="128"/>
        <v>0</v>
      </c>
      <c r="BN116" s="123">
        <f t="shared" si="129"/>
        <v>0</v>
      </c>
      <c r="BO116" s="123">
        <f t="shared" si="130"/>
        <v>0</v>
      </c>
      <c r="BP116" s="123">
        <f t="shared" si="131"/>
        <v>0</v>
      </c>
      <c r="BQ116" s="123">
        <f t="shared" si="132"/>
        <v>0</v>
      </c>
      <c r="BR116" s="123">
        <f t="shared" si="133"/>
        <v>0</v>
      </c>
      <c r="BS116" s="123"/>
      <c r="BT116" s="123">
        <f t="shared" si="134"/>
        <v>0</v>
      </c>
      <c r="BU116" s="123">
        <f t="shared" si="135"/>
        <v>0</v>
      </c>
      <c r="BV116" s="123">
        <f t="shared" si="136"/>
        <v>0</v>
      </c>
      <c r="BX116" s="123">
        <f t="shared" si="137"/>
        <v>0</v>
      </c>
      <c r="BY116" s="123"/>
    </row>
    <row r="117" spans="5:77" x14ac:dyDescent="0.25">
      <c r="E117">
        <v>106</v>
      </c>
      <c r="F117">
        <v>850000</v>
      </c>
      <c r="G117" s="58">
        <f t="shared" si="138"/>
        <v>-24.049871873882701</v>
      </c>
      <c r="H117" s="58">
        <f t="shared" si="139"/>
        <v>-139.28919764306025</v>
      </c>
      <c r="I117">
        <f t="shared" si="140"/>
        <v>11.936636977521619</v>
      </c>
      <c r="J117">
        <f t="shared" si="141"/>
        <v>-0.12659507981807164</v>
      </c>
      <c r="K117" t="str">
        <f t="shared" si="142"/>
        <v>2200.15302779425-8812.77851739007i</v>
      </c>
      <c r="L117" t="str">
        <f t="shared" si="143"/>
        <v>100000000-187241.148474292i</v>
      </c>
      <c r="M117" t="str">
        <f t="shared" si="144"/>
        <v>149775.337779799-0.420030076177119i</v>
      </c>
      <c r="N117">
        <f t="shared" si="99"/>
        <v>-24.4852101197773</v>
      </c>
      <c r="O117">
        <f t="shared" si="145"/>
        <v>-72.663466881161071</v>
      </c>
      <c r="P117" t="str">
        <f t="shared" si="146"/>
        <v>-41.6739702813914i</v>
      </c>
      <c r="Q117" t="str">
        <f t="shared" si="147"/>
        <v>7350-24.3170322693885i</v>
      </c>
      <c r="R117" t="str">
        <f t="shared" si="100"/>
        <v>0.236269362099183-41.6718489681837i</v>
      </c>
      <c r="S117" t="str">
        <f t="shared" si="148"/>
        <v>87.6480423830688-93620.4921805453i</v>
      </c>
      <c r="T117" t="str">
        <f t="shared" si="101"/>
        <v>0.236076518166283-41.6533088870403i</v>
      </c>
      <c r="U117" t="str">
        <f t="shared" si="102"/>
        <v>0.0524590163934426-0.222950819672131i</v>
      </c>
      <c r="V117">
        <f t="shared" si="149"/>
        <v>-40.40866892526256</v>
      </c>
      <c r="W117">
        <f t="shared" si="150"/>
        <v>-166.4347855674157</v>
      </c>
      <c r="X117">
        <f t="shared" si="103"/>
        <v>-12.801798566908616</v>
      </c>
      <c r="Y117">
        <f t="shared" si="151"/>
        <v>-76.759496054172502</v>
      </c>
      <c r="AA117" s="123">
        <f t="shared" si="104"/>
        <v>-12.113234896361082</v>
      </c>
      <c r="AB117" s="123">
        <f t="shared" si="105"/>
        <v>-139.41579272287831</v>
      </c>
      <c r="AC117">
        <f t="shared" si="106"/>
        <v>-64.893879045039853</v>
      </c>
      <c r="AD117">
        <f t="shared" si="107"/>
        <v>-239.09825244857677</v>
      </c>
      <c r="AE117" s="123">
        <f t="shared" si="108"/>
        <v>-77.007113941400931</v>
      </c>
      <c r="AF117" s="123">
        <f t="shared" si="109"/>
        <v>-378.51404517145511</v>
      </c>
      <c r="AI117" s="123">
        <f t="shared" si="110"/>
        <v>0</v>
      </c>
      <c r="AJ117" s="123">
        <f t="shared" si="111"/>
        <v>0</v>
      </c>
      <c r="AK117" s="123">
        <f t="shared" si="112"/>
        <v>0</v>
      </c>
      <c r="AL117" s="123">
        <f t="shared" si="113"/>
        <v>0</v>
      </c>
      <c r="AM117" s="123">
        <f t="shared" si="114"/>
        <v>0</v>
      </c>
      <c r="AN117" s="123">
        <f t="shared" si="115"/>
        <v>0</v>
      </c>
      <c r="AO117" s="123">
        <f t="shared" si="116"/>
        <v>0</v>
      </c>
      <c r="AP117" s="123"/>
      <c r="AQ117" s="123">
        <f t="shared" si="117"/>
        <v>0</v>
      </c>
      <c r="AR117" s="123">
        <f t="shared" si="118"/>
        <v>0</v>
      </c>
      <c r="AS117" s="123">
        <f t="shared" si="119"/>
        <v>0</v>
      </c>
      <c r="AW117" t="str">
        <f t="shared" si="152"/>
        <v>8000</v>
      </c>
      <c r="AX117" t="str">
        <f t="shared" si="153"/>
        <v>3952-22.4240896376397i</v>
      </c>
      <c r="AY117" t="str">
        <f t="shared" si="120"/>
        <v>2645.26650620987-10.0464377384891i</v>
      </c>
      <c r="AZ117">
        <f t="shared" si="154"/>
        <v>-5.5299487841186217</v>
      </c>
      <c r="BA117">
        <f t="shared" si="155"/>
        <v>-0.21760220847741515</v>
      </c>
      <c r="BB117">
        <f t="shared" si="156"/>
        <v>-1.8002979276238785E-5</v>
      </c>
      <c r="BC117">
        <f t="shared" si="157"/>
        <v>3.7895948926938663E-2</v>
      </c>
      <c r="BD117" s="123">
        <f t="shared" si="121"/>
        <v>-24.049889876861979</v>
      </c>
      <c r="BE117" s="123">
        <f t="shared" si="122"/>
        <v>-139.2513016941333</v>
      </c>
      <c r="BF117">
        <f t="shared" si="123"/>
        <v>-45.938617709381184</v>
      </c>
      <c r="BG117">
        <f t="shared" si="124"/>
        <v>-166.65238777589312</v>
      </c>
      <c r="BH117" s="123">
        <f t="shared" si="125"/>
        <v>-69.988507586243159</v>
      </c>
      <c r="BI117" s="123">
        <f t="shared" si="126"/>
        <v>-305.90368947002639</v>
      </c>
      <c r="BL117" s="123">
        <f t="shared" si="127"/>
        <v>0</v>
      </c>
      <c r="BM117" s="123">
        <f t="shared" si="128"/>
        <v>0</v>
      </c>
      <c r="BN117" s="123">
        <f t="shared" si="129"/>
        <v>0</v>
      </c>
      <c r="BO117" s="123">
        <f t="shared" si="130"/>
        <v>0</v>
      </c>
      <c r="BP117" s="123">
        <f t="shared" si="131"/>
        <v>0</v>
      </c>
      <c r="BQ117" s="123">
        <f t="shared" si="132"/>
        <v>0</v>
      </c>
      <c r="BR117" s="123">
        <f t="shared" si="133"/>
        <v>0</v>
      </c>
      <c r="BS117" s="123"/>
      <c r="BT117" s="123">
        <f t="shared" si="134"/>
        <v>0</v>
      </c>
      <c r="BU117" s="123">
        <f t="shared" si="135"/>
        <v>0</v>
      </c>
      <c r="BV117" s="123">
        <f t="shared" si="136"/>
        <v>0</v>
      </c>
      <c r="BX117" s="123">
        <f t="shared" si="137"/>
        <v>0</v>
      </c>
      <c r="BY117" s="123"/>
    </row>
    <row r="118" spans="5:77" x14ac:dyDescent="0.25">
      <c r="E118">
        <v>107</v>
      </c>
      <c r="F118">
        <v>900000</v>
      </c>
      <c r="G118" s="58">
        <f t="shared" si="138"/>
        <v>-24.88522527360319</v>
      </c>
      <c r="H118" s="58">
        <f t="shared" si="139"/>
        <v>-141.14997636619825</v>
      </c>
      <c r="I118">
        <f t="shared" si="140"/>
        <v>11.936627505062487</v>
      </c>
      <c r="J118">
        <f t="shared" si="141"/>
        <v>-0.11956229472443626</v>
      </c>
      <c r="K118" t="str">
        <f t="shared" si="142"/>
        <v>1974.99950441181-8376.26756813654i</v>
      </c>
      <c r="L118" t="str">
        <f t="shared" si="143"/>
        <v>100000000-176838.862447942i</v>
      </c>
      <c r="M118" t="str">
        <f t="shared" si="144"/>
        <v>149775.337694969-0.396695221733779i</v>
      </c>
      <c r="N118">
        <f t="shared" si="99"/>
        <v>-24.939823858774677</v>
      </c>
      <c r="O118">
        <f t="shared" si="145"/>
        <v>-73.573302365786247</v>
      </c>
      <c r="P118" t="str">
        <f t="shared" si="146"/>
        <v>-39.358749710203i</v>
      </c>
      <c r="Q118" t="str">
        <f t="shared" si="147"/>
        <v>7350-22.9660860322003i</v>
      </c>
      <c r="R118" t="str">
        <f t="shared" si="100"/>
        <v>0.210748272226505-39.356962655584i</v>
      </c>
      <c r="S118" t="str">
        <f t="shared" si="148"/>
        <v>78.1798970586947-88419.3620977508i</v>
      </c>
      <c r="T118" t="str">
        <f t="shared" si="101"/>
        <v>0.210576257761083-39.3394523457421i</v>
      </c>
      <c r="U118" t="str">
        <f t="shared" si="102"/>
        <v>0.0470588235294118-0.211764705882353i</v>
      </c>
      <c r="V118">
        <f t="shared" si="149"/>
        <v>-41.376898715427757</v>
      </c>
      <c r="W118">
        <f t="shared" si="150"/>
        <v>-167.1645370947405</v>
      </c>
      <c r="X118">
        <f t="shared" si="103"/>
        <v>-13.273589343863302</v>
      </c>
      <c r="Y118">
        <f t="shared" si="151"/>
        <v>-77.471208408275743</v>
      </c>
      <c r="AA118" s="123">
        <f t="shared" si="104"/>
        <v>-12.948597768540703</v>
      </c>
      <c r="AB118" s="123">
        <f t="shared" si="105"/>
        <v>-141.26953866092268</v>
      </c>
      <c r="AC118">
        <f t="shared" si="106"/>
        <v>-66.31672257420243</v>
      </c>
      <c r="AD118">
        <f t="shared" si="107"/>
        <v>-240.73783946052674</v>
      </c>
      <c r="AE118" s="123">
        <f t="shared" si="108"/>
        <v>-79.265320342743138</v>
      </c>
      <c r="AF118" s="123">
        <f t="shared" si="109"/>
        <v>-382.00737812144939</v>
      </c>
      <c r="AI118" s="123">
        <f t="shared" si="110"/>
        <v>0</v>
      </c>
      <c r="AJ118" s="123">
        <f t="shared" si="111"/>
        <v>0</v>
      </c>
      <c r="AK118" s="123">
        <f t="shared" si="112"/>
        <v>0</v>
      </c>
      <c r="AL118" s="123">
        <f t="shared" si="113"/>
        <v>0</v>
      </c>
      <c r="AM118" s="123">
        <f t="shared" si="114"/>
        <v>0</v>
      </c>
      <c r="AN118" s="123">
        <f t="shared" si="115"/>
        <v>0</v>
      </c>
      <c r="AO118" s="123">
        <f t="shared" si="116"/>
        <v>0</v>
      </c>
      <c r="AP118" s="123"/>
      <c r="AQ118" s="123">
        <f t="shared" si="117"/>
        <v>0</v>
      </c>
      <c r="AR118" s="123">
        <f t="shared" si="118"/>
        <v>0</v>
      </c>
      <c r="AS118" s="123">
        <f t="shared" si="119"/>
        <v>0</v>
      </c>
      <c r="AW118" t="str">
        <f t="shared" si="152"/>
        <v>8000</v>
      </c>
      <c r="AX118" t="str">
        <f t="shared" si="153"/>
        <v>3952-21.1783068799931i</v>
      </c>
      <c r="AY118" t="str">
        <f t="shared" si="120"/>
        <v>2645.26447006815-9.48830591650765i</v>
      </c>
      <c r="AZ118">
        <f t="shared" si="154"/>
        <v>-5.5299622366380063</v>
      </c>
      <c r="BA118">
        <f t="shared" si="155"/>
        <v>-0.20551353996857613</v>
      </c>
      <c r="BB118">
        <f t="shared" si="156"/>
        <v>-1.6058230211295645E-5</v>
      </c>
      <c r="BC118">
        <f t="shared" si="157"/>
        <v>3.5790656539128114E-2</v>
      </c>
      <c r="BD118" s="123">
        <f t="shared" si="121"/>
        <v>-24.885241331833402</v>
      </c>
      <c r="BE118" s="123">
        <f t="shared" si="122"/>
        <v>-141.11418570965913</v>
      </c>
      <c r="BF118">
        <f t="shared" si="123"/>
        <v>-46.906860952065763</v>
      </c>
      <c r="BG118">
        <f t="shared" si="124"/>
        <v>-167.37005063470906</v>
      </c>
      <c r="BH118" s="123">
        <f t="shared" si="125"/>
        <v>-71.792102283899169</v>
      </c>
      <c r="BI118" s="123">
        <f t="shared" si="126"/>
        <v>-308.48423634436818</v>
      </c>
      <c r="BL118" s="123">
        <f t="shared" si="127"/>
        <v>0</v>
      </c>
      <c r="BM118" s="123">
        <f t="shared" si="128"/>
        <v>0</v>
      </c>
      <c r="BN118" s="123">
        <f t="shared" si="129"/>
        <v>0</v>
      </c>
      <c r="BO118" s="123">
        <f t="shared" si="130"/>
        <v>0</v>
      </c>
      <c r="BP118" s="123">
        <f t="shared" si="131"/>
        <v>0</v>
      </c>
      <c r="BQ118" s="123">
        <f t="shared" si="132"/>
        <v>0</v>
      </c>
      <c r="BR118" s="123">
        <f t="shared" si="133"/>
        <v>0</v>
      </c>
      <c r="BS118" s="123"/>
      <c r="BT118" s="123">
        <f t="shared" si="134"/>
        <v>0</v>
      </c>
      <c r="BU118" s="123">
        <f t="shared" si="135"/>
        <v>0</v>
      </c>
      <c r="BV118" s="123">
        <f t="shared" si="136"/>
        <v>0</v>
      </c>
      <c r="BX118" s="123">
        <f t="shared" si="137"/>
        <v>0</v>
      </c>
      <c r="BY118" s="123"/>
    </row>
    <row r="119" spans="5:77" x14ac:dyDescent="0.25">
      <c r="E119">
        <v>108</v>
      </c>
      <c r="F119">
        <v>950000</v>
      </c>
      <c r="G119" s="58">
        <f t="shared" si="138"/>
        <v>-25.686815996076323</v>
      </c>
      <c r="H119" s="58">
        <f t="shared" si="139"/>
        <v>-142.86019418609479</v>
      </c>
      <c r="I119">
        <f t="shared" si="140"/>
        <v>11.936619488485366</v>
      </c>
      <c r="J119">
        <f t="shared" si="141"/>
        <v>-0.11326976277175883</v>
      </c>
      <c r="K119" t="str">
        <f t="shared" si="142"/>
        <v>1782.19596796178-7978.4789484179i</v>
      </c>
      <c r="L119" t="str">
        <f t="shared" si="143"/>
        <v>100000000-167531.55389805i</v>
      </c>
      <c r="M119" t="str">
        <f t="shared" si="144"/>
        <v>149775.337623177-0.375816645947439i</v>
      </c>
      <c r="N119">
        <f t="shared" si="99"/>
        <v>-25.373703467857673</v>
      </c>
      <c r="O119">
        <f t="shared" si="145"/>
        <v>-74.394664723576469</v>
      </c>
      <c r="P119" t="str">
        <f t="shared" si="146"/>
        <v>-37.2872365675608i</v>
      </c>
      <c r="Q119" t="str">
        <f t="shared" si="147"/>
        <v>7350-21.7573446620845i</v>
      </c>
      <c r="R119" t="str">
        <f t="shared" si="100"/>
        <v>0.189149427648523-37.2857170779356i</v>
      </c>
      <c r="S119" t="str">
        <f t="shared" si="148"/>
        <v>70.1670046446184-83765.7181730886i</v>
      </c>
      <c r="T119" t="str">
        <f t="shared" si="101"/>
        <v>0.188995041622075-37.269128176369i</v>
      </c>
      <c r="U119" t="str">
        <f t="shared" si="102"/>
        <v>0.0424403183023873-0.20159151193634i</v>
      </c>
      <c r="V119">
        <f t="shared" si="149"/>
        <v>-42.295117322552748</v>
      </c>
      <c r="W119">
        <f t="shared" si="150"/>
        <v>-167.82082740521261</v>
      </c>
      <c r="X119">
        <f t="shared" si="103"/>
        <v>-13.72221367549866</v>
      </c>
      <c r="Y119">
        <f t="shared" si="151"/>
        <v>-78.111358210978679</v>
      </c>
      <c r="AA119" s="123">
        <f t="shared" si="104"/>
        <v>-13.750196507590957</v>
      </c>
      <c r="AB119" s="123">
        <f t="shared" si="105"/>
        <v>-142.97346394886654</v>
      </c>
      <c r="AC119">
        <f t="shared" si="106"/>
        <v>-67.668820790410422</v>
      </c>
      <c r="AD119">
        <f t="shared" si="107"/>
        <v>-242.21549212878909</v>
      </c>
      <c r="AE119" s="123">
        <f t="shared" si="108"/>
        <v>-81.419017298001378</v>
      </c>
      <c r="AF119" s="123">
        <f t="shared" si="109"/>
        <v>-385.18895607765563</v>
      </c>
      <c r="AI119" s="123">
        <f t="shared" si="110"/>
        <v>0</v>
      </c>
      <c r="AJ119" s="123">
        <f t="shared" si="111"/>
        <v>0</v>
      </c>
      <c r="AK119" s="123">
        <f t="shared" si="112"/>
        <v>0</v>
      </c>
      <c r="AL119" s="123">
        <f t="shared" si="113"/>
        <v>0</v>
      </c>
      <c r="AM119" s="123">
        <f t="shared" si="114"/>
        <v>0</v>
      </c>
      <c r="AN119" s="123">
        <f t="shared" si="115"/>
        <v>0</v>
      </c>
      <c r="AO119" s="123">
        <f t="shared" si="116"/>
        <v>0</v>
      </c>
      <c r="AP119" s="123"/>
      <c r="AQ119" s="123">
        <f t="shared" si="117"/>
        <v>0</v>
      </c>
      <c r="AR119" s="123">
        <f t="shared" si="118"/>
        <v>0</v>
      </c>
      <c r="AS119" s="123">
        <f t="shared" si="119"/>
        <v>0</v>
      </c>
      <c r="AW119" t="str">
        <f t="shared" si="152"/>
        <v>8000</v>
      </c>
      <c r="AX119" t="str">
        <f t="shared" si="153"/>
        <v>3952-20.0636591494671i</v>
      </c>
      <c r="AY119" t="str">
        <f t="shared" si="120"/>
        <v>2645.26274688027-8.98892428727812i</v>
      </c>
      <c r="AZ119">
        <f t="shared" si="154"/>
        <v>-5.5299736215452207</v>
      </c>
      <c r="BA119">
        <f t="shared" si="155"/>
        <v>-0.19469731292772735</v>
      </c>
      <c r="BB119">
        <f t="shared" si="156"/>
        <v>-1.4412385849241914E-5</v>
      </c>
      <c r="BC119">
        <f t="shared" si="157"/>
        <v>3.3906968327464294E-2</v>
      </c>
      <c r="BD119" s="123">
        <f t="shared" si="121"/>
        <v>-25.686830408462171</v>
      </c>
      <c r="BE119" s="123">
        <f t="shared" si="122"/>
        <v>-142.82628721776732</v>
      </c>
      <c r="BF119">
        <f t="shared" si="123"/>
        <v>-47.825090944097965</v>
      </c>
      <c r="BG119">
        <f t="shared" si="124"/>
        <v>-168.01552471814034</v>
      </c>
      <c r="BH119" s="123">
        <f t="shared" si="125"/>
        <v>-73.511921352560137</v>
      </c>
      <c r="BI119" s="123">
        <f t="shared" si="126"/>
        <v>-310.84181193590769</v>
      </c>
      <c r="BL119" s="123">
        <f t="shared" si="127"/>
        <v>0</v>
      </c>
      <c r="BM119" s="123">
        <f t="shared" si="128"/>
        <v>0</v>
      </c>
      <c r="BN119" s="123">
        <f t="shared" si="129"/>
        <v>0</v>
      </c>
      <c r="BO119" s="123">
        <f t="shared" si="130"/>
        <v>0</v>
      </c>
      <c r="BP119" s="123">
        <f t="shared" si="131"/>
        <v>0</v>
      </c>
      <c r="BQ119" s="123">
        <f t="shared" si="132"/>
        <v>0</v>
      </c>
      <c r="BR119" s="123">
        <f t="shared" si="133"/>
        <v>0</v>
      </c>
      <c r="BS119" s="123"/>
      <c r="BT119" s="123">
        <f t="shared" si="134"/>
        <v>0</v>
      </c>
      <c r="BU119" s="123">
        <f t="shared" si="135"/>
        <v>0</v>
      </c>
      <c r="BV119" s="123">
        <f t="shared" si="136"/>
        <v>0</v>
      </c>
      <c r="BX119" s="123">
        <f t="shared" si="137"/>
        <v>0</v>
      </c>
      <c r="BY119" s="123"/>
    </row>
    <row r="120" spans="5:77" x14ac:dyDescent="0.25">
      <c r="E120">
        <v>109</v>
      </c>
      <c r="F120">
        <v>1000000</v>
      </c>
      <c r="G120" s="58">
        <f t="shared" si="138"/>
        <v>-26.457039975793791</v>
      </c>
      <c r="H120" s="58">
        <f t="shared" si="139"/>
        <v>-144.43622785223064</v>
      </c>
      <c r="I120">
        <f t="shared" si="140"/>
        <v>11.936612644036179</v>
      </c>
      <c r="J120">
        <f t="shared" si="141"/>
        <v>-0.10760645340011828</v>
      </c>
      <c r="K120" t="str">
        <f t="shared" si="142"/>
        <v>1615.91956294253-7614.83995737563i</v>
      </c>
      <c r="L120" t="str">
        <f t="shared" si="143"/>
        <v>100000000-159154.976203148i</v>
      </c>
      <c r="M120" t="str">
        <f t="shared" si="144"/>
        <v>149775.337561882-0.357025911058048i</v>
      </c>
      <c r="N120">
        <f t="shared" si="99"/>
        <v>-25.788480629716407</v>
      </c>
      <c r="O120">
        <f t="shared" si="145"/>
        <v>-75.139566981414333</v>
      </c>
      <c r="P120" t="str">
        <f t="shared" si="146"/>
        <v>-35.4228747391827i</v>
      </c>
      <c r="Q120" t="str">
        <f t="shared" si="147"/>
        <v>7350-20.6694774289803i</v>
      </c>
      <c r="R120" t="str">
        <f t="shared" si="100"/>
        <v>0.170708432484195-35.4215719585687i</v>
      </c>
      <c r="S120" t="str">
        <f t="shared" si="148"/>
        <v>63.3257260240604-79577.4377085519i</v>
      </c>
      <c r="T120" t="str">
        <f t="shared" si="101"/>
        <v>0.170569097667876-35.4058123504193i</v>
      </c>
      <c r="U120" t="str">
        <f t="shared" si="102"/>
        <v>0.0384615384615385-0.192307692307692i</v>
      </c>
      <c r="V120">
        <f t="shared" si="149"/>
        <v>-43.168141420937189</v>
      </c>
      <c r="W120">
        <f t="shared" si="150"/>
        <v>-168.41407969727231</v>
      </c>
      <c r="X120">
        <f t="shared" si="103"/>
        <v>-14.149733479708193</v>
      </c>
      <c r="Y120">
        <f t="shared" si="151"/>
        <v>-78.690083896986863</v>
      </c>
      <c r="AA120" s="123">
        <f t="shared" si="104"/>
        <v>-14.520427331757611</v>
      </c>
      <c r="AB120" s="123">
        <f t="shared" si="105"/>
        <v>-144.54383430563075</v>
      </c>
      <c r="AC120">
        <f t="shared" si="106"/>
        <v>-68.956622050653593</v>
      </c>
      <c r="AD120">
        <f t="shared" si="107"/>
        <v>-243.55364667868665</v>
      </c>
      <c r="AE120" s="123">
        <f t="shared" si="108"/>
        <v>-83.477049382411209</v>
      </c>
      <c r="AF120" s="123">
        <f t="shared" si="109"/>
        <v>-388.09748098431737</v>
      </c>
      <c r="AI120" s="123">
        <f t="shared" si="110"/>
        <v>0</v>
      </c>
      <c r="AJ120" s="123">
        <f t="shared" si="111"/>
        <v>0</v>
      </c>
      <c r="AK120" s="123">
        <f t="shared" si="112"/>
        <v>0</v>
      </c>
      <c r="AL120" s="123">
        <f t="shared" si="113"/>
        <v>0</v>
      </c>
      <c r="AM120" s="123">
        <f t="shared" si="114"/>
        <v>0</v>
      </c>
      <c r="AN120" s="123">
        <f t="shared" si="115"/>
        <v>0</v>
      </c>
      <c r="AO120" s="123">
        <f t="shared" si="116"/>
        <v>0</v>
      </c>
      <c r="AP120" s="123"/>
      <c r="AQ120" s="123">
        <f t="shared" si="117"/>
        <v>0</v>
      </c>
      <c r="AR120" s="123">
        <f t="shared" si="118"/>
        <v>0</v>
      </c>
      <c r="AS120" s="123">
        <f t="shared" si="119"/>
        <v>0</v>
      </c>
      <c r="AW120" t="str">
        <f t="shared" si="152"/>
        <v>8000</v>
      </c>
      <c r="AX120" t="str">
        <f t="shared" si="153"/>
        <v>3952-19.0604761919938i</v>
      </c>
      <c r="AY120" t="str">
        <f t="shared" si="120"/>
        <v>2645.26127564953-8.53948041916239i</v>
      </c>
      <c r="AZ120">
        <f t="shared" si="154"/>
        <v>-5.5299833418237787</v>
      </c>
      <c r="BA120">
        <f t="shared" si="155"/>
        <v>-0.1849626703840144</v>
      </c>
      <c r="BB120">
        <f t="shared" si="156"/>
        <v>-1.3007188364648377E-5</v>
      </c>
      <c r="BC120">
        <f t="shared" si="157"/>
        <v>3.2211644692956717E-2</v>
      </c>
      <c r="BD120" s="123">
        <f t="shared" si="121"/>
        <v>-26.457052982982155</v>
      </c>
      <c r="BE120" s="123">
        <f t="shared" si="122"/>
        <v>-144.40401620753769</v>
      </c>
      <c r="BF120">
        <f t="shared" si="123"/>
        <v>-48.698124762760969</v>
      </c>
      <c r="BG120">
        <f t="shared" si="124"/>
        <v>-168.59904236765632</v>
      </c>
      <c r="BH120" s="123">
        <f t="shared" si="125"/>
        <v>-75.155177745743117</v>
      </c>
      <c r="BI120" s="123">
        <f t="shared" si="126"/>
        <v>-313.00305857519402</v>
      </c>
      <c r="BL120" s="123">
        <f t="shared" si="127"/>
        <v>0</v>
      </c>
      <c r="BM120" s="123">
        <f t="shared" si="128"/>
        <v>0</v>
      </c>
      <c r="BN120" s="123">
        <f t="shared" si="129"/>
        <v>0</v>
      </c>
      <c r="BO120" s="123">
        <f t="shared" si="130"/>
        <v>0</v>
      </c>
      <c r="BP120" s="123">
        <f t="shared" si="131"/>
        <v>0</v>
      </c>
      <c r="BQ120" s="123">
        <f t="shared" si="132"/>
        <v>0</v>
      </c>
      <c r="BR120" s="123">
        <f t="shared" si="133"/>
        <v>0</v>
      </c>
      <c r="BS120" s="123"/>
      <c r="BT120" s="123">
        <f t="shared" si="134"/>
        <v>0</v>
      </c>
      <c r="BU120" s="123">
        <f t="shared" si="135"/>
        <v>0</v>
      </c>
      <c r="BV120" s="123">
        <f t="shared" si="136"/>
        <v>0</v>
      </c>
      <c r="BX120" s="123">
        <f t="shared" si="137"/>
        <v>0</v>
      </c>
      <c r="BY120" s="123"/>
    </row>
    <row r="121" spans="5:77" x14ac:dyDescent="0.25">
      <c r="E121">
        <v>110</v>
      </c>
      <c r="F121">
        <v>1500000</v>
      </c>
      <c r="G121" s="58">
        <f t="shared" si="138"/>
        <v>-32.824151733011206</v>
      </c>
      <c r="H121" s="58">
        <f t="shared" si="139"/>
        <v>-155.21925320941048</v>
      </c>
      <c r="I121">
        <f t="shared" si="140"/>
        <v>11.936577446424558</v>
      </c>
      <c r="J121">
        <f t="shared" si="141"/>
        <v>-7.173824847354901E-2</v>
      </c>
      <c r="K121" t="str">
        <f t="shared" si="142"/>
        <v>735.801221883777-5201.07127258568i</v>
      </c>
      <c r="L121" t="str">
        <f t="shared" si="143"/>
        <v>100000000-106103.317468765i</v>
      </c>
      <c r="M121" t="str">
        <f t="shared" si="144"/>
        <v>149775.337246675-0.23801760798347i</v>
      </c>
      <c r="N121">
        <f t="shared" si="99"/>
        <v>-29.148638472928997</v>
      </c>
      <c r="O121">
        <f t="shared" si="145"/>
        <v>-79.968536900953623</v>
      </c>
      <c r="P121" t="str">
        <f t="shared" si="146"/>
        <v>-23.6152498261218i</v>
      </c>
      <c r="Q121" t="str">
        <f t="shared" si="147"/>
        <v>7350-13.7796516193202i</v>
      </c>
      <c r="R121" t="str">
        <f t="shared" si="100"/>
        <v>0.0758728692669306-23.6148638045614i</v>
      </c>
      <c r="S121" t="str">
        <f t="shared" si="148"/>
        <v>28.1447770234071-53051.6438031116i</v>
      </c>
      <c r="T121" t="str">
        <f t="shared" si="101"/>
        <v>0.0758109394192438-23.6043568791592i</v>
      </c>
      <c r="U121" t="str">
        <f t="shared" si="102"/>
        <v>0.0174672489082969-0.131004366812227i</v>
      </c>
      <c r="V121">
        <f t="shared" si="149"/>
        <v>-50.117866667728492</v>
      </c>
      <c r="W121">
        <f t="shared" si="150"/>
        <v>-172.22137423268805</v>
      </c>
      <c r="X121">
        <f t="shared" si="103"/>
        <v>-17.577754910119261</v>
      </c>
      <c r="Y121">
        <f t="shared" si="151"/>
        <v>-82.405373775359777</v>
      </c>
      <c r="AA121" s="123">
        <f t="shared" si="104"/>
        <v>-20.887574286586648</v>
      </c>
      <c r="AB121" s="123">
        <f t="shared" si="105"/>
        <v>-155.29099145788402</v>
      </c>
      <c r="AC121">
        <f t="shared" si="106"/>
        <v>-79.266505140657486</v>
      </c>
      <c r="AD121">
        <f t="shared" si="107"/>
        <v>-252.18991113364166</v>
      </c>
      <c r="AE121" s="123">
        <f t="shared" si="108"/>
        <v>-100.15407942724414</v>
      </c>
      <c r="AF121" s="123">
        <f t="shared" si="109"/>
        <v>-407.48090259152571</v>
      </c>
      <c r="AI121" s="123">
        <f t="shared" si="110"/>
        <v>0</v>
      </c>
      <c r="AJ121" s="123">
        <f t="shared" si="111"/>
        <v>0</v>
      </c>
      <c r="AK121" s="123">
        <f t="shared" si="112"/>
        <v>0</v>
      </c>
      <c r="AL121" s="123">
        <f t="shared" si="113"/>
        <v>0</v>
      </c>
      <c r="AM121" s="123">
        <f t="shared" si="114"/>
        <v>0</v>
      </c>
      <c r="AN121" s="123">
        <f t="shared" si="115"/>
        <v>0</v>
      </c>
      <c r="AO121" s="123">
        <f t="shared" si="116"/>
        <v>0</v>
      </c>
      <c r="AP121" s="123"/>
      <c r="AQ121" s="123">
        <f t="shared" si="117"/>
        <v>0</v>
      </c>
      <c r="AR121" s="123">
        <f t="shared" si="118"/>
        <v>0</v>
      </c>
      <c r="AS121" s="123">
        <f t="shared" si="119"/>
        <v>0</v>
      </c>
      <c r="AW121" t="str">
        <f t="shared" si="152"/>
        <v>8000</v>
      </c>
      <c r="AX121" t="str">
        <f t="shared" si="153"/>
        <v>3952-12.7069841279958i</v>
      </c>
      <c r="AY121" t="str">
        <f t="shared" si="120"/>
        <v>2645.25370990604-5.69299498976472i</v>
      </c>
      <c r="AZ121">
        <f t="shared" si="154"/>
        <v>-5.5300333282995693</v>
      </c>
      <c r="BA121">
        <f t="shared" si="155"/>
        <v>-0.12330921179291074</v>
      </c>
      <c r="BB121">
        <f t="shared" si="156"/>
        <v>-5.7809956314274731E-6</v>
      </c>
      <c r="BC121">
        <f t="shared" si="157"/>
        <v>2.1474514755380553E-2</v>
      </c>
      <c r="BD121" s="123">
        <f t="shared" si="121"/>
        <v>-32.824157514006835</v>
      </c>
      <c r="BE121" s="123">
        <f t="shared" si="122"/>
        <v>-155.19777869465511</v>
      </c>
      <c r="BF121">
        <f t="shared" si="123"/>
        <v>-55.647899996028059</v>
      </c>
      <c r="BG121">
        <f t="shared" si="124"/>
        <v>-172.34468344448095</v>
      </c>
      <c r="BH121" s="123">
        <f t="shared" si="125"/>
        <v>-88.472057510034887</v>
      </c>
      <c r="BI121" s="123">
        <f t="shared" si="126"/>
        <v>-327.54246213913609</v>
      </c>
      <c r="BL121" s="123">
        <f t="shared" si="127"/>
        <v>0</v>
      </c>
      <c r="BM121" s="123">
        <f t="shared" si="128"/>
        <v>0</v>
      </c>
      <c r="BN121" s="123">
        <f t="shared" si="129"/>
        <v>0</v>
      </c>
      <c r="BO121" s="123">
        <f t="shared" si="130"/>
        <v>0</v>
      </c>
      <c r="BP121" s="123">
        <f t="shared" si="131"/>
        <v>0</v>
      </c>
      <c r="BQ121" s="123">
        <f t="shared" si="132"/>
        <v>0</v>
      </c>
      <c r="BR121" s="123">
        <f t="shared" si="133"/>
        <v>0</v>
      </c>
      <c r="BS121" s="123"/>
      <c r="BT121" s="123">
        <f t="shared" si="134"/>
        <v>0</v>
      </c>
      <c r="BU121" s="123">
        <f t="shared" si="135"/>
        <v>0</v>
      </c>
      <c r="BV121" s="123">
        <f t="shared" si="136"/>
        <v>0</v>
      </c>
      <c r="BX121" s="123">
        <f t="shared" si="137"/>
        <v>0</v>
      </c>
      <c r="BY121" s="123"/>
    </row>
    <row r="122" spans="5:77" x14ac:dyDescent="0.25">
      <c r="E122">
        <v>111</v>
      </c>
      <c r="F122">
        <v>2000000</v>
      </c>
      <c r="G122" s="58">
        <f t="shared" si="138"/>
        <v>-37.559381448817383</v>
      </c>
      <c r="H122" s="58">
        <f t="shared" si="139"/>
        <v>-161.09507061278705</v>
      </c>
      <c r="I122">
        <f t="shared" si="140"/>
        <v>11.936565127112985</v>
      </c>
      <c r="J122">
        <f t="shared" si="141"/>
        <v>-5.380384723644277E-2</v>
      </c>
      <c r="K122" t="str">
        <f t="shared" si="142"/>
        <v>417.47191130476-3934.57925033923i</v>
      </c>
      <c r="L122" t="str">
        <f t="shared" si="143"/>
        <v>100000000-79577.488101574i</v>
      </c>
      <c r="M122" t="str">
        <f t="shared" si="144"/>
        <v>149775.337136352-0.178513293647783i</v>
      </c>
      <c r="N122">
        <f t="shared" si="99"/>
        <v>-31.589377222851226</v>
      </c>
      <c r="O122">
        <f t="shared" si="145"/>
        <v>-82.442711240302842</v>
      </c>
      <c r="P122" t="str">
        <f t="shared" si="146"/>
        <v>-17.7114373695914i</v>
      </c>
      <c r="Q122" t="str">
        <f t="shared" si="147"/>
        <v>7350-10.3347387144901i</v>
      </c>
      <c r="R122" t="str">
        <f t="shared" si="100"/>
        <v>0.0426789722783193-17.7112745149014i</v>
      </c>
      <c r="S122" t="str">
        <f t="shared" si="148"/>
        <v>15.8314390250454-39788.7377516562i</v>
      </c>
      <c r="T122" t="str">
        <f t="shared" si="101"/>
        <v>0.0426441360966213-17.703394184349i</v>
      </c>
      <c r="U122" t="str">
        <f t="shared" si="102"/>
        <v>0.0099009900990099-0.099009900990099i</v>
      </c>
      <c r="V122">
        <f t="shared" si="149"/>
        <v>-55.082057748891714</v>
      </c>
      <c r="W122">
        <f t="shared" si="150"/>
        <v>-174.15142863903611</v>
      </c>
      <c r="X122">
        <f t="shared" si="103"/>
        <v>-20.043213737826427</v>
      </c>
      <c r="Y122">
        <f t="shared" si="151"/>
        <v>-84.289424398417182</v>
      </c>
      <c r="AA122" s="123">
        <f t="shared" si="104"/>
        <v>-25.622816321704398</v>
      </c>
      <c r="AB122" s="123">
        <f t="shared" si="105"/>
        <v>-161.14887446002351</v>
      </c>
      <c r="AC122">
        <f t="shared" si="106"/>
        <v>-86.67143497174294</v>
      </c>
      <c r="AD122">
        <f t="shared" si="107"/>
        <v>-256.59413987933897</v>
      </c>
      <c r="AE122" s="123">
        <f t="shared" si="108"/>
        <v>-112.29425129344733</v>
      </c>
      <c r="AF122" s="123">
        <f t="shared" si="109"/>
        <v>-417.7430143393625</v>
      </c>
      <c r="AI122" s="123">
        <f t="shared" si="110"/>
        <v>0</v>
      </c>
      <c r="AJ122" s="123">
        <f t="shared" si="111"/>
        <v>0</v>
      </c>
      <c r="AK122" s="123">
        <f t="shared" si="112"/>
        <v>0</v>
      </c>
      <c r="AL122" s="123">
        <f t="shared" si="113"/>
        <v>0</v>
      </c>
      <c r="AM122" s="123">
        <f t="shared" si="114"/>
        <v>0</v>
      </c>
      <c r="AN122" s="123">
        <f t="shared" si="115"/>
        <v>0</v>
      </c>
      <c r="AO122" s="123">
        <f t="shared" si="116"/>
        <v>0</v>
      </c>
      <c r="AP122" s="123"/>
      <c r="AQ122" s="123">
        <f t="shared" si="117"/>
        <v>0</v>
      </c>
      <c r="AR122" s="123">
        <f t="shared" si="118"/>
        <v>0</v>
      </c>
      <c r="AS122" s="123">
        <f t="shared" si="119"/>
        <v>0</v>
      </c>
      <c r="AW122" t="str">
        <f t="shared" si="152"/>
        <v>8000</v>
      </c>
      <c r="AX122" t="str">
        <f t="shared" si="153"/>
        <v>3952-9.53023809599688i</v>
      </c>
      <c r="AY122" t="str">
        <f t="shared" si="120"/>
        <v>2645.25106189076-4.26974835378743i</v>
      </c>
      <c r="AZ122">
        <f t="shared" si="154"/>
        <v>-5.530050823735416</v>
      </c>
      <c r="BA122">
        <f t="shared" si="155"/>
        <v>-9.2482109625293143E-2</v>
      </c>
      <c r="BB122">
        <f t="shared" si="156"/>
        <v>-3.2518145981509795E-6</v>
      </c>
      <c r="BC122">
        <f t="shared" si="157"/>
        <v>1.6105908368676491E-2</v>
      </c>
      <c r="BD122" s="123">
        <f t="shared" si="121"/>
        <v>-37.559384700631981</v>
      </c>
      <c r="BE122" s="123">
        <f t="shared" si="122"/>
        <v>-161.07896470441838</v>
      </c>
      <c r="BF122">
        <f t="shared" si="123"/>
        <v>-60.612108572627129</v>
      </c>
      <c r="BG122">
        <f t="shared" si="124"/>
        <v>-174.24391074866139</v>
      </c>
      <c r="BH122" s="123">
        <f t="shared" si="125"/>
        <v>-98.171493273259102</v>
      </c>
      <c r="BI122" s="123">
        <f t="shared" si="126"/>
        <v>-335.32287545307975</v>
      </c>
      <c r="BL122" s="123">
        <f t="shared" si="127"/>
        <v>0</v>
      </c>
      <c r="BM122" s="123">
        <f t="shared" si="128"/>
        <v>0</v>
      </c>
      <c r="BN122" s="123">
        <f t="shared" si="129"/>
        <v>0</v>
      </c>
      <c r="BO122" s="123">
        <f t="shared" si="130"/>
        <v>0</v>
      </c>
      <c r="BP122" s="123">
        <f t="shared" si="131"/>
        <v>0</v>
      </c>
      <c r="BQ122" s="123">
        <f t="shared" si="132"/>
        <v>0</v>
      </c>
      <c r="BR122" s="123">
        <f t="shared" si="133"/>
        <v>0</v>
      </c>
      <c r="BS122" s="123"/>
      <c r="BT122" s="123">
        <f t="shared" si="134"/>
        <v>0</v>
      </c>
      <c r="BU122" s="123">
        <f t="shared" si="135"/>
        <v>0</v>
      </c>
      <c r="BV122" s="123">
        <f t="shared" si="136"/>
        <v>0</v>
      </c>
      <c r="BX122" s="123">
        <f t="shared" si="137"/>
        <v>0</v>
      </c>
      <c r="BY122" s="123"/>
    </row>
    <row r="123" spans="5:77" x14ac:dyDescent="0.25">
      <c r="E123">
        <v>112</v>
      </c>
      <c r="F123">
        <v>2500000</v>
      </c>
      <c r="G123" s="58">
        <f t="shared" si="138"/>
        <v>-41.309105993652707</v>
      </c>
      <c r="H123" s="58">
        <f t="shared" si="139"/>
        <v>-164.75144932834738</v>
      </c>
      <c r="I123">
        <f t="shared" si="140"/>
        <v>11.936559425005724</v>
      </c>
      <c r="J123">
        <f t="shared" si="141"/>
        <v>-4.3043137361474526E-2</v>
      </c>
      <c r="K123" t="str">
        <f t="shared" si="142"/>
        <v>268.257125457953-3160.32914730638i</v>
      </c>
      <c r="L123" t="str">
        <f t="shared" si="143"/>
        <v>100000000-63661.9904812592i</v>
      </c>
      <c r="M123" t="str">
        <f t="shared" si="144"/>
        <v>149775.337085288-0.142810667377707i</v>
      </c>
      <c r="N123">
        <f t="shared" si="99"/>
        <v>-33.50045028151817</v>
      </c>
      <c r="O123">
        <f t="shared" si="145"/>
        <v>-83.941547637484192</v>
      </c>
      <c r="P123" t="str">
        <f t="shared" si="146"/>
        <v>-14.1691498956731i</v>
      </c>
      <c r="Q123" t="str">
        <f t="shared" si="147"/>
        <v>7350-8.2677909715921i</v>
      </c>
      <c r="R123" t="str">
        <f t="shared" si="100"/>
        <v>0.0273146854324066-14.1690665136347i</v>
      </c>
      <c r="S123" t="str">
        <f t="shared" si="148"/>
        <v>10.1321215534909-31830.9920154745i</v>
      </c>
      <c r="T123" t="str">
        <f t="shared" si="101"/>
        <v>0.0272923900858262-14.1627621986474i</v>
      </c>
      <c r="U123" t="str">
        <f t="shared" si="102"/>
        <v>0.00635930047694754-0.0794912559618442i</v>
      </c>
      <c r="V123">
        <f t="shared" si="149"/>
        <v>-58.94293115064032</v>
      </c>
      <c r="W123">
        <f t="shared" si="150"/>
        <v>-175.3157033597096</v>
      </c>
      <c r="X123">
        <f t="shared" si="103"/>
        <v>-21.965906541173066</v>
      </c>
      <c r="Y123">
        <f t="shared" si="151"/>
        <v>-85.426096512493871</v>
      </c>
      <c r="AA123" s="123">
        <f t="shared" si="104"/>
        <v>-29.372546568646982</v>
      </c>
      <c r="AB123" s="123">
        <f t="shared" si="105"/>
        <v>-164.79449246570886</v>
      </c>
      <c r="AC123">
        <f t="shared" si="106"/>
        <v>-92.443381432158489</v>
      </c>
      <c r="AD123">
        <f t="shared" si="107"/>
        <v>-259.25725099719381</v>
      </c>
      <c r="AE123" s="123">
        <f t="shared" si="108"/>
        <v>-121.81592800080547</v>
      </c>
      <c r="AF123" s="123">
        <f t="shared" si="109"/>
        <v>-424.05174346290266</v>
      </c>
      <c r="AI123" s="123">
        <f t="shared" si="110"/>
        <v>0</v>
      </c>
      <c r="AJ123" s="123">
        <f t="shared" si="111"/>
        <v>0</v>
      </c>
      <c r="AK123" s="123">
        <f t="shared" si="112"/>
        <v>0</v>
      </c>
      <c r="AL123" s="123">
        <f t="shared" si="113"/>
        <v>0</v>
      </c>
      <c r="AM123" s="123">
        <f t="shared" si="114"/>
        <v>0</v>
      </c>
      <c r="AN123" s="123">
        <f t="shared" si="115"/>
        <v>0</v>
      </c>
      <c r="AO123" s="123">
        <f t="shared" si="116"/>
        <v>0</v>
      </c>
      <c r="AP123" s="123"/>
      <c r="AQ123" s="123">
        <f t="shared" si="117"/>
        <v>0</v>
      </c>
      <c r="AR123" s="123">
        <f t="shared" si="118"/>
        <v>0</v>
      </c>
      <c r="AS123" s="123">
        <f t="shared" si="119"/>
        <v>0</v>
      </c>
      <c r="AW123" t="str">
        <f t="shared" si="152"/>
        <v>8000</v>
      </c>
      <c r="AX123" t="str">
        <f t="shared" si="153"/>
        <v>3952-7.62419047679751i</v>
      </c>
      <c r="AY123" t="str">
        <f t="shared" si="120"/>
        <v>2645.24983623709-3.41579946487542i</v>
      </c>
      <c r="AZ123">
        <f t="shared" si="154"/>
        <v>-5.5300589216525697</v>
      </c>
      <c r="BA123">
        <f t="shared" si="155"/>
        <v>-7.3985762046730824E-2</v>
      </c>
      <c r="BB123">
        <f t="shared" si="156"/>
        <v>-2.0811626638359138E-6</v>
      </c>
      <c r="BC123">
        <f t="shared" si="157"/>
        <v>1.2884734953121774E-2</v>
      </c>
      <c r="BD123" s="123">
        <f t="shared" si="121"/>
        <v>-41.30910807481537</v>
      </c>
      <c r="BE123" s="123">
        <f t="shared" si="122"/>
        <v>-164.73856459339424</v>
      </c>
      <c r="BF123">
        <f t="shared" si="123"/>
        <v>-64.472990072292887</v>
      </c>
      <c r="BG123">
        <f t="shared" si="124"/>
        <v>-175.38968912175633</v>
      </c>
      <c r="BH123" s="123">
        <f t="shared" si="125"/>
        <v>-105.78209814710826</v>
      </c>
      <c r="BI123" s="123">
        <f t="shared" si="126"/>
        <v>-340.12825371515055</v>
      </c>
      <c r="BL123" s="123">
        <f t="shared" si="127"/>
        <v>0</v>
      </c>
      <c r="BM123" s="123">
        <f t="shared" si="128"/>
        <v>0</v>
      </c>
      <c r="BN123" s="123">
        <f t="shared" si="129"/>
        <v>0</v>
      </c>
      <c r="BO123" s="123">
        <f t="shared" si="130"/>
        <v>0</v>
      </c>
      <c r="BP123" s="123">
        <f t="shared" si="131"/>
        <v>0</v>
      </c>
      <c r="BQ123" s="123">
        <f t="shared" si="132"/>
        <v>0</v>
      </c>
      <c r="BR123" s="123">
        <f t="shared" si="133"/>
        <v>0</v>
      </c>
      <c r="BS123" s="123"/>
      <c r="BT123" s="123">
        <f t="shared" si="134"/>
        <v>0</v>
      </c>
      <c r="BU123" s="123">
        <f t="shared" si="135"/>
        <v>0</v>
      </c>
      <c r="BV123" s="123">
        <f t="shared" si="136"/>
        <v>0</v>
      </c>
      <c r="BX123" s="123">
        <f t="shared" si="137"/>
        <v>0</v>
      </c>
      <c r="BY123" s="123"/>
    </row>
    <row r="124" spans="5:77" x14ac:dyDescent="0.25">
      <c r="E124">
        <v>113</v>
      </c>
      <c r="F124">
        <v>3000000</v>
      </c>
      <c r="G124" s="58">
        <f t="shared" si="138"/>
        <v>-44.406050008128474</v>
      </c>
      <c r="H124" s="58">
        <f t="shared" si="139"/>
        <v>-167.23495893568682</v>
      </c>
      <c r="I124">
        <f t="shared" si="140"/>
        <v>11.936556327557897</v>
      </c>
      <c r="J124">
        <f t="shared" si="141"/>
        <v>-3.5869308101517831E-2</v>
      </c>
      <c r="K124" t="str">
        <f t="shared" si="142"/>
        <v>186.697754183975-2639.37676933054i</v>
      </c>
      <c r="L124" t="str">
        <f t="shared" si="143"/>
        <v>100000000-53051.6587343827i</v>
      </c>
      <c r="M124" t="str">
        <f t="shared" si="144"/>
        <v>149775.33705755-0.119008904174952i</v>
      </c>
      <c r="N124">
        <f t="shared" si="99"/>
        <v>-35.069268107532004</v>
      </c>
      <c r="O124">
        <f t="shared" si="145"/>
        <v>-84.945544517537328</v>
      </c>
      <c r="P124" t="str">
        <f t="shared" si="146"/>
        <v>-11.8076249130609i</v>
      </c>
      <c r="Q124" t="str">
        <f t="shared" si="147"/>
        <v>7350-6.88982580966008i</v>
      </c>
      <c r="R124" t="str">
        <f t="shared" si="100"/>
        <v>0.0189685855602223-11.8075766594291i</v>
      </c>
      <c r="S124" t="str">
        <f t="shared" si="148"/>
        <v>7.03619574109294-26525.827500782i</v>
      </c>
      <c r="T124" t="str">
        <f t="shared" si="101"/>
        <v>0.0189531026088673-11.8023230407254i</v>
      </c>
      <c r="U124" t="str">
        <f t="shared" si="102"/>
        <v>0.00442477876106195-0.0663716814159292i</v>
      </c>
      <c r="V124">
        <f t="shared" si="149"/>
        <v>-62.101723241382906</v>
      </c>
      <c r="W124">
        <f t="shared" si="150"/>
        <v>-176.09395179155132</v>
      </c>
      <c r="X124">
        <f t="shared" si="103"/>
        <v>-23.541084391474008</v>
      </c>
      <c r="Y124">
        <f t="shared" si="151"/>
        <v>-86.18594309618598</v>
      </c>
      <c r="AA124" s="123">
        <f t="shared" si="104"/>
        <v>-32.469493680570579</v>
      </c>
      <c r="AB124" s="123">
        <f t="shared" si="105"/>
        <v>-167.27082824378834</v>
      </c>
      <c r="AC124">
        <f t="shared" si="106"/>
        <v>-97.17099134891491</v>
      </c>
      <c r="AD124">
        <f t="shared" si="107"/>
        <v>-261.03949630908863</v>
      </c>
      <c r="AE124" s="123">
        <f t="shared" si="108"/>
        <v>-129.64048502948549</v>
      </c>
      <c r="AF124" s="123">
        <f t="shared" si="109"/>
        <v>-428.31032455287698</v>
      </c>
      <c r="AI124" s="123">
        <f t="shared" si="110"/>
        <v>0</v>
      </c>
      <c r="AJ124" s="123">
        <f t="shared" si="111"/>
        <v>0</v>
      </c>
      <c r="AK124" s="123">
        <f t="shared" si="112"/>
        <v>0</v>
      </c>
      <c r="AL124" s="123">
        <f t="shared" si="113"/>
        <v>0</v>
      </c>
      <c r="AM124" s="123">
        <f t="shared" si="114"/>
        <v>0</v>
      </c>
      <c r="AN124" s="123">
        <f t="shared" si="115"/>
        <v>0</v>
      </c>
      <c r="AO124" s="123">
        <f t="shared" si="116"/>
        <v>0</v>
      </c>
      <c r="AP124" s="123"/>
      <c r="AQ124" s="123">
        <f t="shared" si="117"/>
        <v>0</v>
      </c>
      <c r="AR124" s="123">
        <f t="shared" si="118"/>
        <v>0</v>
      </c>
      <c r="AS124" s="123">
        <f t="shared" si="119"/>
        <v>0</v>
      </c>
      <c r="AW124" t="str">
        <f t="shared" si="152"/>
        <v>8000</v>
      </c>
      <c r="AX124" t="str">
        <f t="shared" si="153"/>
        <v>3952-6.35349206399792i</v>
      </c>
      <c r="AY124" t="str">
        <f t="shared" si="120"/>
        <v>2645.24917044968-2.84649990798479i</v>
      </c>
      <c r="AZ124">
        <f t="shared" si="154"/>
        <v>-5.5300633205290195</v>
      </c>
      <c r="BA124">
        <f t="shared" si="155"/>
        <v>-6.1654835360468785E-2</v>
      </c>
      <c r="BB124">
        <f t="shared" si="156"/>
        <v>-1.4452523261024169E-6</v>
      </c>
      <c r="BC124">
        <f t="shared" si="157"/>
        <v>1.0737282865876645E-2</v>
      </c>
      <c r="BD124" s="123">
        <f t="shared" si="121"/>
        <v>-44.406051453380798</v>
      </c>
      <c r="BE124" s="123">
        <f t="shared" si="122"/>
        <v>-167.22422165282094</v>
      </c>
      <c r="BF124">
        <f t="shared" si="123"/>
        <v>-67.631786561911923</v>
      </c>
      <c r="BG124">
        <f t="shared" si="124"/>
        <v>-176.15560662691178</v>
      </c>
      <c r="BH124" s="123">
        <f t="shared" si="125"/>
        <v>-112.03783801529272</v>
      </c>
      <c r="BI124" s="123">
        <f t="shared" si="126"/>
        <v>-343.37982827973269</v>
      </c>
      <c r="BL124" s="123">
        <f t="shared" si="127"/>
        <v>0</v>
      </c>
      <c r="BM124" s="123">
        <f t="shared" si="128"/>
        <v>0</v>
      </c>
      <c r="BN124" s="123">
        <f t="shared" si="129"/>
        <v>0</v>
      </c>
      <c r="BO124" s="123">
        <f t="shared" si="130"/>
        <v>0</v>
      </c>
      <c r="BP124" s="123">
        <f t="shared" si="131"/>
        <v>0</v>
      </c>
      <c r="BQ124" s="123">
        <f t="shared" si="132"/>
        <v>0</v>
      </c>
      <c r="BR124" s="123">
        <f t="shared" si="133"/>
        <v>0</v>
      </c>
      <c r="BS124" s="123"/>
      <c r="BT124" s="123">
        <f t="shared" si="134"/>
        <v>0</v>
      </c>
      <c r="BU124" s="123">
        <f t="shared" si="135"/>
        <v>0</v>
      </c>
      <c r="BV124" s="123">
        <f t="shared" si="136"/>
        <v>0</v>
      </c>
      <c r="BX124" s="123">
        <f t="shared" si="137"/>
        <v>0</v>
      </c>
      <c r="BY124" s="123"/>
    </row>
    <row r="125" spans="5:77" x14ac:dyDescent="0.25">
      <c r="E125">
        <v>114</v>
      </c>
      <c r="F125">
        <v>3500000</v>
      </c>
      <c r="G125" s="58">
        <f t="shared" si="138"/>
        <v>-47.041002492349762</v>
      </c>
      <c r="H125" s="58">
        <f t="shared" si="139"/>
        <v>-169.02814770901111</v>
      </c>
      <c r="I125">
        <f t="shared" si="140"/>
        <v>11.936554459892184</v>
      </c>
      <c r="J125">
        <f t="shared" si="141"/>
        <v>-3.0745135167225348E-2</v>
      </c>
      <c r="K125" t="str">
        <f t="shared" si="142"/>
        <v>137.34711255255-2265.3150975955i</v>
      </c>
      <c r="L125" t="str">
        <f t="shared" si="143"/>
        <v>100000000-45472.8503437566i</v>
      </c>
      <c r="M125" t="str">
        <f t="shared" si="144"/>
        <v>149775.337040825-0.102007639744082i</v>
      </c>
      <c r="N125">
        <f t="shared" si="99"/>
        <v>-36.399251230107616</v>
      </c>
      <c r="O125">
        <f t="shared" si="145"/>
        <v>-85.664631592697589</v>
      </c>
      <c r="P125" t="str">
        <f t="shared" si="146"/>
        <v>-10.1208213540522i</v>
      </c>
      <c r="Q125" t="str">
        <f t="shared" si="147"/>
        <v>7350-5.90556497970864i</v>
      </c>
      <c r="R125" t="str">
        <f t="shared" si="100"/>
        <v>0.0139361276032612-10.1207909668733i</v>
      </c>
      <c r="S125" t="str">
        <f t="shared" si="148"/>
        <v>5.16945002873206-22736.4239965302i</v>
      </c>
      <c r="T125" t="str">
        <f t="shared" si="101"/>
        <v>0.0139247523418934-10.1162878533016i</v>
      </c>
      <c r="U125" t="str">
        <f t="shared" si="102"/>
        <v>0.0032546786004882-0.0569568755085435i</v>
      </c>
      <c r="V125">
        <f t="shared" si="149"/>
        <v>-64.774487118078255</v>
      </c>
      <c r="W125">
        <f t="shared" si="150"/>
        <v>-176.6506830376841</v>
      </c>
      <c r="X125">
        <f t="shared" si="103"/>
        <v>-24.874918915584921</v>
      </c>
      <c r="Y125">
        <f t="shared" si="151"/>
        <v>-86.729530120382833</v>
      </c>
      <c r="AA125" s="123">
        <f t="shared" si="104"/>
        <v>-35.104448032457576</v>
      </c>
      <c r="AB125" s="123">
        <f t="shared" si="105"/>
        <v>-169.05889284417833</v>
      </c>
      <c r="AC125">
        <f t="shared" si="106"/>
        <v>-101.17373834818588</v>
      </c>
      <c r="AD125">
        <f t="shared" si="107"/>
        <v>-262.31531463038169</v>
      </c>
      <c r="AE125" s="123">
        <f t="shared" si="108"/>
        <v>-136.27818638064346</v>
      </c>
      <c r="AF125" s="123">
        <f t="shared" si="109"/>
        <v>-431.37420747456002</v>
      </c>
      <c r="AI125" s="123">
        <f t="shared" si="110"/>
        <v>0</v>
      </c>
      <c r="AJ125" s="123">
        <f t="shared" si="111"/>
        <v>0</v>
      </c>
      <c r="AK125" s="123">
        <f t="shared" si="112"/>
        <v>0</v>
      </c>
      <c r="AL125" s="123">
        <f t="shared" si="113"/>
        <v>0</v>
      </c>
      <c r="AM125" s="123">
        <f t="shared" si="114"/>
        <v>0</v>
      </c>
      <c r="AN125" s="123">
        <f t="shared" si="115"/>
        <v>0</v>
      </c>
      <c r="AO125" s="123">
        <f t="shared" si="116"/>
        <v>0</v>
      </c>
      <c r="AP125" s="123"/>
      <c r="AQ125" s="123">
        <f t="shared" si="117"/>
        <v>0</v>
      </c>
      <c r="AR125" s="123">
        <f t="shared" si="118"/>
        <v>0</v>
      </c>
      <c r="AS125" s="123">
        <f t="shared" si="119"/>
        <v>0</v>
      </c>
      <c r="AW125" t="str">
        <f t="shared" si="152"/>
        <v>8000</v>
      </c>
      <c r="AX125" t="str">
        <f t="shared" si="153"/>
        <v>3952-5.44585034056965i</v>
      </c>
      <c r="AY125" t="str">
        <f t="shared" si="120"/>
        <v>2645.24876900079-2.43985724690452i</v>
      </c>
      <c r="AZ125">
        <f t="shared" si="154"/>
        <v>-5.5300659729154642</v>
      </c>
      <c r="BA125">
        <f t="shared" si="155"/>
        <v>-5.2847019131409323E-2</v>
      </c>
      <c r="BB125">
        <f t="shared" si="156"/>
        <v>-1.0618182600960911E-6</v>
      </c>
      <c r="BC125">
        <f t="shared" si="157"/>
        <v>9.2033872456626278E-3</v>
      </c>
      <c r="BD125" s="123">
        <f t="shared" si="121"/>
        <v>-47.041003554168022</v>
      </c>
      <c r="BE125" s="123">
        <f t="shared" si="122"/>
        <v>-169.01894432176545</v>
      </c>
      <c r="BF125">
        <f t="shared" si="123"/>
        <v>-70.304553090993721</v>
      </c>
      <c r="BG125">
        <f t="shared" si="124"/>
        <v>-176.70353005681551</v>
      </c>
      <c r="BH125" s="123">
        <f t="shared" si="125"/>
        <v>-117.34555664516174</v>
      </c>
      <c r="BI125" s="123">
        <f t="shared" si="126"/>
        <v>-345.72247437858096</v>
      </c>
      <c r="BL125" s="123">
        <f t="shared" si="127"/>
        <v>0</v>
      </c>
      <c r="BM125" s="123">
        <f t="shared" si="128"/>
        <v>0</v>
      </c>
      <c r="BN125" s="123">
        <f t="shared" si="129"/>
        <v>0</v>
      </c>
      <c r="BO125" s="123">
        <f t="shared" si="130"/>
        <v>0</v>
      </c>
      <c r="BP125" s="123">
        <f t="shared" si="131"/>
        <v>0</v>
      </c>
      <c r="BQ125" s="123">
        <f t="shared" si="132"/>
        <v>0</v>
      </c>
      <c r="BR125" s="123">
        <f t="shared" si="133"/>
        <v>0</v>
      </c>
      <c r="BS125" s="123"/>
      <c r="BT125" s="123">
        <f t="shared" si="134"/>
        <v>0</v>
      </c>
      <c r="BU125" s="123">
        <f t="shared" si="135"/>
        <v>0</v>
      </c>
      <c r="BV125" s="123">
        <f t="shared" si="136"/>
        <v>0</v>
      </c>
      <c r="BX125" s="123">
        <f t="shared" si="137"/>
        <v>0</v>
      </c>
      <c r="BY125" s="123"/>
    </row>
    <row r="126" spans="5:77" x14ac:dyDescent="0.25">
      <c r="E126">
        <v>115</v>
      </c>
      <c r="F126">
        <v>4000000</v>
      </c>
      <c r="G126" s="58">
        <f t="shared" si="138"/>
        <v>-49.332607569748461</v>
      </c>
      <c r="H126" s="58">
        <f t="shared" si="139"/>
        <v>-170.38220788660462</v>
      </c>
      <c r="I126">
        <f t="shared" si="140"/>
        <v>11.936553247704346</v>
      </c>
      <c r="J126">
        <f t="shared" si="141"/>
        <v>-2.6902001186472006E-2</v>
      </c>
      <c r="K126" t="str">
        <f t="shared" si="142"/>
        <v>105.246728887535-1983.8536889955i</v>
      </c>
      <c r="L126" t="str">
        <f t="shared" si="143"/>
        <v>100000000-39788.744050787i</v>
      </c>
      <c r="M126" t="str">
        <f t="shared" si="144"/>
        <v>149775.337029969-0.0892566890888364i</v>
      </c>
      <c r="N126">
        <f t="shared" si="99"/>
        <v>-37.553269650604236</v>
      </c>
      <c r="O126">
        <f t="shared" si="145"/>
        <v>-86.204858776846635</v>
      </c>
      <c r="P126" t="str">
        <f t="shared" si="146"/>
        <v>-8.85571868479568i</v>
      </c>
      <c r="Q126" t="str">
        <f t="shared" si="147"/>
        <v>7350-5.16736935724506i</v>
      </c>
      <c r="R126" t="str">
        <f t="shared" si="100"/>
        <v>0.0106698595857707-8.85569832773712i</v>
      </c>
      <c r="S126" t="str">
        <f t="shared" si="148"/>
        <v>3.95786022620101-19894.3712380021i</v>
      </c>
      <c r="T126" t="str">
        <f t="shared" si="101"/>
        <v>0.0106611503854834-8.851758096646i</v>
      </c>
      <c r="U126" t="str">
        <f t="shared" si="102"/>
        <v>0.00249376558603491-0.0498753117206982i</v>
      </c>
      <c r="V126">
        <f t="shared" si="149"/>
        <v>-67.090846688416391</v>
      </c>
      <c r="W126">
        <f t="shared" si="150"/>
        <v>-177.06862400694777</v>
      </c>
      <c r="X126">
        <f t="shared" si="103"/>
        <v>-26.031443726201829</v>
      </c>
      <c r="Y126">
        <f t="shared" si="151"/>
        <v>-87.137612902353865</v>
      </c>
      <c r="AA126" s="123">
        <f t="shared" si="104"/>
        <v>-37.396054322044115</v>
      </c>
      <c r="AB126" s="123">
        <f t="shared" si="105"/>
        <v>-170.40910988779109</v>
      </c>
      <c r="AC126">
        <f t="shared" si="106"/>
        <v>-104.64411633902063</v>
      </c>
      <c r="AD126">
        <f t="shared" si="107"/>
        <v>-263.27348278379441</v>
      </c>
      <c r="AE126" s="123">
        <f t="shared" si="108"/>
        <v>-142.04017066106474</v>
      </c>
      <c r="AF126" s="123">
        <f t="shared" si="109"/>
        <v>-433.6825926715855</v>
      </c>
      <c r="AI126" s="123">
        <f t="shared" si="110"/>
        <v>0</v>
      </c>
      <c r="AJ126" s="123">
        <f t="shared" si="111"/>
        <v>0</v>
      </c>
      <c r="AK126" s="123">
        <f t="shared" si="112"/>
        <v>0</v>
      </c>
      <c r="AL126" s="123">
        <f t="shared" si="113"/>
        <v>0</v>
      </c>
      <c r="AM126" s="123">
        <f t="shared" si="114"/>
        <v>0</v>
      </c>
      <c r="AN126" s="123">
        <f t="shared" si="115"/>
        <v>0</v>
      </c>
      <c r="AO126" s="123">
        <f t="shared" si="116"/>
        <v>0</v>
      </c>
      <c r="AP126" s="123"/>
      <c r="AQ126" s="123">
        <f t="shared" si="117"/>
        <v>0</v>
      </c>
      <c r="AR126" s="123">
        <f t="shared" si="118"/>
        <v>0</v>
      </c>
      <c r="AS126" s="123">
        <f t="shared" si="119"/>
        <v>0</v>
      </c>
      <c r="AW126" t="str">
        <f t="shared" si="152"/>
        <v>8000</v>
      </c>
      <c r="AX126" t="str">
        <f t="shared" si="153"/>
        <v>3952-4.76511904799844i</v>
      </c>
      <c r="AY126" t="str">
        <f t="shared" si="120"/>
        <v>2645.24850844498-2.13487519492192i</v>
      </c>
      <c r="AZ126">
        <f t="shared" si="154"/>
        <v>-5.5300676944173848</v>
      </c>
      <c r="BA126">
        <f t="shared" si="155"/>
        <v>-4.6241151618116212E-2</v>
      </c>
      <c r="BB126">
        <f t="shared" si="156"/>
        <v>-8.1295476661067255E-7</v>
      </c>
      <c r="BC126">
        <f t="shared" si="157"/>
        <v>8.0529649371853928E-3</v>
      </c>
      <c r="BD126" s="123">
        <f t="shared" si="121"/>
        <v>-49.332608382703228</v>
      </c>
      <c r="BE126" s="123">
        <f t="shared" si="122"/>
        <v>-170.37415492166744</v>
      </c>
      <c r="BF126">
        <f t="shared" si="123"/>
        <v>-72.620914382833774</v>
      </c>
      <c r="BG126">
        <f t="shared" si="124"/>
        <v>-177.11486515856589</v>
      </c>
      <c r="BH126" s="123">
        <f t="shared" si="125"/>
        <v>-121.953522765537</v>
      </c>
      <c r="BI126" s="123">
        <f t="shared" si="126"/>
        <v>-347.48902008023333</v>
      </c>
      <c r="BL126" s="123">
        <f t="shared" si="127"/>
        <v>0</v>
      </c>
      <c r="BM126" s="123">
        <f t="shared" si="128"/>
        <v>0</v>
      </c>
      <c r="BN126" s="123">
        <f t="shared" si="129"/>
        <v>0</v>
      </c>
      <c r="BO126" s="123">
        <f t="shared" si="130"/>
        <v>0</v>
      </c>
      <c r="BP126" s="123">
        <f t="shared" si="131"/>
        <v>0</v>
      </c>
      <c r="BQ126" s="123">
        <f t="shared" si="132"/>
        <v>0</v>
      </c>
      <c r="BR126" s="123">
        <f t="shared" si="133"/>
        <v>0</v>
      </c>
      <c r="BS126" s="123"/>
      <c r="BT126" s="123">
        <f t="shared" si="134"/>
        <v>0</v>
      </c>
      <c r="BU126" s="123">
        <f t="shared" si="135"/>
        <v>0</v>
      </c>
      <c r="BV126" s="123">
        <f t="shared" si="136"/>
        <v>0</v>
      </c>
      <c r="BX126" s="123">
        <f t="shared" si="137"/>
        <v>0</v>
      </c>
      <c r="BY126" s="123"/>
    </row>
    <row r="127" spans="5:77" x14ac:dyDescent="0.25">
      <c r="E127">
        <v>116</v>
      </c>
      <c r="F127">
        <v>4500000</v>
      </c>
      <c r="G127" s="58">
        <f t="shared" si="138"/>
        <v>-51.359361964876484</v>
      </c>
      <c r="H127" s="58">
        <f t="shared" si="139"/>
        <v>-171.44016812786589</v>
      </c>
      <c r="I127">
        <f t="shared" si="140"/>
        <v>11.936552416631987</v>
      </c>
      <c r="J127">
        <f t="shared" si="141"/>
        <v>-2.3912894767177981E-2</v>
      </c>
      <c r="K127" t="str">
        <f t="shared" si="142"/>
        <v>83.2069210490616-1764.46483320846i</v>
      </c>
      <c r="L127" t="str">
        <f t="shared" si="143"/>
        <v>100000000-35367.7724895884i</v>
      </c>
      <c r="M127" t="str">
        <f t="shared" si="144"/>
        <v>149775.337022527-0.0793392818183466i</v>
      </c>
      <c r="N127">
        <f t="shared" si="99"/>
        <v>-38.572325058612932</v>
      </c>
      <c r="O127">
        <f t="shared" si="145"/>
        <v>-86.625508110857183</v>
      </c>
      <c r="P127" t="str">
        <f t="shared" si="146"/>
        <v>-7.8717499420406i</v>
      </c>
      <c r="Q127" t="str">
        <f t="shared" si="147"/>
        <v>7350-4.59321720644006i</v>
      </c>
      <c r="R127" t="str">
        <f t="shared" si="100"/>
        <v>0.00843051278001343-7.87173564461681i</v>
      </c>
      <c r="S127" t="str">
        <f t="shared" si="148"/>
        <v>3.12719822939452-17683.885691784i</v>
      </c>
      <c r="T127" t="str">
        <f t="shared" si="101"/>
        <v>0.00842363142801622-7.86823321288744i</v>
      </c>
      <c r="U127" t="str">
        <f t="shared" si="102"/>
        <v>0.0019714144898965-0.0443568260226713i</v>
      </c>
      <c r="V127">
        <f t="shared" si="149"/>
        <v>-69.134671102533588</v>
      </c>
      <c r="W127">
        <f t="shared" si="150"/>
        <v>-177.39389240909787</v>
      </c>
      <c r="X127">
        <f t="shared" si="103"/>
        <v>-27.052220557053829</v>
      </c>
      <c r="Y127">
        <f t="shared" si="151"/>
        <v>-87.4552138147275</v>
      </c>
      <c r="AA127" s="123">
        <f t="shared" si="104"/>
        <v>-39.422809548244501</v>
      </c>
      <c r="AB127" s="123">
        <f t="shared" si="105"/>
        <v>-171.46408102263305</v>
      </c>
      <c r="AC127">
        <f t="shared" si="106"/>
        <v>-107.70699616114652</v>
      </c>
      <c r="AD127">
        <f t="shared" si="107"/>
        <v>-264.01940051995507</v>
      </c>
      <c r="AE127" s="123">
        <f t="shared" si="108"/>
        <v>-147.12980570939101</v>
      </c>
      <c r="AF127" s="123">
        <f t="shared" si="109"/>
        <v>-435.48348154258815</v>
      </c>
      <c r="AI127" s="123">
        <f t="shared" si="110"/>
        <v>0</v>
      </c>
      <c r="AJ127" s="123">
        <f t="shared" si="111"/>
        <v>0</v>
      </c>
      <c r="AK127" s="123">
        <f t="shared" si="112"/>
        <v>0</v>
      </c>
      <c r="AL127" s="123">
        <f t="shared" si="113"/>
        <v>0</v>
      </c>
      <c r="AM127" s="123">
        <f t="shared" si="114"/>
        <v>0</v>
      </c>
      <c r="AN127" s="123">
        <f t="shared" si="115"/>
        <v>0</v>
      </c>
      <c r="AO127" s="123">
        <f t="shared" si="116"/>
        <v>0</v>
      </c>
      <c r="AP127" s="123"/>
      <c r="AQ127" s="123">
        <f t="shared" si="117"/>
        <v>0</v>
      </c>
      <c r="AR127" s="123">
        <f t="shared" si="118"/>
        <v>0</v>
      </c>
      <c r="AS127" s="123">
        <f t="shared" si="119"/>
        <v>0</v>
      </c>
      <c r="AW127" t="str">
        <f t="shared" si="152"/>
        <v>8000</v>
      </c>
      <c r="AX127" t="str">
        <f t="shared" si="153"/>
        <v>3952-4.23566137599861i</v>
      </c>
      <c r="AY127" t="str">
        <f t="shared" si="120"/>
        <v>2645.24832980877-1.89766690323737i</v>
      </c>
      <c r="AZ127">
        <f t="shared" si="154"/>
        <v>-5.5300688746738933</v>
      </c>
      <c r="BA127">
        <f t="shared" si="155"/>
        <v>-4.1103251902697709E-2</v>
      </c>
      <c r="BB127">
        <f t="shared" si="156"/>
        <v>-6.4233466876822844E-7</v>
      </c>
      <c r="BC127">
        <f t="shared" si="157"/>
        <v>7.1581917239498492E-3</v>
      </c>
      <c r="BD127" s="123">
        <f t="shared" si="121"/>
        <v>-51.359362607211153</v>
      </c>
      <c r="BE127" s="123">
        <f t="shared" si="122"/>
        <v>-171.43300993614193</v>
      </c>
      <c r="BF127">
        <f t="shared" si="123"/>
        <v>-74.664739977207475</v>
      </c>
      <c r="BG127">
        <f t="shared" si="124"/>
        <v>-177.43499566100058</v>
      </c>
      <c r="BH127" s="123">
        <f t="shared" si="125"/>
        <v>-126.02410258441863</v>
      </c>
      <c r="BI127" s="123">
        <f t="shared" si="126"/>
        <v>-348.86800559714254</v>
      </c>
      <c r="BL127" s="123">
        <f t="shared" si="127"/>
        <v>0</v>
      </c>
      <c r="BM127" s="123">
        <f t="shared" si="128"/>
        <v>0</v>
      </c>
      <c r="BN127" s="123">
        <f t="shared" si="129"/>
        <v>0</v>
      </c>
      <c r="BO127" s="123">
        <f t="shared" si="130"/>
        <v>0</v>
      </c>
      <c r="BP127" s="123">
        <f t="shared" si="131"/>
        <v>0</v>
      </c>
      <c r="BQ127" s="123">
        <f t="shared" si="132"/>
        <v>0</v>
      </c>
      <c r="BR127" s="123">
        <f t="shared" si="133"/>
        <v>0</v>
      </c>
      <c r="BS127" s="123"/>
      <c r="BT127" s="123">
        <f t="shared" si="134"/>
        <v>0</v>
      </c>
      <c r="BU127" s="123">
        <f t="shared" si="135"/>
        <v>0</v>
      </c>
      <c r="BV127" s="123">
        <f t="shared" si="136"/>
        <v>0</v>
      </c>
      <c r="BX127" s="123">
        <f t="shared" si="137"/>
        <v>0</v>
      </c>
      <c r="BY127" s="123"/>
    </row>
    <row r="128" spans="5:77" x14ac:dyDescent="0.25">
      <c r="E128">
        <v>117</v>
      </c>
      <c r="F128">
        <v>5000000</v>
      </c>
      <c r="G128" s="58">
        <f t="shared" si="138"/>
        <v>-53.175772843592391</v>
      </c>
      <c r="H128" s="58">
        <f t="shared" si="139"/>
        <v>-172.2892441152481</v>
      </c>
      <c r="I128">
        <f t="shared" si="140"/>
        <v>11.936551822170561</v>
      </c>
      <c r="J128">
        <f t="shared" si="141"/>
        <v>-2.1521608395755357E-2</v>
      </c>
      <c r="K128" t="str">
        <f t="shared" si="142"/>
        <v>67.4260316330265-1588.68811177547i</v>
      </c>
      <c r="L128" t="str">
        <f t="shared" si="143"/>
        <v>100000000-31830.9952406296i</v>
      </c>
      <c r="M128" t="str">
        <f t="shared" si="144"/>
        <v>149775.337017203-0.0714053553285117i</v>
      </c>
      <c r="N128">
        <f t="shared" si="99"/>
        <v>-39.484614984355744</v>
      </c>
      <c r="O128">
        <f t="shared" si="145"/>
        <v>-86.962292176873206</v>
      </c>
      <c r="P128" t="str">
        <f t="shared" si="146"/>
        <v>-7.08457494783654i</v>
      </c>
      <c r="Q128" t="str">
        <f t="shared" si="147"/>
        <v>7350-4.13389548579605i</v>
      </c>
      <c r="R128" t="str">
        <f t="shared" si="100"/>
        <v>0.00682871908344619-7.08456452500891i</v>
      </c>
      <c r="S128" t="str">
        <f t="shared" si="148"/>
        <v>2.53303058086002-15915.4972171704i</v>
      </c>
      <c r="T128" t="str">
        <f t="shared" si="101"/>
        <v>0.00682314518336868-7.08141233381763i</v>
      </c>
      <c r="U128" t="str">
        <f t="shared" si="102"/>
        <v>0.00159744408945687-0.0399361022364217i</v>
      </c>
      <c r="V128">
        <f t="shared" si="149"/>
        <v>-70.963341638990244</v>
      </c>
      <c r="W128">
        <f t="shared" si="150"/>
        <v>-177.65422079699567</v>
      </c>
      <c r="X128">
        <f t="shared" si="103"/>
        <v>-27.965743332104299</v>
      </c>
      <c r="Y128">
        <f t="shared" si="151"/>
        <v>-87.709408204785703</v>
      </c>
      <c r="AA128" s="123">
        <f t="shared" si="104"/>
        <v>-41.239221021421827</v>
      </c>
      <c r="AB128" s="123">
        <f t="shared" si="105"/>
        <v>-172.31076572364384</v>
      </c>
      <c r="AC128">
        <f t="shared" si="106"/>
        <v>-110.44795662334599</v>
      </c>
      <c r="AD128">
        <f t="shared" si="107"/>
        <v>-264.61651297386891</v>
      </c>
      <c r="AE128" s="123">
        <f t="shared" si="108"/>
        <v>-151.68717764476781</v>
      </c>
      <c r="AF128" s="123">
        <f t="shared" si="109"/>
        <v>-436.92727869751275</v>
      </c>
      <c r="AI128" s="123">
        <f t="shared" si="110"/>
        <v>0</v>
      </c>
      <c r="AJ128" s="123">
        <f t="shared" si="111"/>
        <v>0</v>
      </c>
      <c r="AK128" s="123">
        <f t="shared" si="112"/>
        <v>0</v>
      </c>
      <c r="AL128" s="123">
        <f t="shared" si="113"/>
        <v>0</v>
      </c>
      <c r="AM128" s="123">
        <f t="shared" si="114"/>
        <v>0</v>
      </c>
      <c r="AN128" s="123">
        <f t="shared" si="115"/>
        <v>0</v>
      </c>
      <c r="AO128" s="123">
        <f t="shared" si="116"/>
        <v>0</v>
      </c>
      <c r="AP128" s="123"/>
      <c r="AQ128" s="123">
        <f t="shared" si="117"/>
        <v>0</v>
      </c>
      <c r="AR128" s="123">
        <f t="shared" si="118"/>
        <v>0</v>
      </c>
      <c r="AS128" s="123">
        <f t="shared" si="119"/>
        <v>0</v>
      </c>
      <c r="AW128" t="str">
        <f t="shared" si="152"/>
        <v>8000</v>
      </c>
      <c r="AX128" t="str">
        <f t="shared" si="153"/>
        <v>3952-3.81209523839875i</v>
      </c>
      <c r="AY128" t="str">
        <f t="shared" si="120"/>
        <v>2645.24820203133-1.7079002536683i</v>
      </c>
      <c r="AZ128">
        <f t="shared" si="154"/>
        <v>-5.5300697189046826</v>
      </c>
      <c r="BA128">
        <f t="shared" si="155"/>
        <v>-3.6992930587846203E-2</v>
      </c>
      <c r="BB128">
        <f t="shared" si="156"/>
        <v>-5.2029110740114522E-7</v>
      </c>
      <c r="BC128">
        <f t="shared" si="157"/>
        <v>6.4423729820234166E-3</v>
      </c>
      <c r="BD128" s="123">
        <f t="shared" si="121"/>
        <v>-53.175773363883501</v>
      </c>
      <c r="BE128" s="123">
        <f t="shared" si="122"/>
        <v>-172.28280174226606</v>
      </c>
      <c r="BF128">
        <f t="shared" si="123"/>
        <v>-76.493411357894928</v>
      </c>
      <c r="BG128">
        <f t="shared" si="124"/>
        <v>-177.69121372758352</v>
      </c>
      <c r="BH128" s="123">
        <f t="shared" si="125"/>
        <v>-129.66918472177844</v>
      </c>
      <c r="BI128" s="123">
        <f t="shared" si="126"/>
        <v>-349.97401546984958</v>
      </c>
      <c r="BL128" s="123">
        <f t="shared" si="127"/>
        <v>0</v>
      </c>
      <c r="BM128" s="123">
        <f t="shared" si="128"/>
        <v>0</v>
      </c>
      <c r="BN128" s="123">
        <f t="shared" si="129"/>
        <v>0</v>
      </c>
      <c r="BO128" s="123">
        <f t="shared" si="130"/>
        <v>0</v>
      </c>
      <c r="BP128" s="123">
        <f t="shared" si="131"/>
        <v>0</v>
      </c>
      <c r="BQ128" s="123">
        <f t="shared" si="132"/>
        <v>0</v>
      </c>
      <c r="BR128" s="123">
        <f t="shared" si="133"/>
        <v>0</v>
      </c>
      <c r="BS128" s="123"/>
      <c r="BT128" s="123">
        <f t="shared" si="134"/>
        <v>0</v>
      </c>
      <c r="BU128" s="123">
        <f t="shared" si="135"/>
        <v>0</v>
      </c>
      <c r="BV128" s="123">
        <f t="shared" si="136"/>
        <v>0</v>
      </c>
      <c r="BX128" s="123">
        <f t="shared" si="137"/>
        <v>0</v>
      </c>
      <c r="BY128" s="123"/>
    </row>
    <row r="129" spans="5:77" x14ac:dyDescent="0.25">
      <c r="E129">
        <v>118</v>
      </c>
      <c r="F129">
        <v>5500000</v>
      </c>
      <c r="G129" s="58">
        <f t="shared" si="138"/>
        <v>-54.821176969660698</v>
      </c>
      <c r="H129" s="58">
        <f t="shared" si="139"/>
        <v>-172.98556176131393</v>
      </c>
      <c r="I129">
        <f t="shared" si="140"/>
        <v>11.936551382336216</v>
      </c>
      <c r="J129">
        <f t="shared" si="141"/>
        <v>-1.9565100630293798E-2</v>
      </c>
      <c r="K129" t="str">
        <f t="shared" si="142"/>
        <v>55.7413874281967-1444.71274870991i</v>
      </c>
      <c r="L129" t="str">
        <f t="shared" si="143"/>
        <v>100000000-28937.2684005724i</v>
      </c>
      <c r="M129" t="str">
        <f t="shared" si="144"/>
        <v>149775.337013264-0.0649139605276214i</v>
      </c>
      <c r="N129">
        <f t="shared" si="99"/>
        <v>-40.310351482857683</v>
      </c>
      <c r="O129">
        <f t="shared" si="145"/>
        <v>-87.238000189701225</v>
      </c>
      <c r="P129" t="str">
        <f t="shared" si="146"/>
        <v>-6.4405226798514i</v>
      </c>
      <c r="Q129" t="str">
        <f t="shared" si="147"/>
        <v>7350-3.75808680526914i</v>
      </c>
      <c r="R129" t="str">
        <f t="shared" si="100"/>
        <v>0.0056435717722619-6.44051484902356i</v>
      </c>
      <c r="S129" t="str">
        <f t="shared" si="148"/>
        <v>2.0934137123931-14468.6338973978i</v>
      </c>
      <c r="T129" t="str">
        <f t="shared" si="101"/>
        <v>0.00563896524023943-6.43764921889562i</v>
      </c>
      <c r="U129" t="str">
        <f t="shared" si="102"/>
        <v>0.00132056784417299-0.0363156157147573i</v>
      </c>
      <c r="V129">
        <f t="shared" si="149"/>
        <v>-72.617843313472989</v>
      </c>
      <c r="W129">
        <f t="shared" si="150"/>
        <v>-177.86728433226639</v>
      </c>
      <c r="X129">
        <f t="shared" si="103"/>
        <v>-28.792392820048946</v>
      </c>
      <c r="Y129">
        <f t="shared" si="151"/>
        <v>-87.917453010975848</v>
      </c>
      <c r="AA129" s="123">
        <f t="shared" si="104"/>
        <v>-42.884625587324479</v>
      </c>
      <c r="AB129" s="123">
        <f t="shared" si="105"/>
        <v>-173.00512686194423</v>
      </c>
      <c r="AC129">
        <f t="shared" si="106"/>
        <v>-112.92819479633067</v>
      </c>
      <c r="AD129">
        <f t="shared" si="107"/>
        <v>-265.10528452196763</v>
      </c>
      <c r="AE129" s="123">
        <f t="shared" si="108"/>
        <v>-155.81282038365515</v>
      </c>
      <c r="AF129" s="123">
        <f t="shared" si="109"/>
        <v>-438.11041138391187</v>
      </c>
      <c r="AI129" s="123">
        <f t="shared" si="110"/>
        <v>0</v>
      </c>
      <c r="AJ129" s="123">
        <f t="shared" si="111"/>
        <v>0</v>
      </c>
      <c r="AK129" s="123">
        <f t="shared" si="112"/>
        <v>0</v>
      </c>
      <c r="AL129" s="123">
        <f t="shared" si="113"/>
        <v>0</v>
      </c>
      <c r="AM129" s="123">
        <f t="shared" si="114"/>
        <v>0</v>
      </c>
      <c r="AN129" s="123">
        <f t="shared" si="115"/>
        <v>0</v>
      </c>
      <c r="AO129" s="123">
        <f t="shared" si="116"/>
        <v>0</v>
      </c>
      <c r="AP129" s="123"/>
      <c r="AQ129" s="123">
        <f t="shared" si="117"/>
        <v>0</v>
      </c>
      <c r="AR129" s="123">
        <f t="shared" si="118"/>
        <v>0</v>
      </c>
      <c r="AS129" s="123">
        <f t="shared" si="119"/>
        <v>0</v>
      </c>
      <c r="AW129" t="str">
        <f t="shared" si="152"/>
        <v>8000</v>
      </c>
      <c r="AX129" t="str">
        <f t="shared" si="153"/>
        <v>3952-3.46554112581705i</v>
      </c>
      <c r="AY129" t="str">
        <f t="shared" si="120"/>
        <v>2645.24810749047-1.5526366216565i</v>
      </c>
      <c r="AZ129">
        <f t="shared" si="154"/>
        <v>-5.5300703435401282</v>
      </c>
      <c r="BA129">
        <f t="shared" si="155"/>
        <v>-3.3629939504743821E-2</v>
      </c>
      <c r="BB129">
        <f t="shared" si="156"/>
        <v>-4.2999268486718571E-7</v>
      </c>
      <c r="BC129">
        <f t="shared" si="157"/>
        <v>5.856703000474194E-3</v>
      </c>
      <c r="BD129" s="123">
        <f t="shared" si="121"/>
        <v>-54.821177399653379</v>
      </c>
      <c r="BE129" s="123">
        <f t="shared" si="122"/>
        <v>-172.97970505831347</v>
      </c>
      <c r="BF129">
        <f t="shared" si="123"/>
        <v>-78.14791365701312</v>
      </c>
      <c r="BG129">
        <f t="shared" si="124"/>
        <v>-177.90091427177114</v>
      </c>
      <c r="BH129" s="123">
        <f t="shared" si="125"/>
        <v>-132.96909105666651</v>
      </c>
      <c r="BI129" s="123">
        <f t="shared" si="126"/>
        <v>-350.88061933008464</v>
      </c>
      <c r="BL129" s="123">
        <f t="shared" si="127"/>
        <v>0</v>
      </c>
      <c r="BM129" s="123">
        <f t="shared" si="128"/>
        <v>0</v>
      </c>
      <c r="BN129" s="123">
        <f t="shared" si="129"/>
        <v>0</v>
      </c>
      <c r="BO129" s="123">
        <f t="shared" si="130"/>
        <v>0</v>
      </c>
      <c r="BP129" s="123">
        <f t="shared" si="131"/>
        <v>0</v>
      </c>
      <c r="BQ129" s="123">
        <f t="shared" si="132"/>
        <v>0</v>
      </c>
      <c r="BR129" s="123">
        <f t="shared" si="133"/>
        <v>0</v>
      </c>
      <c r="BS129" s="123"/>
      <c r="BT129" s="123">
        <f t="shared" si="134"/>
        <v>0</v>
      </c>
      <c r="BU129" s="123">
        <f t="shared" si="135"/>
        <v>0</v>
      </c>
      <c r="BV129" s="123">
        <f t="shared" si="136"/>
        <v>0</v>
      </c>
      <c r="BX129" s="123">
        <f t="shared" si="137"/>
        <v>0</v>
      </c>
      <c r="BY129" s="123"/>
    </row>
    <row r="130" spans="5:77" x14ac:dyDescent="0.25">
      <c r="E130">
        <v>119</v>
      </c>
      <c r="F130">
        <v>6000000</v>
      </c>
      <c r="G130" s="58">
        <f t="shared" si="138"/>
        <v>-56.324867363682294</v>
      </c>
      <c r="H130" s="58">
        <f t="shared" si="139"/>
        <v>-173.56684204261035</v>
      </c>
      <c r="I130">
        <f t="shared" si="140"/>
        <v>11.936551047806105</v>
      </c>
      <c r="J130">
        <f t="shared" si="141"/>
        <v>-1.7934677034010225E-2</v>
      </c>
      <c r="K130" t="str">
        <f t="shared" si="142"/>
        <v>46.8493719967284-1324.63451042951i</v>
      </c>
      <c r="L130" t="str">
        <f t="shared" si="143"/>
        <v>100000000-26525.8293671913i</v>
      </c>
      <c r="M130" t="str">
        <f t="shared" si="144"/>
        <v>149775.337010269-0.0595044646104994i</v>
      </c>
      <c r="N130">
        <f t="shared" si="99"/>
        <v>-41.064511701526882</v>
      </c>
      <c r="O130">
        <f t="shared" si="145"/>
        <v>-87.467855234376415</v>
      </c>
      <c r="P130" t="str">
        <f t="shared" si="146"/>
        <v>-5.90381245653045i</v>
      </c>
      <c r="Q130" t="str">
        <f t="shared" si="147"/>
        <v>7350-3.44491290483004i</v>
      </c>
      <c r="R130" t="str">
        <f t="shared" si="100"/>
        <v>0.00474216940583217-5.9038064247972i</v>
      </c>
      <c r="S130" t="str">
        <f t="shared" si="148"/>
        <v>1.75904902810085-13262.9144502945i</v>
      </c>
      <c r="T130" t="str">
        <f t="shared" si="101"/>
        <v>0.0047382986374028-5.90117959594431i</v>
      </c>
      <c r="U130" t="str">
        <f t="shared" si="102"/>
        <v>0.00110987791342952-0.0332963374028857i</v>
      </c>
      <c r="V130">
        <f t="shared" si="149"/>
        <v>-74.128468467483387</v>
      </c>
      <c r="W130">
        <f t="shared" si="150"/>
        <v>-178.04487949154435</v>
      </c>
      <c r="X130">
        <f t="shared" si="103"/>
        <v>-29.547247909790624</v>
      </c>
      <c r="Y130">
        <f t="shared" si="151"/>
        <v>-88.090865893787893</v>
      </c>
      <c r="AA130" s="123">
        <f t="shared" si="104"/>
        <v>-44.388316315876189</v>
      </c>
      <c r="AB130" s="123">
        <f t="shared" si="105"/>
        <v>-173.58477671964437</v>
      </c>
      <c r="AC130">
        <f t="shared" si="106"/>
        <v>-115.19298016901027</v>
      </c>
      <c r="AD130">
        <f t="shared" si="107"/>
        <v>-265.51273472592078</v>
      </c>
      <c r="AE130" s="123">
        <f t="shared" si="108"/>
        <v>-159.58129648488645</v>
      </c>
      <c r="AF130" s="123">
        <f t="shared" si="109"/>
        <v>-439.09751144556515</v>
      </c>
      <c r="AI130" s="123">
        <f t="shared" si="110"/>
        <v>0</v>
      </c>
      <c r="AJ130" s="123">
        <f t="shared" si="111"/>
        <v>0</v>
      </c>
      <c r="AK130" s="123">
        <f t="shared" si="112"/>
        <v>0</v>
      </c>
      <c r="AL130" s="123">
        <f t="shared" si="113"/>
        <v>0</v>
      </c>
      <c r="AM130" s="123">
        <f t="shared" si="114"/>
        <v>0</v>
      </c>
      <c r="AN130" s="123">
        <f t="shared" si="115"/>
        <v>0</v>
      </c>
      <c r="AO130" s="123">
        <f t="shared" si="116"/>
        <v>0</v>
      </c>
      <c r="AP130" s="123"/>
      <c r="AQ130" s="123">
        <f t="shared" si="117"/>
        <v>0</v>
      </c>
      <c r="AR130" s="123">
        <f t="shared" si="118"/>
        <v>0</v>
      </c>
      <c r="AS130" s="123">
        <f t="shared" si="119"/>
        <v>0</v>
      </c>
      <c r="AW130" t="str">
        <f t="shared" si="152"/>
        <v>8000</v>
      </c>
      <c r="AX130" t="str">
        <f t="shared" si="153"/>
        <v>3952-3.17674603199896i</v>
      </c>
      <c r="AY130" t="str">
        <f t="shared" si="120"/>
        <v>2645.24803558439-1.42325025563052i</v>
      </c>
      <c r="AZ130">
        <f t="shared" si="154"/>
        <v>-5.5300708186266867</v>
      </c>
      <c r="BA130">
        <f t="shared" si="155"/>
        <v>-3.0827446363408423E-2</v>
      </c>
      <c r="BB130">
        <f t="shared" si="156"/>
        <v>-3.6131331717960186E-7</v>
      </c>
      <c r="BC130">
        <f t="shared" si="157"/>
        <v>5.3686446189713452E-3</v>
      </c>
      <c r="BD130" s="123">
        <f t="shared" si="121"/>
        <v>-56.324867724995613</v>
      </c>
      <c r="BE130" s="123">
        <f t="shared" si="122"/>
        <v>-173.56147339799136</v>
      </c>
      <c r="BF130">
        <f t="shared" si="123"/>
        <v>-79.65853928611007</v>
      </c>
      <c r="BG130">
        <f t="shared" si="124"/>
        <v>-178.07570693790777</v>
      </c>
      <c r="BH130" s="123">
        <f t="shared" si="125"/>
        <v>-135.98340701110567</v>
      </c>
      <c r="BI130" s="123">
        <f t="shared" si="126"/>
        <v>-351.63718033589913</v>
      </c>
      <c r="BL130" s="123">
        <f t="shared" si="127"/>
        <v>0</v>
      </c>
      <c r="BM130" s="123">
        <f t="shared" si="128"/>
        <v>0</v>
      </c>
      <c r="BN130" s="123">
        <f t="shared" si="129"/>
        <v>0</v>
      </c>
      <c r="BO130" s="123">
        <f t="shared" si="130"/>
        <v>0</v>
      </c>
      <c r="BP130" s="123">
        <f t="shared" si="131"/>
        <v>0</v>
      </c>
      <c r="BQ130" s="123">
        <f t="shared" si="132"/>
        <v>0</v>
      </c>
      <c r="BR130" s="123">
        <f t="shared" si="133"/>
        <v>0</v>
      </c>
      <c r="BS130" s="123"/>
      <c r="BT130" s="123">
        <f t="shared" si="134"/>
        <v>0</v>
      </c>
      <c r="BU130" s="123">
        <f t="shared" si="135"/>
        <v>0</v>
      </c>
      <c r="BV130" s="123">
        <f t="shared" si="136"/>
        <v>0</v>
      </c>
      <c r="BX130" s="123">
        <f t="shared" si="137"/>
        <v>0</v>
      </c>
      <c r="BY130" s="123"/>
    </row>
    <row r="131" spans="5:77" x14ac:dyDescent="0.25">
      <c r="E131">
        <v>120</v>
      </c>
      <c r="F131">
        <v>6500000</v>
      </c>
      <c r="G131" s="58">
        <f t="shared" si="138"/>
        <v>-57.709231547925896</v>
      </c>
      <c r="H131" s="58">
        <f t="shared" si="139"/>
        <v>-174.05935741092273</v>
      </c>
      <c r="I131">
        <f t="shared" si="140"/>
        <v>11.936550787462943</v>
      </c>
      <c r="J131">
        <f t="shared" si="141"/>
        <v>-1.6555087539053836E-2</v>
      </c>
      <c r="K131" t="str">
        <f t="shared" si="142"/>
        <v>39.9263703221654-1222.96556453324i</v>
      </c>
      <c r="L131" t="str">
        <f t="shared" si="143"/>
        <v>100000000-24485.3809543305i</v>
      </c>
      <c r="M131" t="str">
        <f t="shared" si="144"/>
        <v>149775.337007937-0.0549271986719074i</v>
      </c>
      <c r="N131">
        <f t="shared" si="99"/>
        <v>-41.758499676950358</v>
      </c>
      <c r="O131">
        <f t="shared" si="145"/>
        <v>-87.662411982478446</v>
      </c>
      <c r="P131" t="str">
        <f t="shared" si="146"/>
        <v>-5.44967303679734i</v>
      </c>
      <c r="Q131" t="str">
        <f t="shared" si="147"/>
        <v>7350-3.1799196044585i</v>
      </c>
      <c r="R131" t="str">
        <f t="shared" si="100"/>
        <v>0.00404066602287751-5.44966829267466i</v>
      </c>
      <c r="S131" t="str">
        <f t="shared" si="148"/>
        <v>1.49883467873166-12242.6902936675i</v>
      </c>
      <c r="T131" t="str">
        <f t="shared" si="101"/>
        <v>0.00403736785204293-5.44724352669204i</v>
      </c>
      <c r="U131" t="str">
        <f t="shared" si="102"/>
        <v>0.000945850082761882-0.0307401276897612i</v>
      </c>
      <c r="V131">
        <f t="shared" si="149"/>
        <v>-75.518238723356944</v>
      </c>
      <c r="W131">
        <f t="shared" si="150"/>
        <v>-178.19517978218192</v>
      </c>
      <c r="X131">
        <f t="shared" si="103"/>
        <v>-30.241776938189375</v>
      </c>
      <c r="Y131">
        <f t="shared" si="151"/>
        <v>-88.237627333656604</v>
      </c>
      <c r="AA131" s="123">
        <f t="shared" si="104"/>
        <v>-45.772680760462954</v>
      </c>
      <c r="AB131" s="123">
        <f t="shared" si="105"/>
        <v>-174.07591249846178</v>
      </c>
      <c r="AC131">
        <f t="shared" si="106"/>
        <v>-117.27673840030729</v>
      </c>
      <c r="AD131">
        <f t="shared" si="107"/>
        <v>-265.85759176466036</v>
      </c>
      <c r="AE131" s="123">
        <f t="shared" si="108"/>
        <v>-163.04941916077024</v>
      </c>
      <c r="AF131" s="123">
        <f t="shared" si="109"/>
        <v>-439.93350426312213</v>
      </c>
      <c r="AI131" s="123">
        <f t="shared" si="110"/>
        <v>0</v>
      </c>
      <c r="AJ131" s="123">
        <f t="shared" si="111"/>
        <v>0</v>
      </c>
      <c r="AK131" s="123">
        <f t="shared" si="112"/>
        <v>0</v>
      </c>
      <c r="AL131" s="123">
        <f t="shared" si="113"/>
        <v>0</v>
      </c>
      <c r="AM131" s="123">
        <f t="shared" si="114"/>
        <v>0</v>
      </c>
      <c r="AN131" s="123">
        <f t="shared" si="115"/>
        <v>0</v>
      </c>
      <c r="AO131" s="123">
        <f t="shared" si="116"/>
        <v>0</v>
      </c>
      <c r="AP131" s="123"/>
      <c r="AQ131" s="123">
        <f t="shared" si="117"/>
        <v>0</v>
      </c>
      <c r="AR131" s="123">
        <f t="shared" si="118"/>
        <v>0</v>
      </c>
      <c r="AS131" s="123">
        <f t="shared" si="119"/>
        <v>0</v>
      </c>
      <c r="AW131" t="str">
        <f t="shared" si="152"/>
        <v>8000</v>
      </c>
      <c r="AX131" t="str">
        <f t="shared" si="153"/>
        <v>3952-2.93238095261443i</v>
      </c>
      <c r="AY131" t="str">
        <f t="shared" si="120"/>
        <v>2645.24797962455-1.31376948046541i</v>
      </c>
      <c r="AZ131">
        <f t="shared" si="154"/>
        <v>-5.5300711883557856</v>
      </c>
      <c r="BA131">
        <f t="shared" si="155"/>
        <v>-2.8456105641016458E-2</v>
      </c>
      <c r="BB131">
        <f t="shared" si="156"/>
        <v>-3.0786458003437413E-7</v>
      </c>
      <c r="BC131">
        <f t="shared" si="157"/>
        <v>4.9556721009910345E-3</v>
      </c>
      <c r="BD131" s="123">
        <f t="shared" si="121"/>
        <v>-57.709231855790478</v>
      </c>
      <c r="BE131" s="123">
        <f t="shared" si="122"/>
        <v>-174.05440173882172</v>
      </c>
      <c r="BF131">
        <f t="shared" si="123"/>
        <v>-81.048309911712735</v>
      </c>
      <c r="BG131">
        <f t="shared" si="124"/>
        <v>-178.22363588782295</v>
      </c>
      <c r="BH131" s="123">
        <f t="shared" si="125"/>
        <v>-138.7575417675032</v>
      </c>
      <c r="BI131" s="123">
        <f t="shared" si="126"/>
        <v>-352.27803762664468</v>
      </c>
      <c r="BL131" s="123">
        <f t="shared" si="127"/>
        <v>0</v>
      </c>
      <c r="BM131" s="123">
        <f t="shared" si="128"/>
        <v>0</v>
      </c>
      <c r="BN131" s="123">
        <f t="shared" si="129"/>
        <v>0</v>
      </c>
      <c r="BO131" s="123">
        <f t="shared" si="130"/>
        <v>0</v>
      </c>
      <c r="BP131" s="123">
        <f t="shared" si="131"/>
        <v>0</v>
      </c>
      <c r="BQ131" s="123">
        <f t="shared" si="132"/>
        <v>0</v>
      </c>
      <c r="BR131" s="123">
        <f t="shared" si="133"/>
        <v>0</v>
      </c>
      <c r="BS131" s="123"/>
      <c r="BT131" s="123">
        <f t="shared" si="134"/>
        <v>0</v>
      </c>
      <c r="BU131" s="123">
        <f t="shared" si="135"/>
        <v>0</v>
      </c>
      <c r="BV131" s="123">
        <f t="shared" si="136"/>
        <v>0</v>
      </c>
      <c r="BX131" s="123">
        <f t="shared" si="137"/>
        <v>0</v>
      </c>
      <c r="BY131" s="123"/>
    </row>
    <row r="132" spans="5:77" x14ac:dyDescent="0.25">
      <c r="E132">
        <v>121</v>
      </c>
      <c r="F132">
        <v>7000000</v>
      </c>
      <c r="G132" s="58">
        <f t="shared" si="138"/>
        <v>-58.99175696970417</v>
      </c>
      <c r="H132" s="58">
        <f t="shared" si="139"/>
        <v>-174.48196077272473</v>
      </c>
      <c r="I132">
        <f t="shared" si="140"/>
        <v>11.936550580888593</v>
      </c>
      <c r="J132">
        <f t="shared" si="141"/>
        <v>-1.5372582057039143E-2</v>
      </c>
      <c r="K132" t="str">
        <f t="shared" si="142"/>
        <v>34.4313590931913-1135.77746390112i</v>
      </c>
      <c r="L132" t="str">
        <f t="shared" si="143"/>
        <v>100000000-22736.4251718783i</v>
      </c>
      <c r="M132" t="str">
        <f t="shared" si="144"/>
        <v>149775.337006087-0.0510038277582682i</v>
      </c>
      <c r="N132">
        <f t="shared" si="99"/>
        <v>-42.401197957174929</v>
      </c>
      <c r="O132">
        <f t="shared" si="145"/>
        <v>-87.829218019295382</v>
      </c>
      <c r="P132" t="str">
        <f t="shared" si="146"/>
        <v>-5.0604106770261i</v>
      </c>
      <c r="Q132" t="str">
        <f t="shared" si="147"/>
        <v>7350-2.95278248985432i</v>
      </c>
      <c r="R132" t="str">
        <f t="shared" si="100"/>
        <v>0.00348404432418495-5.06040687861519i</v>
      </c>
      <c r="S132" t="str">
        <f t="shared" si="148"/>
        <v>1.29236255728903-11368.2124390206i</v>
      </c>
      <c r="T132" t="str">
        <f t="shared" si="101"/>
        <v>0.0034812004923309-5.05815530954878i</v>
      </c>
      <c r="U132" t="str">
        <f t="shared" si="102"/>
        <v>0.000815660685154975-0.0285481239804241i</v>
      </c>
      <c r="V132">
        <f t="shared" si="149"/>
        <v>-76.805059442114384</v>
      </c>
      <c r="W132">
        <f t="shared" si="150"/>
        <v>-178.32402709203649</v>
      </c>
      <c r="X132">
        <f t="shared" si="103"/>
        <v>-30.884904701823977</v>
      </c>
      <c r="Y132">
        <f t="shared" si="151"/>
        <v>-88.363441341875244</v>
      </c>
      <c r="AA132" s="123">
        <f t="shared" si="104"/>
        <v>-47.055206388815577</v>
      </c>
      <c r="AB132" s="123">
        <f t="shared" si="105"/>
        <v>-174.49733335478177</v>
      </c>
      <c r="AC132">
        <f t="shared" si="106"/>
        <v>-119.20625739928931</v>
      </c>
      <c r="AD132">
        <f t="shared" si="107"/>
        <v>-266.1532451113319</v>
      </c>
      <c r="AE132" s="123">
        <f t="shared" si="108"/>
        <v>-166.26146378810489</v>
      </c>
      <c r="AF132" s="123">
        <f t="shared" si="109"/>
        <v>-440.65057846611364</v>
      </c>
      <c r="AI132" s="123">
        <f t="shared" si="110"/>
        <v>0</v>
      </c>
      <c r="AJ132" s="123">
        <f t="shared" si="111"/>
        <v>0</v>
      </c>
      <c r="AK132" s="123">
        <f t="shared" si="112"/>
        <v>0</v>
      </c>
      <c r="AL132" s="123">
        <f t="shared" si="113"/>
        <v>0</v>
      </c>
      <c r="AM132" s="123">
        <f t="shared" si="114"/>
        <v>0</v>
      </c>
      <c r="AN132" s="123">
        <f t="shared" si="115"/>
        <v>0</v>
      </c>
      <c r="AO132" s="123">
        <f t="shared" si="116"/>
        <v>0</v>
      </c>
      <c r="AP132" s="123"/>
      <c r="AQ132" s="123">
        <f t="shared" si="117"/>
        <v>0</v>
      </c>
      <c r="AR132" s="123">
        <f t="shared" si="118"/>
        <v>0</v>
      </c>
      <c r="AS132" s="123">
        <f t="shared" si="119"/>
        <v>0</v>
      </c>
      <c r="AW132" t="str">
        <f t="shared" si="152"/>
        <v>8000</v>
      </c>
      <c r="AX132" t="str">
        <f t="shared" si="153"/>
        <v>3952-2.72292517028482i</v>
      </c>
      <c r="AY132" t="str">
        <f t="shared" si="120"/>
        <v>2645.24793522213-1.21992881340515i</v>
      </c>
      <c r="AZ132">
        <f t="shared" si="154"/>
        <v>-5.5300714817245353</v>
      </c>
      <c r="BA132">
        <f t="shared" si="155"/>
        <v>-2.6423527628587722E-2</v>
      </c>
      <c r="BB132">
        <f t="shared" si="156"/>
        <v>-2.65454694852178E-7</v>
      </c>
      <c r="BC132">
        <f t="shared" si="157"/>
        <v>4.6016956291967497E-3</v>
      </c>
      <c r="BD132" s="123">
        <f t="shared" si="121"/>
        <v>-58.991757235158865</v>
      </c>
      <c r="BE132" s="123">
        <f t="shared" si="122"/>
        <v>-174.47735907709554</v>
      </c>
      <c r="BF132">
        <f t="shared" si="123"/>
        <v>-82.335130923838918</v>
      </c>
      <c r="BG132">
        <f t="shared" si="124"/>
        <v>-178.35045061966508</v>
      </c>
      <c r="BH132" s="123">
        <f t="shared" si="125"/>
        <v>-141.32688815899778</v>
      </c>
      <c r="BI132" s="123">
        <f t="shared" si="126"/>
        <v>-352.8278096967606</v>
      </c>
      <c r="BL132" s="123">
        <f t="shared" si="127"/>
        <v>0</v>
      </c>
      <c r="BM132" s="123">
        <f t="shared" si="128"/>
        <v>0</v>
      </c>
      <c r="BN132" s="123">
        <f t="shared" si="129"/>
        <v>0</v>
      </c>
      <c r="BO132" s="123">
        <f t="shared" si="130"/>
        <v>0</v>
      </c>
      <c r="BP132" s="123">
        <f t="shared" si="131"/>
        <v>0</v>
      </c>
      <c r="BQ132" s="123">
        <f t="shared" si="132"/>
        <v>0</v>
      </c>
      <c r="BR132" s="123">
        <f t="shared" si="133"/>
        <v>0</v>
      </c>
      <c r="BS132" s="123"/>
      <c r="BT132" s="123">
        <f t="shared" si="134"/>
        <v>0</v>
      </c>
      <c r="BU132" s="123">
        <f t="shared" si="135"/>
        <v>0</v>
      </c>
      <c r="BV132" s="123">
        <f t="shared" si="136"/>
        <v>0</v>
      </c>
      <c r="BX132" s="123">
        <f t="shared" si="137"/>
        <v>0</v>
      </c>
      <c r="BY132" s="123"/>
    </row>
    <row r="133" spans="5:77" x14ac:dyDescent="0.25">
      <c r="E133">
        <v>122</v>
      </c>
      <c r="F133">
        <v>7500000</v>
      </c>
      <c r="G133" s="58">
        <f t="shared" si="138"/>
        <v>-60.186359794774127</v>
      </c>
      <c r="H133" s="58">
        <f t="shared" si="139"/>
        <v>-174.84852768716087</v>
      </c>
      <c r="I133">
        <f t="shared" si="140"/>
        <v>11.936550414234961</v>
      </c>
      <c r="J133">
        <f t="shared" si="141"/>
        <v>-1.4347743833603653E-2</v>
      </c>
      <c r="K133" t="str">
        <f t="shared" si="142"/>
        <v>29.9970893879816-1060.18443050139i</v>
      </c>
      <c r="L133" t="str">
        <f t="shared" si="143"/>
        <v>100000000-21220.6634937531i</v>
      </c>
      <c r="M133" t="str">
        <f t="shared" si="144"/>
        <v>149775.337004595-0.0476035728906175i</v>
      </c>
      <c r="N133">
        <f t="shared" si="99"/>
        <v>-42.999659230821251</v>
      </c>
      <c r="O133">
        <f t="shared" si="145"/>
        <v>-87.973813138333725</v>
      </c>
      <c r="P133" t="str">
        <f t="shared" si="146"/>
        <v>-4.72304996522436i</v>
      </c>
      <c r="Q133" t="str">
        <f t="shared" si="147"/>
        <v>7350-2.75593032386403i</v>
      </c>
      <c r="R133" t="str">
        <f t="shared" si="100"/>
        <v>0.00303499018735383-4.72304687697513i</v>
      </c>
      <c r="S133" t="str">
        <f t="shared" si="148"/>
        <v>1.12579138511369-10610.3316274263i</v>
      </c>
      <c r="T133" t="str">
        <f t="shared" si="101"/>
        <v>0.00303251289320965-4.72094541202069i</v>
      </c>
      <c r="U133" t="str">
        <f t="shared" si="102"/>
        <v>0.0007106057914372-0.026647717178895i</v>
      </c>
      <c r="V133">
        <f t="shared" si="149"/>
        <v>-78.003131206510105</v>
      </c>
      <c r="W133">
        <f t="shared" si="150"/>
        <v>-178.4357075762226</v>
      </c>
      <c r="X133">
        <f t="shared" si="103"/>
        <v>-31.4837125733224</v>
      </c>
      <c r="Y133">
        <f t="shared" si="151"/>
        <v>-88.472492963966587</v>
      </c>
      <c r="AA133" s="123">
        <f t="shared" si="104"/>
        <v>-48.249809380539162</v>
      </c>
      <c r="AB133" s="123">
        <f t="shared" si="105"/>
        <v>-174.86287543099448</v>
      </c>
      <c r="AC133">
        <f t="shared" si="106"/>
        <v>-121.00279043733136</v>
      </c>
      <c r="AD133">
        <f t="shared" si="107"/>
        <v>-266.40952071455632</v>
      </c>
      <c r="AE133" s="123">
        <f t="shared" si="108"/>
        <v>-169.25259981787053</v>
      </c>
      <c r="AF133" s="123">
        <f t="shared" si="109"/>
        <v>-441.27239614555083</v>
      </c>
      <c r="AI133" s="123">
        <f t="shared" si="110"/>
        <v>0</v>
      </c>
      <c r="AJ133" s="123">
        <f t="shared" si="111"/>
        <v>0</v>
      </c>
      <c r="AK133" s="123">
        <f t="shared" si="112"/>
        <v>0</v>
      </c>
      <c r="AL133" s="123">
        <f t="shared" si="113"/>
        <v>0</v>
      </c>
      <c r="AM133" s="123">
        <f t="shared" si="114"/>
        <v>0</v>
      </c>
      <c r="AN133" s="123">
        <f t="shared" si="115"/>
        <v>0</v>
      </c>
      <c r="AO133" s="123">
        <f t="shared" si="116"/>
        <v>0</v>
      </c>
      <c r="AP133" s="123"/>
      <c r="AQ133" s="123">
        <f t="shared" si="117"/>
        <v>0</v>
      </c>
      <c r="AR133" s="123">
        <f t="shared" si="118"/>
        <v>0</v>
      </c>
      <c r="AS133" s="123">
        <f t="shared" si="119"/>
        <v>0</v>
      </c>
      <c r="AW133" t="str">
        <f t="shared" si="152"/>
        <v>8000</v>
      </c>
      <c r="AX133" t="str">
        <f t="shared" si="153"/>
        <v>3952-2.54139682559917i</v>
      </c>
      <c r="AY133" t="str">
        <f t="shared" si="120"/>
        <v>2645.24789940052-1.13860023346168i</v>
      </c>
      <c r="AZ133">
        <f t="shared" si="154"/>
        <v>-5.5300717183994959</v>
      </c>
      <c r="BA133">
        <f t="shared" si="155"/>
        <v>-2.4661959844315115E-2</v>
      </c>
      <c r="BB133">
        <f t="shared" si="156"/>
        <v>-2.3124052218926489E-7</v>
      </c>
      <c r="BC133">
        <f t="shared" si="157"/>
        <v>4.2949160010364827E-3</v>
      </c>
      <c r="BD133" s="123">
        <f t="shared" si="121"/>
        <v>-60.186360026014647</v>
      </c>
      <c r="BE133" s="123">
        <f t="shared" si="122"/>
        <v>-174.84423277115982</v>
      </c>
      <c r="BF133">
        <f t="shared" si="123"/>
        <v>-83.533202924909602</v>
      </c>
      <c r="BG133">
        <f t="shared" si="124"/>
        <v>-178.46036953606691</v>
      </c>
      <c r="BH133" s="123">
        <f t="shared" si="125"/>
        <v>-143.71956295092426</v>
      </c>
      <c r="BI133" s="123">
        <f t="shared" si="126"/>
        <v>-353.30460230722673</v>
      </c>
      <c r="BL133" s="123">
        <f t="shared" si="127"/>
        <v>0</v>
      </c>
      <c r="BM133" s="123">
        <f t="shared" si="128"/>
        <v>0</v>
      </c>
      <c r="BN133" s="123">
        <f t="shared" si="129"/>
        <v>0</v>
      </c>
      <c r="BO133" s="123">
        <f t="shared" si="130"/>
        <v>0</v>
      </c>
      <c r="BP133" s="123">
        <f t="shared" si="131"/>
        <v>0</v>
      </c>
      <c r="BQ133" s="123">
        <f t="shared" si="132"/>
        <v>0</v>
      </c>
      <c r="BR133" s="123">
        <f t="shared" si="133"/>
        <v>0</v>
      </c>
      <c r="BS133" s="123"/>
      <c r="BT133" s="123">
        <f t="shared" si="134"/>
        <v>0</v>
      </c>
      <c r="BU133" s="123">
        <f t="shared" si="135"/>
        <v>0</v>
      </c>
      <c r="BV133" s="123">
        <f t="shared" si="136"/>
        <v>0</v>
      </c>
      <c r="BX133" s="123">
        <f t="shared" si="137"/>
        <v>0</v>
      </c>
      <c r="BY133" s="123"/>
    </row>
    <row r="134" spans="5:77" x14ac:dyDescent="0.25">
      <c r="E134">
        <v>123</v>
      </c>
      <c r="F134">
        <v>8000000</v>
      </c>
      <c r="G134" s="58">
        <f t="shared" si="138"/>
        <v>-61.304292997859292</v>
      </c>
      <c r="H134" s="58">
        <f t="shared" si="139"/>
        <v>-175.16949489917906</v>
      </c>
      <c r="I134">
        <f t="shared" si="140"/>
        <v>11.936550277841116</v>
      </c>
      <c r="J134">
        <f t="shared" si="141"/>
        <v>-1.3451010289304809E-2</v>
      </c>
      <c r="K134" t="str">
        <f t="shared" si="142"/>
        <v>26.3671834179782-994.019189861436i</v>
      </c>
      <c r="L134" t="str">
        <f t="shared" si="143"/>
        <v>100000000-19894.3720253935i</v>
      </c>
      <c r="M134" t="str">
        <f t="shared" si="144"/>
        <v>149775.337003373-0.0446283498274918i</v>
      </c>
      <c r="N134">
        <f t="shared" si="99"/>
        <v>-43.559576236918012</v>
      </c>
      <c r="O134">
        <f t="shared" si="145"/>
        <v>-88.100355113997637</v>
      </c>
      <c r="P134" t="str">
        <f t="shared" si="146"/>
        <v>-4.42785934239784i</v>
      </c>
      <c r="Q134" t="str">
        <f t="shared" si="147"/>
        <v>7350-2.58368467862253i</v>
      </c>
      <c r="R134" t="str">
        <f t="shared" si="100"/>
        <v>0.00266747217880403-4.42785679775857i</v>
      </c>
      <c r="S134" t="str">
        <f t="shared" si="148"/>
        <v>0.989465085921487-9947.18591427282i</v>
      </c>
      <c r="T134" t="str">
        <f t="shared" si="101"/>
        <v>0.0026652948690531-4.42588667398596i</v>
      </c>
      <c r="U134" t="str">
        <f t="shared" si="102"/>
        <v>0.000624609618988132-0.0249843847595253i</v>
      </c>
      <c r="V134">
        <f t="shared" si="149"/>
        <v>-79.123905954075298</v>
      </c>
      <c r="W134">
        <f t="shared" si="150"/>
        <v>-178.53343710893833</v>
      </c>
      <c r="X134">
        <f t="shared" si="103"/>
        <v>-32.043913319192995</v>
      </c>
      <c r="Y134">
        <f t="shared" si="151"/>
        <v>-88.567922241868374</v>
      </c>
      <c r="AA134" s="123">
        <f t="shared" si="104"/>
        <v>-49.367742720018178</v>
      </c>
      <c r="AB134" s="123">
        <f t="shared" si="105"/>
        <v>-175.18294590946837</v>
      </c>
      <c r="AC134">
        <f t="shared" si="106"/>
        <v>-122.68348219099332</v>
      </c>
      <c r="AD134">
        <f t="shared" si="107"/>
        <v>-266.63379222293599</v>
      </c>
      <c r="AE134" s="123">
        <f t="shared" si="108"/>
        <v>-172.0512249110115</v>
      </c>
      <c r="AF134" s="123">
        <f t="shared" si="109"/>
        <v>-441.81673813240434</v>
      </c>
      <c r="AI134" s="123">
        <f t="shared" si="110"/>
        <v>0</v>
      </c>
      <c r="AJ134" s="123">
        <f t="shared" si="111"/>
        <v>0</v>
      </c>
      <c r="AK134" s="123">
        <f t="shared" si="112"/>
        <v>0</v>
      </c>
      <c r="AL134" s="123">
        <f t="shared" si="113"/>
        <v>0</v>
      </c>
      <c r="AM134" s="123">
        <f t="shared" si="114"/>
        <v>0</v>
      </c>
      <c r="AN134" s="123">
        <f t="shared" si="115"/>
        <v>0</v>
      </c>
      <c r="AO134" s="123">
        <f t="shared" si="116"/>
        <v>0</v>
      </c>
      <c r="AP134" s="123"/>
      <c r="AQ134" s="123">
        <f t="shared" si="117"/>
        <v>0</v>
      </c>
      <c r="AR134" s="123">
        <f t="shared" si="118"/>
        <v>0</v>
      </c>
      <c r="AS134" s="123">
        <f t="shared" si="119"/>
        <v>0</v>
      </c>
      <c r="AW134" t="str">
        <f t="shared" si="152"/>
        <v>8000</v>
      </c>
      <c r="AX134" t="str">
        <f t="shared" si="153"/>
        <v>3952-2.38255952399922i</v>
      </c>
      <c r="AY134" t="str">
        <f t="shared" si="120"/>
        <v>2645.24787008316-1.06743772471457i</v>
      </c>
      <c r="AZ134">
        <f t="shared" si="154"/>
        <v>-5.5300719121006114</v>
      </c>
      <c r="BA134">
        <f t="shared" si="155"/>
        <v>-2.3120587909782858E-2</v>
      </c>
      <c r="BB134">
        <f t="shared" si="156"/>
        <v>-2.0323869681455616E-7</v>
      </c>
      <c r="BC134">
        <f t="shared" si="157"/>
        <v>4.0264838127009881E-3</v>
      </c>
      <c r="BD134" s="123">
        <f t="shared" si="121"/>
        <v>-61.304293201097991</v>
      </c>
      <c r="BE134" s="123">
        <f t="shared" si="122"/>
        <v>-175.16546841536635</v>
      </c>
      <c r="BF134">
        <f t="shared" si="123"/>
        <v>-84.653977866175907</v>
      </c>
      <c r="BG134">
        <f t="shared" si="124"/>
        <v>-178.5565576968481</v>
      </c>
      <c r="BH134" s="123">
        <f t="shared" si="125"/>
        <v>-145.9582710672739</v>
      </c>
      <c r="BI134" s="123">
        <f t="shared" si="126"/>
        <v>-353.72202611221445</v>
      </c>
      <c r="BL134" s="123">
        <f t="shared" si="127"/>
        <v>0</v>
      </c>
      <c r="BM134" s="123">
        <f t="shared" si="128"/>
        <v>0</v>
      </c>
      <c r="BN134" s="123">
        <f t="shared" si="129"/>
        <v>0</v>
      </c>
      <c r="BO134" s="123">
        <f t="shared" si="130"/>
        <v>0</v>
      </c>
      <c r="BP134" s="123">
        <f t="shared" si="131"/>
        <v>0</v>
      </c>
      <c r="BQ134" s="123">
        <f t="shared" si="132"/>
        <v>0</v>
      </c>
      <c r="BR134" s="123">
        <f t="shared" si="133"/>
        <v>0</v>
      </c>
      <c r="BS134" s="123"/>
      <c r="BT134" s="123">
        <f t="shared" si="134"/>
        <v>0</v>
      </c>
      <c r="BU134" s="123">
        <f t="shared" si="135"/>
        <v>0</v>
      </c>
      <c r="BV134" s="123">
        <f t="shared" si="136"/>
        <v>0</v>
      </c>
      <c r="BX134" s="123">
        <f t="shared" si="137"/>
        <v>0</v>
      </c>
      <c r="BY134" s="123"/>
    </row>
    <row r="135" spans="5:77" x14ac:dyDescent="0.25">
      <c r="E135">
        <v>124</v>
      </c>
      <c r="F135">
        <v>8500000</v>
      </c>
      <c r="G135" s="58">
        <f t="shared" si="138"/>
        <v>-62.354783706311892</v>
      </c>
      <c r="H135" s="58">
        <f t="shared" si="139"/>
        <v>-175.45286214497384</v>
      </c>
      <c r="I135">
        <f t="shared" si="140"/>
        <v>11.93655016480124</v>
      </c>
      <c r="J135">
        <f t="shared" si="141"/>
        <v>-1.2659774737279644E-2</v>
      </c>
      <c r="K135" t="str">
        <f t="shared" si="142"/>
        <v>23.3582731482705-935.622591719371i</v>
      </c>
      <c r="L135" t="str">
        <f t="shared" si="143"/>
        <v>100000000-18724.1148474292i</v>
      </c>
      <c r="M135" t="str">
        <f t="shared" si="144"/>
        <v>149775.337002361-0.0420031529681213i</v>
      </c>
      <c r="N135">
        <f t="shared" si="99"/>
        <v>-44.085610044269075</v>
      </c>
      <c r="O135">
        <f t="shared" si="145"/>
        <v>-88.212025236220398</v>
      </c>
      <c r="P135" t="str">
        <f t="shared" si="146"/>
        <v>-4.16739702813914i</v>
      </c>
      <c r="Q135" t="str">
        <f t="shared" si="147"/>
        <v>7350-2.43170322693885i</v>
      </c>
      <c r="R135" t="str">
        <f t="shared" si="100"/>
        <v>0.00236288217554657-4.16739490665664i</v>
      </c>
      <c r="S135" t="str">
        <f t="shared" si="148"/>
        <v>0.876481184367102-9362.05734165792i</v>
      </c>
      <c r="T135" t="str">
        <f t="shared" si="101"/>
        <v>0.00236095348561386-4.16554067222299i</v>
      </c>
      <c r="U135" t="str">
        <f t="shared" si="102"/>
        <v>0.000553326877853092-0.0235163923087564i</v>
      </c>
      <c r="V135">
        <f t="shared" si="149"/>
        <v>-80.176753353737638</v>
      </c>
      <c r="W135">
        <f t="shared" si="150"/>
        <v>-178.61967566737354</v>
      </c>
      <c r="X135">
        <f t="shared" si="103"/>
        <v>-32.570182334190065</v>
      </c>
      <c r="Y135">
        <f t="shared" si="151"/>
        <v>-88.652131163353587</v>
      </c>
      <c r="AA135" s="123">
        <f t="shared" si="104"/>
        <v>-50.418233541510652</v>
      </c>
      <c r="AB135" s="123">
        <f t="shared" si="105"/>
        <v>-175.46552191971111</v>
      </c>
      <c r="AC135">
        <f t="shared" si="106"/>
        <v>-124.26236339800671</v>
      </c>
      <c r="AD135">
        <f t="shared" si="107"/>
        <v>-266.83170090359397</v>
      </c>
      <c r="AE135" s="123">
        <f t="shared" si="108"/>
        <v>-174.68059693951736</v>
      </c>
      <c r="AF135" s="123">
        <f t="shared" si="109"/>
        <v>-442.29722282330511</v>
      </c>
      <c r="AI135" s="123">
        <f t="shared" si="110"/>
        <v>0</v>
      </c>
      <c r="AJ135" s="123">
        <f t="shared" si="111"/>
        <v>0</v>
      </c>
      <c r="AK135" s="123">
        <f t="shared" si="112"/>
        <v>0</v>
      </c>
      <c r="AL135" s="123">
        <f t="shared" si="113"/>
        <v>0</v>
      </c>
      <c r="AM135" s="123">
        <f t="shared" si="114"/>
        <v>0</v>
      </c>
      <c r="AN135" s="123">
        <f t="shared" si="115"/>
        <v>0</v>
      </c>
      <c r="AO135" s="123">
        <f t="shared" si="116"/>
        <v>0</v>
      </c>
      <c r="AP135" s="123"/>
      <c r="AQ135" s="123">
        <f t="shared" si="117"/>
        <v>0</v>
      </c>
      <c r="AR135" s="123">
        <f t="shared" si="118"/>
        <v>0</v>
      </c>
      <c r="AS135" s="123">
        <f t="shared" si="119"/>
        <v>0</v>
      </c>
      <c r="AW135" t="str">
        <f t="shared" si="152"/>
        <v>8000</v>
      </c>
      <c r="AX135" t="str">
        <f t="shared" si="153"/>
        <v>3952-2.24240896376397i</v>
      </c>
      <c r="AY135" t="str">
        <f t="shared" si="120"/>
        <v>2645.24784578565-1.00464727487824i</v>
      </c>
      <c r="AZ135">
        <f t="shared" si="154"/>
        <v>-5.5300720726353658</v>
      </c>
      <c r="BA135">
        <f t="shared" si="155"/>
        <v>-2.1760553760342877E-2</v>
      </c>
      <c r="BB135">
        <f t="shared" si="156"/>
        <v>-1.8003153672170266E-7</v>
      </c>
      <c r="BC135">
        <f t="shared" si="157"/>
        <v>3.7896318718690205E-3</v>
      </c>
      <c r="BD135" s="123">
        <f t="shared" si="121"/>
        <v>-62.354783886343427</v>
      </c>
      <c r="BE135" s="123">
        <f t="shared" si="122"/>
        <v>-175.44907251310195</v>
      </c>
      <c r="BF135">
        <f t="shared" si="123"/>
        <v>-85.706825426373001</v>
      </c>
      <c r="BG135">
        <f t="shared" si="124"/>
        <v>-178.64143622113389</v>
      </c>
      <c r="BH135" s="123">
        <f t="shared" si="125"/>
        <v>-148.06160931271643</v>
      </c>
      <c r="BI135" s="123">
        <f t="shared" si="126"/>
        <v>-354.09050873423587</v>
      </c>
      <c r="BL135" s="123">
        <f t="shared" si="127"/>
        <v>0</v>
      </c>
      <c r="BM135" s="123">
        <f t="shared" si="128"/>
        <v>0</v>
      </c>
      <c r="BN135" s="123">
        <f t="shared" si="129"/>
        <v>0</v>
      </c>
      <c r="BO135" s="123">
        <f t="shared" si="130"/>
        <v>0</v>
      </c>
      <c r="BP135" s="123">
        <f t="shared" si="131"/>
        <v>0</v>
      </c>
      <c r="BQ135" s="123">
        <f t="shared" si="132"/>
        <v>0</v>
      </c>
      <c r="BR135" s="123">
        <f t="shared" si="133"/>
        <v>0</v>
      </c>
      <c r="BS135" s="123"/>
      <c r="BT135" s="123">
        <f t="shared" si="134"/>
        <v>0</v>
      </c>
      <c r="BU135" s="123">
        <f t="shared" si="135"/>
        <v>0</v>
      </c>
      <c r="BV135" s="123">
        <f t="shared" si="136"/>
        <v>0</v>
      </c>
      <c r="BX135" s="123">
        <f t="shared" si="137"/>
        <v>0</v>
      </c>
      <c r="BY135" s="123"/>
    </row>
    <row r="136" spans="5:77" x14ac:dyDescent="0.25">
      <c r="E136">
        <v>125</v>
      </c>
      <c r="F136">
        <v>9000000</v>
      </c>
      <c r="G136" s="58">
        <f t="shared" si="138"/>
        <v>-63.34549101987907</v>
      </c>
      <c r="H136" s="58">
        <f t="shared" si="139"/>
        <v>-175.7048634215239</v>
      </c>
      <c r="I136">
        <f t="shared" si="140"/>
        <v>11.93655007007273</v>
      </c>
      <c r="J136">
        <f t="shared" si="141"/>
        <v>-1.195645419344993E-2</v>
      </c>
      <c r="K136" t="str">
        <f t="shared" si="142"/>
        <v>20.8364049242551-883.703020753804i</v>
      </c>
      <c r="L136" t="str">
        <f t="shared" si="143"/>
        <v>100000000-17683.8862447942i</v>
      </c>
      <c r="M136" t="str">
        <f t="shared" si="144"/>
        <v>149775.337001513-0.0396696446196784i</v>
      </c>
      <c r="N136">
        <f t="shared" si="99"/>
        <v>-44.581624978371501</v>
      </c>
      <c r="O136">
        <f t="shared" si="145"/>
        <v>-88.311299001994229</v>
      </c>
      <c r="P136" t="str">
        <f t="shared" si="146"/>
        <v>-3.9358749710203i</v>
      </c>
      <c r="Q136" t="str">
        <f t="shared" si="147"/>
        <v>7350-2.29660860322003i</v>
      </c>
      <c r="R136" t="str">
        <f t="shared" si="100"/>
        <v>0.00210763274135002-3.93587318383847i</v>
      </c>
      <c r="S136" t="str">
        <f t="shared" si="148"/>
        <v>0.78179957568495-8841.94305327084i</v>
      </c>
      <c r="T136" t="str">
        <f t="shared" si="101"/>
        <v>0.00210591239730809-3.93412196219566i</v>
      </c>
      <c r="U136" t="str">
        <f t="shared" si="102"/>
        <v>0.000493583415597236-0.0222112537018756i</v>
      </c>
      <c r="V136">
        <f t="shared" si="149"/>
        <v>-81.169436777649921</v>
      </c>
      <c r="W136">
        <f t="shared" si="150"/>
        <v>-178.69633706508111</v>
      </c>
      <c r="X136">
        <f t="shared" si="103"/>
        <v>-33.066394410242623</v>
      </c>
      <c r="Y136">
        <f t="shared" si="151"/>
        <v>-88.726988439069089</v>
      </c>
      <c r="AA136" s="123">
        <f t="shared" si="104"/>
        <v>-51.408940949806336</v>
      </c>
      <c r="AB136" s="123">
        <f t="shared" si="105"/>
        <v>-175.71681987571733</v>
      </c>
      <c r="AC136">
        <f t="shared" si="106"/>
        <v>-125.75106175602141</v>
      </c>
      <c r="AD136">
        <f t="shared" si="107"/>
        <v>-267.00763606707534</v>
      </c>
      <c r="AE136" s="123">
        <f t="shared" si="108"/>
        <v>-177.16000270582776</v>
      </c>
      <c r="AF136" s="123">
        <f t="shared" si="109"/>
        <v>-442.7244559427927</v>
      </c>
      <c r="AI136" s="123">
        <f t="shared" si="110"/>
        <v>0</v>
      </c>
      <c r="AJ136" s="123">
        <f t="shared" si="111"/>
        <v>0</v>
      </c>
      <c r="AK136" s="123">
        <f t="shared" si="112"/>
        <v>0</v>
      </c>
      <c r="AL136" s="123">
        <f t="shared" si="113"/>
        <v>0</v>
      </c>
      <c r="AM136" s="123">
        <f t="shared" si="114"/>
        <v>0</v>
      </c>
      <c r="AN136" s="123">
        <f t="shared" si="115"/>
        <v>0</v>
      </c>
      <c r="AO136" s="123">
        <f t="shared" si="116"/>
        <v>0</v>
      </c>
      <c r="AP136" s="123"/>
      <c r="AQ136" s="123">
        <f t="shared" si="117"/>
        <v>0</v>
      </c>
      <c r="AR136" s="123">
        <f t="shared" si="118"/>
        <v>0</v>
      </c>
      <c r="AS136" s="123">
        <f t="shared" si="119"/>
        <v>0</v>
      </c>
      <c r="AW136" t="str">
        <f t="shared" si="152"/>
        <v>8000</v>
      </c>
      <c r="AX136" t="str">
        <f t="shared" si="153"/>
        <v>3952-2.11783068799931i</v>
      </c>
      <c r="AY136" t="str">
        <f t="shared" si="120"/>
        <v>2645.2478254241-0.948833540992964i</v>
      </c>
      <c r="AZ136">
        <f t="shared" si="154"/>
        <v>-5.5300722071650519</v>
      </c>
      <c r="BA136">
        <f t="shared" si="155"/>
        <v>-2.0551634450076593E-2</v>
      </c>
      <c r="BB136">
        <f t="shared" si="156"/>
        <v>-1.6058369745456975E-7</v>
      </c>
      <c r="BC136">
        <f t="shared" si="157"/>
        <v>3.5790968059851189E-3</v>
      </c>
      <c r="BD136" s="123">
        <f t="shared" si="121"/>
        <v>-63.345491180462766</v>
      </c>
      <c r="BE136" s="123">
        <f t="shared" si="122"/>
        <v>-175.7012843247179</v>
      </c>
      <c r="BF136">
        <f t="shared" si="123"/>
        <v>-86.699508984814969</v>
      </c>
      <c r="BG136">
        <f t="shared" si="124"/>
        <v>-178.71688869953118</v>
      </c>
      <c r="BH136" s="123">
        <f t="shared" si="125"/>
        <v>-150.04500016527774</v>
      </c>
      <c r="BI136" s="123">
        <f t="shared" si="126"/>
        <v>-354.41817302424909</v>
      </c>
      <c r="BL136" s="123">
        <f t="shared" si="127"/>
        <v>0</v>
      </c>
      <c r="BM136" s="123">
        <f t="shared" si="128"/>
        <v>0</v>
      </c>
      <c r="BN136" s="123">
        <f t="shared" si="129"/>
        <v>0</v>
      </c>
      <c r="BO136" s="123">
        <f t="shared" si="130"/>
        <v>0</v>
      </c>
      <c r="BP136" s="123">
        <f t="shared" si="131"/>
        <v>0</v>
      </c>
      <c r="BQ136" s="123">
        <f t="shared" si="132"/>
        <v>0</v>
      </c>
      <c r="BR136" s="123">
        <f t="shared" si="133"/>
        <v>0</v>
      </c>
      <c r="BS136" s="123"/>
      <c r="BT136" s="123">
        <f t="shared" si="134"/>
        <v>0</v>
      </c>
      <c r="BU136" s="123">
        <f t="shared" si="135"/>
        <v>0</v>
      </c>
      <c r="BV136" s="123">
        <f t="shared" si="136"/>
        <v>0</v>
      </c>
      <c r="BX136" s="123">
        <f t="shared" si="137"/>
        <v>0</v>
      </c>
      <c r="BY136" s="123"/>
    </row>
    <row r="137" spans="5:77" x14ac:dyDescent="0.25">
      <c r="E137">
        <v>126</v>
      </c>
      <c r="F137">
        <v>9500000</v>
      </c>
      <c r="G137" s="58">
        <f t="shared" si="138"/>
        <v>-64.282841643398442</v>
      </c>
      <c r="H137" s="58">
        <f t="shared" si="139"/>
        <v>-175.93042818948237</v>
      </c>
      <c r="I137">
        <f t="shared" si="140"/>
        <v>11.936549989904011</v>
      </c>
      <c r="J137">
        <f t="shared" si="141"/>
        <v>-1.1327167351046458E-2</v>
      </c>
      <c r="K137" t="str">
        <f t="shared" si="142"/>
        <v>18.7018827693283-837.240015426098i</v>
      </c>
      <c r="L137" t="str">
        <f t="shared" si="143"/>
        <v>100000000-16753.155389805i</v>
      </c>
      <c r="M137" t="str">
        <f t="shared" si="144"/>
        <v>149775.337000795-0.037581768707158i</v>
      </c>
      <c r="N137">
        <f t="shared" si="99"/>
        <v>-45.050860318449836</v>
      </c>
      <c r="O137">
        <f t="shared" si="145"/>
        <v>-88.400131513140721</v>
      </c>
      <c r="P137" t="str">
        <f t="shared" si="146"/>
        <v>-3.72872365675608i</v>
      </c>
      <c r="Q137" t="str">
        <f t="shared" si="147"/>
        <v>7350-2.17573446620845i</v>
      </c>
      <c r="R137" t="str">
        <f t="shared" si="100"/>
        <v>0.00189161512056005-3.72872213716938i</v>
      </c>
      <c r="S137" t="str">
        <f t="shared" si="148"/>
        <v>0.701670533863969-8376.57763612654i</v>
      </c>
      <c r="T137" t="str">
        <f t="shared" si="101"/>
        <v>0.0018900710996834-3.7270630848997i</v>
      </c>
      <c r="U137" t="str">
        <f t="shared" si="102"/>
        <v>0.000443016945398161-0.0210433049064127i</v>
      </c>
      <c r="V137">
        <f t="shared" si="149"/>
        <v>-82.108460624914414</v>
      </c>
      <c r="W137">
        <f t="shared" si="150"/>
        <v>-178.76493253446179</v>
      </c>
      <c r="X137">
        <f t="shared" si="103"/>
        <v>-33.535796616952879</v>
      </c>
      <c r="Y137">
        <f t="shared" si="151"/>
        <v>-88.793969693840893</v>
      </c>
      <c r="AA137" s="123">
        <f t="shared" si="104"/>
        <v>-52.346291653494433</v>
      </c>
      <c r="AB137" s="123">
        <f t="shared" si="105"/>
        <v>-175.94175535683343</v>
      </c>
      <c r="AC137">
        <f t="shared" si="106"/>
        <v>-127.15932094336425</v>
      </c>
      <c r="AD137">
        <f t="shared" si="107"/>
        <v>-267.16506404760253</v>
      </c>
      <c r="AE137" s="123">
        <f t="shared" si="108"/>
        <v>-179.50561259685867</v>
      </c>
      <c r="AF137" s="123">
        <f t="shared" si="109"/>
        <v>-443.10681940443595</v>
      </c>
      <c r="AI137" s="123">
        <f t="shared" si="110"/>
        <v>0</v>
      </c>
      <c r="AJ137" s="123">
        <f t="shared" si="111"/>
        <v>0</v>
      </c>
      <c r="AK137" s="123">
        <f t="shared" si="112"/>
        <v>0</v>
      </c>
      <c r="AL137" s="123">
        <f t="shared" si="113"/>
        <v>0</v>
      </c>
      <c r="AM137" s="123">
        <f t="shared" si="114"/>
        <v>0</v>
      </c>
      <c r="AN137" s="123">
        <f t="shared" si="115"/>
        <v>0</v>
      </c>
      <c r="AO137" s="123">
        <f t="shared" si="116"/>
        <v>0</v>
      </c>
      <c r="AP137" s="123"/>
      <c r="AQ137" s="123">
        <f t="shared" si="117"/>
        <v>0</v>
      </c>
      <c r="AR137" s="123">
        <f t="shared" si="118"/>
        <v>0</v>
      </c>
      <c r="AS137" s="123">
        <f t="shared" si="119"/>
        <v>0</v>
      </c>
      <c r="AW137" t="str">
        <f t="shared" si="152"/>
        <v>8000</v>
      </c>
      <c r="AX137" t="str">
        <f t="shared" si="153"/>
        <v>3952-2.00636591494671i</v>
      </c>
      <c r="AY137" t="str">
        <f t="shared" si="120"/>
        <v>2645.24780819212-0.898894936464989i</v>
      </c>
      <c r="AZ137">
        <f t="shared" si="154"/>
        <v>-5.5300723210175295</v>
      </c>
      <c r="BA137">
        <f t="shared" si="155"/>
        <v>-1.9469969754091859E-2</v>
      </c>
      <c r="BB137">
        <f t="shared" si="156"/>
        <v>-1.4412500920065483E-7</v>
      </c>
      <c r="BC137">
        <f t="shared" si="157"/>
        <v>3.3907233204347855E-3</v>
      </c>
      <c r="BD137" s="123">
        <f t="shared" si="121"/>
        <v>-64.282841787523452</v>
      </c>
      <c r="BE137" s="123">
        <f t="shared" si="122"/>
        <v>-175.92703746616195</v>
      </c>
      <c r="BF137">
        <f t="shared" si="123"/>
        <v>-87.638532945931942</v>
      </c>
      <c r="BG137">
        <f t="shared" si="124"/>
        <v>-178.78440250421588</v>
      </c>
      <c r="BH137" s="123">
        <f t="shared" si="125"/>
        <v>-151.92137473345539</v>
      </c>
      <c r="BI137" s="123">
        <f t="shared" si="126"/>
        <v>-354.7114399703778</v>
      </c>
      <c r="BL137" s="123">
        <f t="shared" si="127"/>
        <v>0</v>
      </c>
      <c r="BM137" s="123">
        <f t="shared" si="128"/>
        <v>0</v>
      </c>
      <c r="BN137" s="123">
        <f t="shared" si="129"/>
        <v>0</v>
      </c>
      <c r="BO137" s="123">
        <f t="shared" si="130"/>
        <v>0</v>
      </c>
      <c r="BP137" s="123">
        <f t="shared" si="131"/>
        <v>0</v>
      </c>
      <c r="BQ137" s="123">
        <f t="shared" si="132"/>
        <v>0</v>
      </c>
      <c r="BR137" s="123">
        <f t="shared" si="133"/>
        <v>0</v>
      </c>
      <c r="BS137" s="123"/>
      <c r="BT137" s="123">
        <f t="shared" si="134"/>
        <v>0</v>
      </c>
      <c r="BU137" s="123">
        <f t="shared" si="135"/>
        <v>0</v>
      </c>
      <c r="BV137" s="123">
        <f t="shared" si="136"/>
        <v>0</v>
      </c>
      <c r="BX137" s="123">
        <f t="shared" si="137"/>
        <v>0</v>
      </c>
      <c r="BY137" s="123"/>
    </row>
    <row r="138" spans="5:77" x14ac:dyDescent="0.25">
      <c r="E138">
        <v>127</v>
      </c>
      <c r="F138">
        <v>10000000</v>
      </c>
      <c r="G138" s="58">
        <f t="shared" si="138"/>
        <v>-65.17228041952886</v>
      </c>
      <c r="H138" s="58">
        <f t="shared" si="139"/>
        <v>-176.13350533018021</v>
      </c>
      <c r="I138">
        <f t="shared" si="140"/>
        <v>11.936549921457209</v>
      </c>
      <c r="J138">
        <f t="shared" si="141"/>
        <v>-1.0760809162267265E-2</v>
      </c>
      <c r="K138" t="str">
        <f t="shared" si="142"/>
        <v>16.8792699520512-795.416691708069i</v>
      </c>
      <c r="L138" t="str">
        <f t="shared" si="143"/>
        <v>100000000-15915.4976203148i</v>
      </c>
      <c r="M138" t="str">
        <f t="shared" si="144"/>
        <v>149775.337000182-0.0357026803692141i</v>
      </c>
      <c r="N138">
        <f t="shared" si="99"/>
        <v>-45.496058132340885</v>
      </c>
      <c r="O138">
        <f t="shared" si="145"/>
        <v>-88.480087363785628</v>
      </c>
      <c r="P138" t="str">
        <f t="shared" si="146"/>
        <v>-3.54228747391827i</v>
      </c>
      <c r="Q138" t="str">
        <f t="shared" si="147"/>
        <v>7350-2.06694774289803i</v>
      </c>
      <c r="R138" t="str">
        <f t="shared" si="100"/>
        <v>0.00170718275372164-3.54228617106254i</v>
      </c>
      <c r="S138" t="str">
        <f t="shared" si="148"/>
        <v>0.633257657245463-7957.74875976435i</v>
      </c>
      <c r="T138" t="str">
        <f t="shared" si="101"/>
        <v>0.00170578927473768-3.54071007125465i</v>
      </c>
      <c r="U138" t="str">
        <f t="shared" si="102"/>
        <v>0.00039984006397441-0.0199920031987205i</v>
      </c>
      <c r="V138">
        <f t="shared" si="149"/>
        <v>-82.999328583472874</v>
      </c>
      <c r="W138">
        <f t="shared" si="150"/>
        <v>-178.82667128134582</v>
      </c>
      <c r="X138">
        <f t="shared" si="103"/>
        <v>-33.981136917305029</v>
      </c>
      <c r="Y138">
        <f t="shared" si="151"/>
        <v>-88.854255647427891</v>
      </c>
      <c r="AA138" s="123">
        <f t="shared" si="104"/>
        <v>-53.235730498071653</v>
      </c>
      <c r="AB138" s="123">
        <f t="shared" si="105"/>
        <v>-176.14426613934248</v>
      </c>
      <c r="AC138">
        <f t="shared" si="106"/>
        <v>-128.49538671581377</v>
      </c>
      <c r="AD138">
        <f t="shared" si="107"/>
        <v>-267.30675864513148</v>
      </c>
      <c r="AE138" s="123">
        <f t="shared" si="108"/>
        <v>-181.73111721388543</v>
      </c>
      <c r="AF138" s="123">
        <f t="shared" si="109"/>
        <v>-443.45102478447393</v>
      </c>
      <c r="AI138" s="123">
        <f t="shared" si="110"/>
        <v>0</v>
      </c>
      <c r="AJ138" s="123">
        <f t="shared" si="111"/>
        <v>0</v>
      </c>
      <c r="AK138" s="123">
        <f t="shared" si="112"/>
        <v>0</v>
      </c>
      <c r="AL138" s="123">
        <f t="shared" si="113"/>
        <v>0</v>
      </c>
      <c r="AM138" s="123">
        <f t="shared" si="114"/>
        <v>0</v>
      </c>
      <c r="AN138" s="123">
        <f t="shared" si="115"/>
        <v>0</v>
      </c>
      <c r="AO138" s="123">
        <f t="shared" si="116"/>
        <v>0</v>
      </c>
      <c r="AP138" s="123"/>
      <c r="AQ138" s="123"/>
      <c r="AR138" s="123"/>
      <c r="AS138" s="123"/>
      <c r="AW138" t="str">
        <f t="shared" si="152"/>
        <v>8000</v>
      </c>
      <c r="AX138" t="str">
        <f t="shared" si="153"/>
        <v>3952-1.90604761919938i</v>
      </c>
      <c r="AY138" t="str">
        <f t="shared" si="120"/>
        <v>2645.24779347973-0.853950191987998i</v>
      </c>
      <c r="AZ138">
        <f t="shared" si="154"/>
        <v>-5.5300724182229475</v>
      </c>
      <c r="BA138">
        <f t="shared" si="155"/>
        <v>-1.8496471489496659E-2</v>
      </c>
      <c r="BB138">
        <f t="shared" si="156"/>
        <v>-1.3007279152746762E-7</v>
      </c>
      <c r="BC138">
        <f t="shared" si="157"/>
        <v>3.2211871791952441E-3</v>
      </c>
      <c r="BD138" s="123">
        <f t="shared" si="121"/>
        <v>-65.172280549601652</v>
      </c>
      <c r="BE138" s="123">
        <f t="shared" si="122"/>
        <v>-176.13028414300101</v>
      </c>
      <c r="BF138">
        <f t="shared" si="123"/>
        <v>-88.529401001695817</v>
      </c>
      <c r="BG138">
        <f t="shared" si="124"/>
        <v>-178.84516775283532</v>
      </c>
      <c r="BH138" s="123">
        <f t="shared" si="125"/>
        <v>-153.70168155129747</v>
      </c>
      <c r="BI138" s="123">
        <f t="shared" si="126"/>
        <v>-354.97545189583633</v>
      </c>
      <c r="BL138" s="123">
        <f t="shared" si="127"/>
        <v>0</v>
      </c>
      <c r="BM138" s="123">
        <f t="shared" si="128"/>
        <v>0</v>
      </c>
      <c r="BN138" s="123">
        <f t="shared" si="129"/>
        <v>0</v>
      </c>
      <c r="BO138" s="123">
        <f t="shared" si="130"/>
        <v>0</v>
      </c>
      <c r="BP138" s="123">
        <f t="shared" si="131"/>
        <v>0</v>
      </c>
      <c r="BQ138" s="123">
        <f t="shared" si="132"/>
        <v>0</v>
      </c>
      <c r="BR138" s="123">
        <f t="shared" si="133"/>
        <v>0</v>
      </c>
      <c r="BS138" s="123"/>
      <c r="BT138" s="123">
        <f t="shared" si="134"/>
        <v>0</v>
      </c>
      <c r="BX138" s="123">
        <f t="shared" si="137"/>
        <v>0</v>
      </c>
      <c r="BY138" s="123"/>
    </row>
    <row r="139" spans="5:77" x14ac:dyDescent="0.25">
      <c r="AI139" s="123"/>
      <c r="AJ139" s="123"/>
      <c r="AK139" s="123"/>
      <c r="AL139" s="123"/>
      <c r="AM139" s="123"/>
      <c r="AN139" s="123"/>
      <c r="AO139" s="123"/>
      <c r="AP139" s="123"/>
      <c r="AQ139" s="123"/>
      <c r="AR139" s="123"/>
      <c r="AS139" s="123"/>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5B66E-7E9B-43CB-A19C-32363780FFFC}">
  <sheetPr codeName="Sheet13"/>
  <dimension ref="C1:BS212"/>
  <sheetViews>
    <sheetView zoomScaleNormal="100" workbookViewId="0">
      <selection activeCell="E1" sqref="E1"/>
    </sheetView>
  </sheetViews>
  <sheetFormatPr defaultRowHeight="13.2" x14ac:dyDescent="0.25"/>
  <cols>
    <col min="1" max="1" width="111.44140625" style="61" customWidth="1"/>
    <col min="2" max="2" width="8.88671875" style="61"/>
    <col min="3" max="3" width="6.77734375" style="61" customWidth="1"/>
    <col min="4" max="4" width="10.44140625" style="61" customWidth="1"/>
    <col min="5" max="5" width="6.77734375" style="61" customWidth="1"/>
    <col min="6" max="6" width="8" style="61" customWidth="1"/>
    <col min="7" max="7" width="8.88671875" style="62"/>
    <col min="8" max="9" width="9.77734375" style="61" customWidth="1"/>
    <col min="10" max="13" width="8.21875" style="65" customWidth="1"/>
    <col min="14" max="14" width="10.77734375" style="63" customWidth="1"/>
    <col min="15" max="17" width="8.77734375" style="64" customWidth="1"/>
    <col min="18" max="18" width="12.21875" style="64" customWidth="1"/>
    <col min="19" max="19" width="8" style="64" customWidth="1"/>
    <col min="20" max="20" width="9.44140625" style="65" customWidth="1"/>
    <col min="21" max="21" width="8" style="61" customWidth="1"/>
    <col min="22" max="22" width="9.21875" style="66" customWidth="1"/>
    <col min="23" max="23" width="8.77734375" style="64" customWidth="1"/>
    <col min="24" max="24" width="9.77734375" style="61" customWidth="1"/>
    <col min="25" max="25" width="10.77734375" style="61" customWidth="1"/>
    <col min="26" max="26" width="9.77734375" style="65" customWidth="1"/>
    <col min="27" max="27" width="10.5546875" style="61" customWidth="1"/>
    <col min="28" max="28" width="8.88671875" style="61"/>
    <col min="29" max="31" width="8.5546875" style="61" customWidth="1"/>
    <col min="32" max="32" width="11.77734375" style="61" customWidth="1"/>
    <col min="33" max="33" width="12.77734375" style="61" customWidth="1"/>
    <col min="34" max="35" width="8" style="61" customWidth="1"/>
    <col min="36" max="36" width="9.77734375" style="61" customWidth="1"/>
    <col min="37" max="39" width="8.77734375" style="61" customWidth="1"/>
    <col min="40" max="46" width="10.5546875" style="61" customWidth="1"/>
    <col min="47" max="47" width="10.21875" style="61" customWidth="1"/>
    <col min="48" max="48" width="11.5546875" style="61" customWidth="1"/>
    <col min="49" max="49" width="9.21875" style="61" customWidth="1"/>
    <col min="50" max="50" width="10.44140625" style="61" customWidth="1"/>
    <col min="51" max="51" width="8.88671875" style="61"/>
    <col min="52" max="52" width="8.44140625" style="64" customWidth="1"/>
    <col min="53" max="53" width="7.21875" style="64" customWidth="1"/>
    <col min="54" max="54" width="10.21875" style="67" customWidth="1"/>
    <col min="55" max="55" width="7.77734375" style="63" customWidth="1"/>
    <col min="56" max="56" width="8.88671875" style="65"/>
    <col min="57" max="57" width="10.21875" style="65" customWidth="1"/>
    <col min="58" max="58" width="12.21875" style="65" customWidth="1"/>
    <col min="59" max="59" width="8.77734375" style="65" customWidth="1"/>
    <col min="60" max="63" width="7.77734375" style="61" customWidth="1"/>
    <col min="64" max="66" width="8.88671875" style="61"/>
    <col min="67" max="67" width="28.44140625" style="61" customWidth="1"/>
    <col min="68" max="69" width="8.88671875" style="61"/>
    <col min="70" max="70" width="12.44140625" style="61" bestFit="1" customWidth="1"/>
    <col min="71" max="16384" width="8.88671875" style="61"/>
  </cols>
  <sheetData>
    <row r="1" spans="3:71" ht="374.4" customHeight="1" x14ac:dyDescent="0.25"/>
    <row r="2" spans="3:71" x14ac:dyDescent="0.25">
      <c r="AI2" s="120" t="s">
        <v>378</v>
      </c>
      <c r="AJ2" s="119">
        <f>V.supply_typ</f>
        <v>24</v>
      </c>
    </row>
    <row r="3" spans="3:71" x14ac:dyDescent="0.25">
      <c r="AI3" s="120" t="s">
        <v>379</v>
      </c>
      <c r="AJ3" s="119">
        <f>V.bd_ls</f>
        <v>0.8</v>
      </c>
    </row>
    <row r="4" spans="3:71" ht="12.75" customHeight="1" x14ac:dyDescent="0.25">
      <c r="AI4" s="120" t="s">
        <v>380</v>
      </c>
      <c r="AJ4" s="119">
        <f>V.fwd_sch</f>
        <v>4444</v>
      </c>
    </row>
    <row r="5" spans="3:71" ht="12.75" customHeight="1" x14ac:dyDescent="0.25">
      <c r="G5" s="68"/>
      <c r="H5" s="69"/>
      <c r="I5" s="69"/>
      <c r="AI5" s="120" t="s">
        <v>381</v>
      </c>
      <c r="AJ5" s="119">
        <f>MIN(AJ3:AJ4)</f>
        <v>0.8</v>
      </c>
      <c r="AU5" s="69"/>
    </row>
    <row r="6" spans="3:71" ht="12.75" customHeight="1" x14ac:dyDescent="0.25">
      <c r="D6" s="118" t="str">
        <f>"Full Load Efficiency = "&amp;ROUND(BB112*100,1)&amp;" %"</f>
        <v>Full Load Efficiency = 90.7 %</v>
      </c>
      <c r="G6" s="68"/>
      <c r="H6" s="69"/>
      <c r="I6" s="69"/>
      <c r="AI6" s="120" t="s">
        <v>382</v>
      </c>
      <c r="AJ6" s="119">
        <f>0.5*AJ2/(AJ5+AJ2)</f>
        <v>0.48387096774193544</v>
      </c>
      <c r="AU6" s="69"/>
    </row>
    <row r="7" spans="3:71" ht="12.75" customHeight="1" x14ac:dyDescent="0.25">
      <c r="G7" s="68"/>
      <c r="H7" s="69"/>
      <c r="I7" s="69"/>
      <c r="AI7" s="120" t="s">
        <v>383</v>
      </c>
      <c r="AJ7" s="119">
        <f>(AJ5+0.5*AJ2)/(AJ5+AJ2)</f>
        <v>0.5161290322580645</v>
      </c>
      <c r="AU7" s="69"/>
      <c r="AW7" s="69"/>
    </row>
    <row r="8" spans="3:71" x14ac:dyDescent="0.25">
      <c r="D8" s="119" t="s">
        <v>369</v>
      </c>
      <c r="E8" s="119" t="s">
        <v>369</v>
      </c>
      <c r="F8" s="119" t="s">
        <v>369</v>
      </c>
    </row>
    <row r="9" spans="3:71" ht="13.5" customHeight="1" x14ac:dyDescent="0.25">
      <c r="D9" s="119">
        <v>0</v>
      </c>
      <c r="E9" s="119">
        <v>0</v>
      </c>
      <c r="F9" s="119">
        <v>0</v>
      </c>
      <c r="N9" s="70"/>
      <c r="O9" s="71"/>
      <c r="P9" s="71"/>
      <c r="Q9" s="71"/>
      <c r="R9" s="71"/>
      <c r="AV9" s="72"/>
      <c r="AW9" s="72"/>
      <c r="AY9" s="72"/>
      <c r="AZ9" s="71"/>
    </row>
    <row r="10" spans="3:71" s="69" customFormat="1" x14ac:dyDescent="0.25">
      <c r="C10" s="166" t="s">
        <v>285</v>
      </c>
      <c r="D10" s="167"/>
      <c r="E10" s="167"/>
      <c r="F10" s="167"/>
      <c r="G10" s="167"/>
      <c r="H10" s="167"/>
      <c r="I10" s="167"/>
      <c r="J10" s="167"/>
      <c r="K10" s="167"/>
      <c r="L10" s="167"/>
      <c r="M10" s="167"/>
      <c r="N10" s="167"/>
      <c r="O10" s="167"/>
      <c r="P10" s="167"/>
      <c r="Q10" s="167"/>
      <c r="R10" s="168"/>
      <c r="S10" s="162" t="s">
        <v>286</v>
      </c>
      <c r="T10" s="162"/>
      <c r="U10" s="162"/>
      <c r="V10" s="162"/>
      <c r="W10" s="169" t="s">
        <v>287</v>
      </c>
      <c r="X10" s="169"/>
      <c r="Y10" s="169"/>
      <c r="Z10" s="162" t="s">
        <v>288</v>
      </c>
      <c r="AA10" s="162"/>
      <c r="AB10" s="162"/>
      <c r="AC10" s="162" t="s">
        <v>289</v>
      </c>
      <c r="AD10" s="162"/>
      <c r="AE10" s="162"/>
      <c r="AF10" s="162"/>
      <c r="AG10" s="162"/>
      <c r="AH10" s="162"/>
      <c r="AI10" s="162"/>
      <c r="AJ10" s="162"/>
      <c r="AK10" s="162" t="s">
        <v>356</v>
      </c>
      <c r="AL10" s="162"/>
      <c r="AM10" s="162"/>
      <c r="AN10" s="162"/>
      <c r="AO10" s="162"/>
      <c r="AP10" s="162"/>
      <c r="AQ10" s="162"/>
      <c r="AR10" s="162"/>
      <c r="AS10" s="162"/>
      <c r="AT10" s="162"/>
      <c r="AU10" s="162"/>
      <c r="AV10" s="100" t="s">
        <v>290</v>
      </c>
      <c r="AW10" s="162" t="s">
        <v>291</v>
      </c>
      <c r="AX10" s="162"/>
      <c r="AY10" s="162"/>
      <c r="AZ10" s="162" t="s">
        <v>292</v>
      </c>
      <c r="BA10" s="162"/>
      <c r="BB10" s="162"/>
      <c r="BC10" s="163" t="s">
        <v>372</v>
      </c>
      <c r="BD10" s="164"/>
      <c r="BE10" s="164"/>
      <c r="BF10" s="164"/>
      <c r="BG10" s="164"/>
      <c r="BH10" s="164"/>
      <c r="BI10" s="164"/>
      <c r="BJ10" s="164"/>
      <c r="BK10" s="164"/>
      <c r="BL10" s="165"/>
    </row>
    <row r="11" spans="3:71" s="69" customFormat="1" ht="66" x14ac:dyDescent="0.25">
      <c r="C11" s="101" t="s">
        <v>293</v>
      </c>
      <c r="D11" s="101" t="s">
        <v>345</v>
      </c>
      <c r="E11" s="101" t="s">
        <v>343</v>
      </c>
      <c r="F11" s="101" t="s">
        <v>344</v>
      </c>
      <c r="G11" s="101" t="s">
        <v>294</v>
      </c>
      <c r="H11" s="101" t="s">
        <v>295</v>
      </c>
      <c r="I11" s="101" t="s">
        <v>296</v>
      </c>
      <c r="J11" s="102" t="s">
        <v>329</v>
      </c>
      <c r="K11" s="102" t="s">
        <v>330</v>
      </c>
      <c r="L11" s="102" t="s">
        <v>323</v>
      </c>
      <c r="M11" s="102" t="s">
        <v>331</v>
      </c>
      <c r="N11" s="103" t="s">
        <v>297</v>
      </c>
      <c r="O11" s="104" t="s">
        <v>298</v>
      </c>
      <c r="P11" s="101" t="s">
        <v>299</v>
      </c>
      <c r="Q11" s="101" t="s">
        <v>300</v>
      </c>
      <c r="R11" s="101" t="s">
        <v>301</v>
      </c>
      <c r="S11" s="105" t="s">
        <v>302</v>
      </c>
      <c r="T11" s="106" t="s">
        <v>303</v>
      </c>
      <c r="U11" s="107" t="s">
        <v>304</v>
      </c>
      <c r="V11" s="108" t="s">
        <v>305</v>
      </c>
      <c r="W11" s="105" t="s">
        <v>306</v>
      </c>
      <c r="X11" s="109" t="s">
        <v>307</v>
      </c>
      <c r="Y11" s="110" t="s">
        <v>308</v>
      </c>
      <c r="Z11" s="106" t="s">
        <v>309</v>
      </c>
      <c r="AA11" s="107" t="s">
        <v>310</v>
      </c>
      <c r="AB11" s="110" t="s">
        <v>311</v>
      </c>
      <c r="AC11" s="107" t="s">
        <v>312</v>
      </c>
      <c r="AD11" s="101" t="s">
        <v>414</v>
      </c>
      <c r="AE11" s="107" t="s">
        <v>415</v>
      </c>
      <c r="AF11" s="107" t="s">
        <v>313</v>
      </c>
      <c r="AG11" s="111" t="s">
        <v>314</v>
      </c>
      <c r="AH11" s="107" t="s">
        <v>315</v>
      </c>
      <c r="AI11" s="107" t="s">
        <v>377</v>
      </c>
      <c r="AJ11" s="110" t="s">
        <v>316</v>
      </c>
      <c r="AK11" s="107" t="s">
        <v>312</v>
      </c>
      <c r="AL11" s="101" t="s">
        <v>414</v>
      </c>
      <c r="AM11" s="107" t="s">
        <v>415</v>
      </c>
      <c r="AN11" s="101" t="s">
        <v>352</v>
      </c>
      <c r="AO11" s="101" t="s">
        <v>353</v>
      </c>
      <c r="AP11" s="107" t="s">
        <v>317</v>
      </c>
      <c r="AQ11" s="102" t="s">
        <v>354</v>
      </c>
      <c r="AR11" s="102" t="s">
        <v>355</v>
      </c>
      <c r="AS11" s="101" t="s">
        <v>384</v>
      </c>
      <c r="AT11" s="107" t="s">
        <v>376</v>
      </c>
      <c r="AU11" s="110" t="s">
        <v>357</v>
      </c>
      <c r="AV11" s="110" t="s">
        <v>318</v>
      </c>
      <c r="AW11" s="107" t="s">
        <v>416</v>
      </c>
      <c r="AX11" s="107" t="s">
        <v>361</v>
      </c>
      <c r="AY11" s="110" t="s">
        <v>319</v>
      </c>
      <c r="AZ11" s="112" t="s">
        <v>320</v>
      </c>
      <c r="BA11" s="105" t="s">
        <v>321</v>
      </c>
      <c r="BB11" s="113" t="s">
        <v>417</v>
      </c>
      <c r="BC11" s="114" t="s">
        <v>258</v>
      </c>
      <c r="BD11" s="115" t="s">
        <v>147</v>
      </c>
      <c r="BE11" s="115" t="s">
        <v>322</v>
      </c>
      <c r="BF11" s="115" t="s">
        <v>371</v>
      </c>
      <c r="BG11" s="115" t="s">
        <v>375</v>
      </c>
      <c r="BH11" s="115" t="s">
        <v>374</v>
      </c>
      <c r="BI11" s="115" t="s">
        <v>366</v>
      </c>
      <c r="BJ11" s="115" t="s">
        <v>367</v>
      </c>
      <c r="BK11" s="115" t="s">
        <v>368</v>
      </c>
      <c r="BL11" s="115" t="s">
        <v>365</v>
      </c>
    </row>
    <row r="12" spans="3:71" x14ac:dyDescent="0.25">
      <c r="C12" s="61">
        <v>0</v>
      </c>
      <c r="D12" s="61">
        <f t="shared" ref="D12:D43" si="0">T.amb+I12*$D$9</f>
        <v>105</v>
      </c>
      <c r="E12" s="61">
        <f t="shared" ref="E12:E43" si="1">T.amb+I12*$E$9</f>
        <v>105</v>
      </c>
      <c r="F12" s="61">
        <f t="shared" ref="F12:F43" si="2">T.amb+I12*$F$9</f>
        <v>105</v>
      </c>
      <c r="G12" s="73">
        <f t="shared" ref="G12:G43" si="3">V.supply_typ</f>
        <v>24</v>
      </c>
      <c r="H12" s="64">
        <f t="shared" ref="H12:H43" si="4">FPWM</f>
        <v>1</v>
      </c>
      <c r="I12" s="61">
        <v>0</v>
      </c>
      <c r="J12" s="65">
        <f t="shared" ref="J12:J43" si="5">R.hs25*((D12+275)/300)^2.3</f>
        <v>8.6117892021752077E-4</v>
      </c>
      <c r="K12" s="65">
        <f t="shared" ref="K12:K43" si="6">R.ls25*((E12+275)/300)^2.3</f>
        <v>8.6117892021752077E-4</v>
      </c>
      <c r="L12" s="65">
        <f t="shared" ref="L12:L43" si="7">R.dcr25*((F12+275)/300)^1.2</f>
        <v>5.1791610661465239E-3</v>
      </c>
      <c r="M12" s="65">
        <f t="shared" ref="M12:M43" si="8">R.s</f>
        <v>5.0000000000000001E-3</v>
      </c>
      <c r="N12" s="63">
        <f t="shared" ref="N12:N43" si="9">(V.load+I12*(K12+L12+M12))/(V.supply_typ+I12*(K12-J12))</f>
        <v>0.16666666666666666</v>
      </c>
      <c r="O12" s="64">
        <f t="shared" ref="O12:O43" si="10">(V.supply_typ-I.load*(J12+L12+M12)-V.load)*N12/(f.sw*L.out)</f>
        <v>2.137287405989293</v>
      </c>
      <c r="P12" s="64">
        <f t="shared" ref="P12:P43" si="11">I12+O12/2</f>
        <v>1.0686437029946465</v>
      </c>
      <c r="Q12" s="64">
        <f t="shared" ref="Q12:Q43" si="12">I12-O12/2</f>
        <v>-1.0686437029946465</v>
      </c>
      <c r="R12" s="64">
        <f t="shared" ref="R12:R43" si="13">IF(MIN(V.supply_typ, -Q12/(C.oss_hs+C.oss_ls)*0.00000002)&lt;0, 0, MIN(V.supply_typ, -Q12/(C.oss_hs+C.oss_ls)*0.00000002))</f>
        <v>24</v>
      </c>
      <c r="S12" s="64">
        <f t="shared" ref="S12:S43" si="14">SQRT(I12^2+(O12^2)/12)</f>
        <v>0.61698172959175768</v>
      </c>
      <c r="T12" s="63">
        <f>S12^2*L12</f>
        <v>1.9715328811115017E-3</v>
      </c>
      <c r="U12" s="63">
        <f t="shared" ref="U12:U43" si="15">IF(FPWM=1,P.core,MIN(P.core,P.core*(O12+Q12)/O12))</f>
        <v>1</v>
      </c>
      <c r="V12" s="63">
        <f>U12+T12</f>
        <v>1.0019715328811114</v>
      </c>
      <c r="W12" s="64">
        <f>O12/SQRT(12)</f>
        <v>0.61698172959175768</v>
      </c>
      <c r="X12" s="63">
        <f t="shared" ref="X12:X43" si="16">R.esrb*W12^2</f>
        <v>7.6133290930007369E-2</v>
      </c>
      <c r="Y12" s="63">
        <f>X12</f>
        <v>7.6133290930007369E-2</v>
      </c>
      <c r="Z12" s="64">
        <f t="shared" ref="Z12:Z43" si="17">SQRT(N12*(1-N12))*SQRT(I12^2+(O12^2)/12)</f>
        <v>0.22993551470709395</v>
      </c>
      <c r="AA12" s="74">
        <f t="shared" ref="AA12:AA43" si="18">R.esr_cin*Z12^2</f>
        <v>5.2870340923616222E-5</v>
      </c>
      <c r="AB12" s="75">
        <f>AA12</f>
        <v>5.2870340923616222E-5</v>
      </c>
      <c r="AC12" s="63">
        <f t="shared" ref="AC12:AC43" si="19">SQRT(N12)*SQRT(I12^2+(O12^2)/12)</f>
        <v>0.25188173635327249</v>
      </c>
      <c r="AD12" s="63">
        <f>J12*AC12^2</f>
        <v>5.4636987729758427E-5</v>
      </c>
      <c r="AE12" s="63">
        <f t="shared" ref="AE12:AE43" si="20">AD12*(1+TC_rdson_hs*(T.amb-25))/(1-AD12*TC_rdson_hs*theta.ja_hs)</f>
        <v>7.2121801051734991E-5</v>
      </c>
      <c r="AF12" s="63">
        <f t="shared" ref="AF12:AF43" si="21">(V.supply_typ*P12/2)*f.sw*T.rise+(V.supply_typ*MAX(Q12,0)/2)*f.sw*T.fall</f>
        <v>6.0796692235548219E-2</v>
      </c>
      <c r="AG12" s="63">
        <f t="shared" ref="AG12:AG43" si="22">0.5*(C.oss_hs+C.oss_ls)*(V.supply_typ-R12)^2*f.sw</f>
        <v>0</v>
      </c>
      <c r="AH12" s="63">
        <f t="shared" ref="AH12:AH43" si="23">IF(I12&gt;O12/2,0,ABS(Q12)*V.bd_hs*t.d_loff_hon*f.sw)</f>
        <v>1.4063351131409552E-2</v>
      </c>
      <c r="AI12" s="63">
        <f>AS12*$AJ$6</f>
        <v>0.22378064516129031</v>
      </c>
      <c r="AJ12" s="63">
        <f>(AH12+AG12+AF12+AE12+AI12)</f>
        <v>0.2987128103292998</v>
      </c>
      <c r="AK12" s="63">
        <f t="shared" ref="AK12:AK43" si="24">SQRT((1-N12))*SQRT(I12^2+(O12^2)/12)</f>
        <v>0.56322468477659726</v>
      </c>
      <c r="AL12" s="63">
        <f t="shared" ref="AL12:AL43" si="25">K12*AK12^2</f>
        <v>2.7318493864879215E-4</v>
      </c>
      <c r="AM12" s="63">
        <f t="shared" ref="AM12:AM43" si="26">AL12*(1+TC_rdson_ls*(T.amb-25))/(1-AL12*TC_rdson_ls*theta.ja_ls)</f>
        <v>3.6062855155201087E-4</v>
      </c>
      <c r="AN12" s="63">
        <f t="shared" ref="AN12:AN43" si="27">IF(I12&gt;O12/2, Q12*V.bd_ls*t.d_loff_hon*f.sw + P12*V.bd_ls*t.d_hoff_lon*f.sw,P12*V.bd_ls*t.d_hoff_lon*f.sw)</f>
        <v>1.0045250808149679E-2</v>
      </c>
      <c r="AO12" s="63">
        <f t="shared" ref="AO12:AO43" si="28">IF(I12&gt;O12/2, Q12*V.fwd_sch*t.d_loff_hon*f.sw + P12*V.fwd_sch*t.d_hoff_lon*f.sw,P12*V.fwd_sch*t.d_hoff_lon*f.sw)</f>
        <v>55.801368239271461</v>
      </c>
      <c r="AP12" s="63">
        <f>MIN(AN12:AO12)</f>
        <v>1.0045250808149679E-2</v>
      </c>
      <c r="AQ12" s="61">
        <f t="shared" ref="AQ12:AQ43" si="29">Q.rr_ls*V.supply_typ*f.sw</f>
        <v>0.46248</v>
      </c>
      <c r="AR12" s="61">
        <f t="shared" ref="AR12:AR43" si="30">Q.rr_sch*V.supply_typ*f.sw</f>
        <v>50128320000</v>
      </c>
      <c r="AS12" s="61">
        <f>MIN(AQ12:AR12)</f>
        <v>0.46248</v>
      </c>
      <c r="AT12" s="61">
        <f>AS12*$AJ$7</f>
        <v>0.23869935483870966</v>
      </c>
      <c r="AU12" s="63">
        <f>AM12+AP12+AT12</f>
        <v>0.24910523419841135</v>
      </c>
      <c r="AV12" s="63">
        <f t="shared" ref="AV12:AV43" si="31">R.s*S12^2</f>
        <v>1.903332273250184E-3</v>
      </c>
      <c r="AW12" s="63">
        <f t="shared" ref="AW12:AW43" si="32">I.q_IC*V.supply_typ</f>
        <v>2.9760000000000003E-3</v>
      </c>
      <c r="AX12" s="63">
        <f t="shared" ref="AX12:AX43" si="33">IF(ExtVCC=1,  (Q.g_hs+Q.g_ls)*f.sw*V.load, (Q.g_hs+Q.g_ls)*f.sw*V.supply_typ)</f>
        <v>0.24815999999999999</v>
      </c>
      <c r="AY12" s="63">
        <f t="shared" ref="AY12:AY43" si="34">SUM(AW12:AX12)</f>
        <v>0.25113599999999997</v>
      </c>
      <c r="AZ12" s="63">
        <f t="shared" ref="AZ12:AZ43" si="35">V12+Y12+AB12+AJ12+AU12+AV12+AY12</f>
        <v>1.879015070953004</v>
      </c>
      <c r="BA12" s="64">
        <f t="shared" ref="BA12:BA43" si="36">V.load*I12</f>
        <v>0</v>
      </c>
      <c r="BB12" s="76">
        <f>BA12/(BA12+AZ12)</f>
        <v>0</v>
      </c>
      <c r="BC12" s="64">
        <f>BB12*100</f>
        <v>0</v>
      </c>
      <c r="BD12" s="63">
        <f t="shared" ref="BD12:BD43" si="37">V12</f>
        <v>1.0019715328811114</v>
      </c>
      <c r="BE12" s="63">
        <f>BF12+BG12</f>
        <v>0.54781804452771121</v>
      </c>
      <c r="BF12" s="63">
        <f t="shared" ref="BF12:BF43" si="38">AJ12</f>
        <v>0.2987128103292998</v>
      </c>
      <c r="BG12" s="63">
        <f t="shared" ref="BG12:BG43" si="39">AU12</f>
        <v>0.24910523419841135</v>
      </c>
      <c r="BH12" s="63">
        <f t="shared" ref="BH12:BH43" si="40">AV12</f>
        <v>1.903332273250184E-3</v>
      </c>
      <c r="BI12" s="63">
        <f>AY12</f>
        <v>0.25113599999999997</v>
      </c>
      <c r="BJ12" s="63">
        <f>AB12</f>
        <v>5.2870340923616222E-5</v>
      </c>
      <c r="BK12" s="63">
        <f>Y12</f>
        <v>7.6133290930007369E-2</v>
      </c>
      <c r="BL12" s="63">
        <f>BD12+BF12+BG12+BH12+BI12+BJ12+BK12</f>
        <v>1.879015070953004</v>
      </c>
      <c r="BP12" s="77"/>
      <c r="BQ12" s="77"/>
      <c r="BR12" s="77"/>
      <c r="BS12" s="78"/>
    </row>
    <row r="13" spans="3:71" x14ac:dyDescent="0.25">
      <c r="C13" s="61">
        <v>1</v>
      </c>
      <c r="D13" s="61">
        <f t="shared" si="0"/>
        <v>105</v>
      </c>
      <c r="E13" s="61">
        <f t="shared" si="1"/>
        <v>105</v>
      </c>
      <c r="F13" s="61">
        <f t="shared" si="2"/>
        <v>105</v>
      </c>
      <c r="G13" s="73">
        <f t="shared" si="3"/>
        <v>24</v>
      </c>
      <c r="H13" s="64">
        <f t="shared" si="4"/>
        <v>1</v>
      </c>
      <c r="I13" s="63">
        <f t="shared" ref="I13:I44" si="41">I.load*C13/100</f>
        <v>0.1</v>
      </c>
      <c r="J13" s="65">
        <f t="shared" si="5"/>
        <v>8.6117892021752077E-4</v>
      </c>
      <c r="K13" s="65">
        <f t="shared" si="6"/>
        <v>8.6117892021752077E-4</v>
      </c>
      <c r="L13" s="65">
        <f t="shared" si="7"/>
        <v>5.1791610661465239E-3</v>
      </c>
      <c r="M13" s="65">
        <f t="shared" si="8"/>
        <v>5.0000000000000001E-3</v>
      </c>
      <c r="N13" s="63">
        <f t="shared" si="9"/>
        <v>0.16671266808327653</v>
      </c>
      <c r="O13" s="64">
        <f t="shared" si="10"/>
        <v>2.1378773154795607</v>
      </c>
      <c r="P13" s="64">
        <f t="shared" si="11"/>
        <v>1.1689386577397805</v>
      </c>
      <c r="Q13" s="64">
        <f t="shared" si="12"/>
        <v>-0.96893865773978038</v>
      </c>
      <c r="R13" s="64">
        <f t="shared" si="13"/>
        <v>24</v>
      </c>
      <c r="S13" s="64">
        <f t="shared" si="14"/>
        <v>0.62520126199769288</v>
      </c>
      <c r="T13" s="63">
        <f t="shared" ref="T13:T76" si="42">S13^2*L13</f>
        <v>2.0244129616307951E-3</v>
      </c>
      <c r="U13" s="63">
        <f t="shared" si="15"/>
        <v>1</v>
      </c>
      <c r="V13" s="63">
        <f t="shared" ref="V13:V76" si="43">U13+T13</f>
        <v>1.0020244129616307</v>
      </c>
      <c r="W13" s="64">
        <f t="shared" ref="W13:W76" si="44">O13/SQRT(12)</f>
        <v>0.61715202179325945</v>
      </c>
      <c r="X13" s="63">
        <f t="shared" si="16"/>
        <v>7.6175323600701561E-2</v>
      </c>
      <c r="Y13" s="63">
        <f t="shared" ref="Y13:Y76" si="45">X13</f>
        <v>7.6175323600701561E-2</v>
      </c>
      <c r="Z13" s="64">
        <f t="shared" si="17"/>
        <v>0.2330244742341597</v>
      </c>
      <c r="AA13" s="74">
        <f t="shared" si="18"/>
        <v>5.4300405592106564E-5</v>
      </c>
      <c r="AB13" s="75">
        <f t="shared" ref="AB13:AB76" si="46">AA13</f>
        <v>5.4300405592106564E-5</v>
      </c>
      <c r="AC13" s="63">
        <f t="shared" si="19"/>
        <v>0.25527256781474283</v>
      </c>
      <c r="AD13" s="63">
        <f t="shared" ref="AD13:AD76" si="47">J13*AC13^2</f>
        <v>5.6117935391650785E-5</v>
      </c>
      <c r="AE13" s="63">
        <f t="shared" si="20"/>
        <v>7.4076705660861044E-5</v>
      </c>
      <c r="AF13" s="63">
        <f t="shared" si="21"/>
        <v>6.6502617867572167E-2</v>
      </c>
      <c r="AG13" s="63">
        <f t="shared" si="22"/>
        <v>0</v>
      </c>
      <c r="AH13" s="63">
        <f t="shared" si="23"/>
        <v>1.2751232735855511E-2</v>
      </c>
      <c r="AI13" s="63">
        <f t="shared" ref="AI13:AI76" si="48">AS13*$AJ$6</f>
        <v>0.22378064516129031</v>
      </c>
      <c r="AJ13" s="63">
        <f t="shared" ref="AJ13:AJ76" si="49">(AH13+AG13+AF13+AE13+AI13)</f>
        <v>0.30310857247037887</v>
      </c>
      <c r="AK13" s="63">
        <f t="shared" si="24"/>
        <v>0.57071230416451979</v>
      </c>
      <c r="AL13" s="63">
        <f t="shared" si="25"/>
        <v>2.8049676843888645E-4</v>
      </c>
      <c r="AM13" s="63">
        <f t="shared" si="26"/>
        <v>3.7028149230430716E-4</v>
      </c>
      <c r="AN13" s="63">
        <f t="shared" si="27"/>
        <v>1.0988023382753937E-2</v>
      </c>
      <c r="AO13" s="63">
        <f t="shared" si="28"/>
        <v>61.038469891198126</v>
      </c>
      <c r="AP13" s="63">
        <f t="shared" ref="AP13:AP76" si="50">MIN(AN13:AO13)</f>
        <v>1.0988023382753937E-2</v>
      </c>
      <c r="AQ13" s="61">
        <f t="shared" si="29"/>
        <v>0.46248</v>
      </c>
      <c r="AR13" s="61">
        <f t="shared" si="30"/>
        <v>50128320000</v>
      </c>
      <c r="AS13" s="61">
        <f t="shared" ref="AS13:AS76" si="51">MIN(AQ13:AR13)</f>
        <v>0.46248</v>
      </c>
      <c r="AT13" s="61">
        <f t="shared" ref="AT13:AT76" si="52">AS13*$AJ$7</f>
        <v>0.23869935483870966</v>
      </c>
      <c r="AU13" s="63">
        <f t="shared" ref="AU13:AU76" si="53">AM13+AP13+AT13</f>
        <v>0.25005765971376792</v>
      </c>
      <c r="AV13" s="63">
        <f t="shared" si="31"/>
        <v>1.9543830900175391E-3</v>
      </c>
      <c r="AW13" s="63">
        <f t="shared" si="32"/>
        <v>2.9760000000000003E-3</v>
      </c>
      <c r="AX13" s="63">
        <f t="shared" si="33"/>
        <v>0.24815999999999999</v>
      </c>
      <c r="AY13" s="63">
        <f t="shared" si="34"/>
        <v>0.25113599999999997</v>
      </c>
      <c r="AZ13" s="63">
        <f t="shared" si="35"/>
        <v>1.8845106522420887</v>
      </c>
      <c r="BA13" s="64">
        <f t="shared" si="36"/>
        <v>0.4</v>
      </c>
      <c r="BB13" s="76">
        <f t="shared" ref="BB13:BB76" si="54">BA13/(BA13+AZ13)</f>
        <v>0.17509220174019663</v>
      </c>
      <c r="BC13" s="64">
        <f t="shared" ref="BC13:BC76" si="55">BB13*100</f>
        <v>17.509220174019664</v>
      </c>
      <c r="BD13" s="63">
        <f t="shared" si="37"/>
        <v>1.0020244129616307</v>
      </c>
      <c r="BE13" s="63">
        <f t="shared" ref="BE13:BE76" si="56">BF13+BG13</f>
        <v>0.55316623218414684</v>
      </c>
      <c r="BF13" s="63">
        <f t="shared" si="38"/>
        <v>0.30310857247037887</v>
      </c>
      <c r="BG13" s="63">
        <f t="shared" si="39"/>
        <v>0.25005765971376792</v>
      </c>
      <c r="BH13" s="63">
        <f t="shared" si="40"/>
        <v>1.9543830900175391E-3</v>
      </c>
      <c r="BI13" s="63">
        <f t="shared" ref="BI13:BI76" si="57">AY13</f>
        <v>0.25113599999999997</v>
      </c>
      <c r="BJ13" s="63">
        <f t="shared" ref="BJ13:BJ76" si="58">AB13</f>
        <v>5.4300405592106564E-5</v>
      </c>
      <c r="BK13" s="63">
        <f t="shared" ref="BK13:BK76" si="59">Y13</f>
        <v>7.6175323600701561E-2</v>
      </c>
      <c r="BL13" s="63">
        <f t="shared" ref="BL13:BL76" si="60">BD13+BF13+BG13+BH13+BI13+BJ13+BK13</f>
        <v>1.8845106522420885</v>
      </c>
      <c r="BP13" s="77"/>
      <c r="BQ13" s="77"/>
      <c r="BR13" s="77"/>
      <c r="BS13" s="78"/>
    </row>
    <row r="14" spans="3:71" x14ac:dyDescent="0.25">
      <c r="C14" s="61">
        <v>2</v>
      </c>
      <c r="D14" s="61">
        <f t="shared" si="0"/>
        <v>105</v>
      </c>
      <c r="E14" s="61">
        <f t="shared" si="1"/>
        <v>105</v>
      </c>
      <c r="F14" s="61">
        <f t="shared" si="2"/>
        <v>105</v>
      </c>
      <c r="G14" s="73">
        <f t="shared" si="3"/>
        <v>24</v>
      </c>
      <c r="H14" s="64">
        <f t="shared" si="4"/>
        <v>1</v>
      </c>
      <c r="I14" s="63">
        <f t="shared" si="41"/>
        <v>0.2</v>
      </c>
      <c r="J14" s="65">
        <f t="shared" si="5"/>
        <v>8.6117892021752077E-4</v>
      </c>
      <c r="K14" s="65">
        <f t="shared" si="6"/>
        <v>8.6117892021752077E-4</v>
      </c>
      <c r="L14" s="65">
        <f t="shared" si="7"/>
        <v>5.1791610661465239E-3</v>
      </c>
      <c r="M14" s="65">
        <f t="shared" si="8"/>
        <v>5.0000000000000001E-3</v>
      </c>
      <c r="N14" s="63">
        <f t="shared" si="9"/>
        <v>0.16675866949988638</v>
      </c>
      <c r="O14" s="64">
        <f t="shared" si="10"/>
        <v>2.1384672249698284</v>
      </c>
      <c r="P14" s="64">
        <f t="shared" si="11"/>
        <v>1.2692336124849142</v>
      </c>
      <c r="Q14" s="64">
        <f t="shared" si="12"/>
        <v>-0.86923361248491426</v>
      </c>
      <c r="R14" s="64">
        <f t="shared" si="13"/>
        <v>24</v>
      </c>
      <c r="S14" s="64">
        <f t="shared" si="14"/>
        <v>0.64891204285006654</v>
      </c>
      <c r="T14" s="63">
        <f t="shared" si="42"/>
        <v>2.1808765638584963E-3</v>
      </c>
      <c r="U14" s="63">
        <f t="shared" si="15"/>
        <v>1</v>
      </c>
      <c r="V14" s="63">
        <f t="shared" si="43"/>
        <v>1.0021808765638585</v>
      </c>
      <c r="W14" s="64">
        <f t="shared" si="44"/>
        <v>0.61732231399476123</v>
      </c>
      <c r="X14" s="63">
        <f t="shared" si="16"/>
        <v>7.6217367871169325E-2</v>
      </c>
      <c r="Y14" s="63">
        <f t="shared" si="45"/>
        <v>7.6217367871169325E-2</v>
      </c>
      <c r="Z14" s="64">
        <f t="shared" si="17"/>
        <v>0.24188862547545287</v>
      </c>
      <c r="AA14" s="74">
        <f t="shared" si="18"/>
        <v>5.8510107134403901E-5</v>
      </c>
      <c r="AB14" s="75">
        <f t="shared" si="46"/>
        <v>5.8510107134403901E-5</v>
      </c>
      <c r="AC14" s="63">
        <f t="shared" si="19"/>
        <v>0.26499034147472877</v>
      </c>
      <c r="AD14" s="63">
        <f t="shared" si="47"/>
        <v>6.0471881361879391E-5</v>
      </c>
      <c r="AE14" s="63">
        <f t="shared" si="20"/>
        <v>7.982408052153791E-5</v>
      </c>
      <c r="AF14" s="63">
        <f t="shared" si="21"/>
        <v>7.2208543499596115E-2</v>
      </c>
      <c r="AG14" s="63">
        <f t="shared" si="22"/>
        <v>0</v>
      </c>
      <c r="AH14" s="63">
        <f t="shared" si="23"/>
        <v>1.1439114340301473E-2</v>
      </c>
      <c r="AI14" s="63">
        <f t="shared" si="48"/>
        <v>0.22378064516129031</v>
      </c>
      <c r="AJ14" s="63">
        <f t="shared" si="49"/>
        <v>0.30750812708170944</v>
      </c>
      <c r="AK14" s="63">
        <f t="shared" si="24"/>
        <v>0.59234023861371532</v>
      </c>
      <c r="AL14" s="63">
        <f t="shared" si="25"/>
        <v>3.0215922827239722E-4</v>
      </c>
      <c r="AM14" s="63">
        <f t="shared" si="26"/>
        <v>3.9888007159262658E-4</v>
      </c>
      <c r="AN14" s="63">
        <f t="shared" si="27"/>
        <v>1.1930795957358195E-2</v>
      </c>
      <c r="AO14" s="63">
        <f t="shared" si="28"/>
        <v>66.275571543124769</v>
      </c>
      <c r="AP14" s="63">
        <f t="shared" si="50"/>
        <v>1.1930795957358195E-2</v>
      </c>
      <c r="AQ14" s="61">
        <f t="shared" si="29"/>
        <v>0.46248</v>
      </c>
      <c r="AR14" s="61">
        <f t="shared" si="30"/>
        <v>50128320000</v>
      </c>
      <c r="AS14" s="61">
        <f t="shared" si="51"/>
        <v>0.46248</v>
      </c>
      <c r="AT14" s="61">
        <f t="shared" si="52"/>
        <v>0.23869935483870966</v>
      </c>
      <c r="AU14" s="63">
        <f t="shared" si="53"/>
        <v>0.25102903086766049</v>
      </c>
      <c r="AV14" s="63">
        <f t="shared" si="31"/>
        <v>2.1054341967792329E-3</v>
      </c>
      <c r="AW14" s="63">
        <f t="shared" si="32"/>
        <v>2.9760000000000003E-3</v>
      </c>
      <c r="AX14" s="63">
        <f t="shared" si="33"/>
        <v>0.24815999999999999</v>
      </c>
      <c r="AY14" s="63">
        <f t="shared" si="34"/>
        <v>0.25113599999999997</v>
      </c>
      <c r="AZ14" s="63">
        <f t="shared" si="35"/>
        <v>1.8902353466883113</v>
      </c>
      <c r="BA14" s="64">
        <f t="shared" si="36"/>
        <v>0.8</v>
      </c>
      <c r="BB14" s="76">
        <f t="shared" si="54"/>
        <v>0.29737175261815019</v>
      </c>
      <c r="BC14" s="64">
        <f t="shared" si="55"/>
        <v>29.737175261815018</v>
      </c>
      <c r="BD14" s="63">
        <f t="shared" si="37"/>
        <v>1.0021808765638585</v>
      </c>
      <c r="BE14" s="63">
        <f t="shared" si="56"/>
        <v>0.55853715794936987</v>
      </c>
      <c r="BF14" s="63">
        <f t="shared" si="38"/>
        <v>0.30750812708170944</v>
      </c>
      <c r="BG14" s="63">
        <f t="shared" si="39"/>
        <v>0.25102903086766049</v>
      </c>
      <c r="BH14" s="63">
        <f t="shared" si="40"/>
        <v>2.1054341967792329E-3</v>
      </c>
      <c r="BI14" s="63">
        <f t="shared" si="57"/>
        <v>0.25113599999999997</v>
      </c>
      <c r="BJ14" s="63">
        <f t="shared" si="58"/>
        <v>5.8510107134403901E-5</v>
      </c>
      <c r="BK14" s="63">
        <f t="shared" si="59"/>
        <v>7.6217367871169325E-2</v>
      </c>
      <c r="BL14" s="63">
        <f t="shared" si="60"/>
        <v>1.8902353466883113</v>
      </c>
      <c r="BP14" s="77"/>
      <c r="BQ14" s="77"/>
      <c r="BR14" s="77"/>
      <c r="BS14" s="78"/>
    </row>
    <row r="15" spans="3:71" x14ac:dyDescent="0.25">
      <c r="C15" s="61">
        <v>3</v>
      </c>
      <c r="D15" s="61">
        <f t="shared" si="0"/>
        <v>105</v>
      </c>
      <c r="E15" s="61">
        <f t="shared" si="1"/>
        <v>105</v>
      </c>
      <c r="F15" s="61">
        <f t="shared" si="2"/>
        <v>105</v>
      </c>
      <c r="G15" s="73">
        <f t="shared" si="3"/>
        <v>24</v>
      </c>
      <c r="H15" s="64">
        <f t="shared" si="4"/>
        <v>1</v>
      </c>
      <c r="I15" s="63">
        <f t="shared" si="41"/>
        <v>0.3</v>
      </c>
      <c r="J15" s="65">
        <f t="shared" si="5"/>
        <v>8.6117892021752077E-4</v>
      </c>
      <c r="K15" s="65">
        <f t="shared" si="6"/>
        <v>8.6117892021752077E-4</v>
      </c>
      <c r="L15" s="65">
        <f t="shared" si="7"/>
        <v>5.1791610661465239E-3</v>
      </c>
      <c r="M15" s="65">
        <f t="shared" si="8"/>
        <v>5.0000000000000001E-3</v>
      </c>
      <c r="N15" s="63">
        <f t="shared" si="9"/>
        <v>0.1668046709164962</v>
      </c>
      <c r="O15" s="64">
        <f t="shared" si="10"/>
        <v>2.1390571344600953</v>
      </c>
      <c r="P15" s="64">
        <f t="shared" si="11"/>
        <v>1.3695285672300477</v>
      </c>
      <c r="Q15" s="64">
        <f t="shared" si="12"/>
        <v>-0.76952856723004759</v>
      </c>
      <c r="R15" s="64">
        <f t="shared" si="13"/>
        <v>24</v>
      </c>
      <c r="S15" s="64">
        <f t="shared" si="14"/>
        <v>0.68651082927150742</v>
      </c>
      <c r="T15" s="63">
        <f t="shared" si="42"/>
        <v>2.4409236877946045E-3</v>
      </c>
      <c r="U15" s="63">
        <f t="shared" si="15"/>
        <v>1</v>
      </c>
      <c r="V15" s="63">
        <f t="shared" si="43"/>
        <v>1.0024409236877947</v>
      </c>
      <c r="W15" s="64">
        <f t="shared" si="44"/>
        <v>0.61749260619626278</v>
      </c>
      <c r="X15" s="63">
        <f t="shared" si="16"/>
        <v>7.6259423741410579E-2</v>
      </c>
      <c r="Y15" s="63">
        <f t="shared" si="45"/>
        <v>7.6259423741410579E-2</v>
      </c>
      <c r="Z15" s="64">
        <f t="shared" si="17"/>
        <v>0.25593218798742667</v>
      </c>
      <c r="AA15" s="74">
        <f t="shared" si="18"/>
        <v>6.550128484803151E-5</v>
      </c>
      <c r="AB15" s="75">
        <f t="shared" si="46"/>
        <v>6.550128484803151E-5</v>
      </c>
      <c r="AC15" s="63">
        <f t="shared" si="19"/>
        <v>0.28038288248361881</v>
      </c>
      <c r="AD15" s="63">
        <f t="shared" si="47"/>
        <v>6.7701202574354231E-5</v>
      </c>
      <c r="AE15" s="63">
        <f t="shared" si="20"/>
        <v>8.9367087862458655E-5</v>
      </c>
      <c r="AF15" s="63">
        <f t="shared" si="21"/>
        <v>7.7914469131620034E-2</v>
      </c>
      <c r="AG15" s="63">
        <f t="shared" si="22"/>
        <v>0</v>
      </c>
      <c r="AH15" s="63">
        <f t="shared" si="23"/>
        <v>1.0126995944747428E-2</v>
      </c>
      <c r="AI15" s="63">
        <f t="shared" si="48"/>
        <v>0.22378064516129031</v>
      </c>
      <c r="AJ15" s="63">
        <f t="shared" si="49"/>
        <v>0.31191147732552027</v>
      </c>
      <c r="AK15" s="63">
        <f t="shared" si="24"/>
        <v>0.62664388444891883</v>
      </c>
      <c r="AL15" s="63">
        <f t="shared" si="25"/>
        <v>3.3816994121541413E-4</v>
      </c>
      <c r="AM15" s="63">
        <f t="shared" si="26"/>
        <v>4.4642176207676428E-4</v>
      </c>
      <c r="AN15" s="63">
        <f t="shared" si="27"/>
        <v>1.287356853196245E-2</v>
      </c>
      <c r="AO15" s="63">
        <f t="shared" si="28"/>
        <v>71.512673195051406</v>
      </c>
      <c r="AP15" s="63">
        <f t="shared" si="50"/>
        <v>1.287356853196245E-2</v>
      </c>
      <c r="AQ15" s="61">
        <f t="shared" si="29"/>
        <v>0.46248</v>
      </c>
      <c r="AR15" s="61">
        <f t="shared" si="30"/>
        <v>50128320000</v>
      </c>
      <c r="AS15" s="61">
        <f t="shared" si="51"/>
        <v>0.46248</v>
      </c>
      <c r="AT15" s="61">
        <f t="shared" si="52"/>
        <v>0.23869935483870966</v>
      </c>
      <c r="AU15" s="63">
        <f t="shared" si="53"/>
        <v>0.25201934513274887</v>
      </c>
      <c r="AV15" s="63">
        <f t="shared" si="31"/>
        <v>2.3564855935352641E-3</v>
      </c>
      <c r="AW15" s="63">
        <f t="shared" si="32"/>
        <v>2.9760000000000003E-3</v>
      </c>
      <c r="AX15" s="63">
        <f t="shared" si="33"/>
        <v>0.24815999999999999</v>
      </c>
      <c r="AY15" s="63">
        <f t="shared" si="34"/>
        <v>0.25113599999999997</v>
      </c>
      <c r="AZ15" s="63">
        <f t="shared" si="35"/>
        <v>1.8961891567658575</v>
      </c>
      <c r="BA15" s="64">
        <f t="shared" si="36"/>
        <v>1.2</v>
      </c>
      <c r="BB15" s="76">
        <f t="shared" si="54"/>
        <v>0.38757321960699165</v>
      </c>
      <c r="BC15" s="64">
        <f t="shared" si="55"/>
        <v>38.757321960699166</v>
      </c>
      <c r="BD15" s="63">
        <f t="shared" si="37"/>
        <v>1.0024409236877947</v>
      </c>
      <c r="BE15" s="63">
        <f t="shared" si="56"/>
        <v>0.56393082245826909</v>
      </c>
      <c r="BF15" s="63">
        <f t="shared" si="38"/>
        <v>0.31191147732552027</v>
      </c>
      <c r="BG15" s="63">
        <f t="shared" si="39"/>
        <v>0.25201934513274887</v>
      </c>
      <c r="BH15" s="63">
        <f t="shared" si="40"/>
        <v>2.3564855935352641E-3</v>
      </c>
      <c r="BI15" s="63">
        <f t="shared" si="57"/>
        <v>0.25113599999999997</v>
      </c>
      <c r="BJ15" s="63">
        <f t="shared" si="58"/>
        <v>6.550128484803151E-5</v>
      </c>
      <c r="BK15" s="63">
        <f t="shared" si="59"/>
        <v>7.6259423741410579E-2</v>
      </c>
      <c r="BL15" s="63">
        <f t="shared" si="60"/>
        <v>1.8961891567658575</v>
      </c>
      <c r="BP15" s="77"/>
      <c r="BQ15" s="77"/>
      <c r="BR15" s="77"/>
      <c r="BS15" s="78"/>
    </row>
    <row r="16" spans="3:71" x14ac:dyDescent="0.25">
      <c r="C16" s="61">
        <v>4</v>
      </c>
      <c r="D16" s="61">
        <f t="shared" si="0"/>
        <v>105</v>
      </c>
      <c r="E16" s="61">
        <f t="shared" si="1"/>
        <v>105</v>
      </c>
      <c r="F16" s="61">
        <f t="shared" si="2"/>
        <v>105</v>
      </c>
      <c r="G16" s="73">
        <f t="shared" si="3"/>
        <v>24</v>
      </c>
      <c r="H16" s="64">
        <f t="shared" si="4"/>
        <v>1</v>
      </c>
      <c r="I16" s="63">
        <f t="shared" si="41"/>
        <v>0.4</v>
      </c>
      <c r="J16" s="65">
        <f t="shared" si="5"/>
        <v>8.6117892021752077E-4</v>
      </c>
      <c r="K16" s="65">
        <f t="shared" si="6"/>
        <v>8.6117892021752077E-4</v>
      </c>
      <c r="L16" s="65">
        <f t="shared" si="7"/>
        <v>5.1791610661465239E-3</v>
      </c>
      <c r="M16" s="65">
        <f t="shared" si="8"/>
        <v>5.0000000000000001E-3</v>
      </c>
      <c r="N16" s="63">
        <f t="shared" si="9"/>
        <v>0.16685067233310605</v>
      </c>
      <c r="O16" s="64">
        <f t="shared" si="10"/>
        <v>2.1396470439503625</v>
      </c>
      <c r="P16" s="64">
        <f t="shared" si="11"/>
        <v>1.4698235219751812</v>
      </c>
      <c r="Q16" s="64">
        <f t="shared" si="12"/>
        <v>-0.66982352197518125</v>
      </c>
      <c r="R16" s="64">
        <f t="shared" si="13"/>
        <v>24</v>
      </c>
      <c r="S16" s="64">
        <f t="shared" si="14"/>
        <v>0.73587190193479135</v>
      </c>
      <c r="T16" s="63">
        <f t="shared" si="42"/>
        <v>2.8045543334391226E-3</v>
      </c>
      <c r="U16" s="63">
        <f t="shared" si="15"/>
        <v>1</v>
      </c>
      <c r="V16" s="63">
        <f t="shared" si="43"/>
        <v>1.0028045543334392</v>
      </c>
      <c r="W16" s="64">
        <f t="shared" si="44"/>
        <v>0.61766289839776445</v>
      </c>
      <c r="X16" s="63">
        <f t="shared" si="16"/>
        <v>7.6301491211425432E-2</v>
      </c>
      <c r="Y16" s="63">
        <f t="shared" si="45"/>
        <v>7.6301491211425432E-2</v>
      </c>
      <c r="Z16" s="64">
        <f t="shared" si="17"/>
        <v>0.27436431532296629</v>
      </c>
      <c r="AA16" s="74">
        <f t="shared" si="18"/>
        <v>7.5275777522640076E-5</v>
      </c>
      <c r="AB16" s="75">
        <f t="shared" si="46"/>
        <v>7.5275777522640076E-5</v>
      </c>
      <c r="AC16" s="63">
        <f t="shared" si="19"/>
        <v>0.30058423630743103</v>
      </c>
      <c r="AD16" s="63">
        <f t="shared" si="47"/>
        <v>7.7808275962985439E-5</v>
      </c>
      <c r="AE16" s="63">
        <f t="shared" si="20"/>
        <v>1.027089061886641E-4</v>
      </c>
      <c r="AF16" s="63">
        <f t="shared" si="21"/>
        <v>8.3620394763643968E-2</v>
      </c>
      <c r="AG16" s="63">
        <f t="shared" si="22"/>
        <v>0</v>
      </c>
      <c r="AH16" s="63">
        <f t="shared" si="23"/>
        <v>8.8148775491933857E-3</v>
      </c>
      <c r="AI16" s="63">
        <f t="shared" si="48"/>
        <v>0.22378064516129031</v>
      </c>
      <c r="AJ16" s="63">
        <f t="shared" si="49"/>
        <v>0.31631862638031633</v>
      </c>
      <c r="AK16" s="63">
        <f t="shared" si="24"/>
        <v>0.67168189862508998</v>
      </c>
      <c r="AL16" s="63">
        <f t="shared" si="25"/>
        <v>3.8852653033402793E-4</v>
      </c>
      <c r="AM16" s="63">
        <f t="shared" si="26"/>
        <v>5.1290444073263898E-4</v>
      </c>
      <c r="AN16" s="63">
        <f t="shared" si="27"/>
        <v>1.3816341106566704E-2</v>
      </c>
      <c r="AO16" s="63">
        <f t="shared" si="28"/>
        <v>76.749774846978042</v>
      </c>
      <c r="AP16" s="63">
        <f t="shared" si="50"/>
        <v>1.3816341106566704E-2</v>
      </c>
      <c r="AQ16" s="61">
        <f t="shared" si="29"/>
        <v>0.46248</v>
      </c>
      <c r="AR16" s="61">
        <f t="shared" si="30"/>
        <v>50128320000</v>
      </c>
      <c r="AS16" s="61">
        <f t="shared" si="51"/>
        <v>0.46248</v>
      </c>
      <c r="AT16" s="61">
        <f t="shared" si="52"/>
        <v>0.23869935483870966</v>
      </c>
      <c r="AU16" s="63">
        <f t="shared" si="53"/>
        <v>0.25302860038600899</v>
      </c>
      <c r="AV16" s="63">
        <f t="shared" si="31"/>
        <v>2.7075372802856357E-3</v>
      </c>
      <c r="AW16" s="63">
        <f t="shared" si="32"/>
        <v>2.9760000000000003E-3</v>
      </c>
      <c r="AX16" s="63">
        <f t="shared" si="33"/>
        <v>0.24815999999999999</v>
      </c>
      <c r="AY16" s="63">
        <f t="shared" si="34"/>
        <v>0.25113599999999997</v>
      </c>
      <c r="AZ16" s="63">
        <f t="shared" si="35"/>
        <v>1.9023720853689983</v>
      </c>
      <c r="BA16" s="64">
        <f t="shared" si="36"/>
        <v>1.6</v>
      </c>
      <c r="BB16" s="76">
        <f t="shared" si="54"/>
        <v>0.45683324358480587</v>
      </c>
      <c r="BC16" s="64">
        <f t="shared" si="55"/>
        <v>45.68332435848059</v>
      </c>
      <c r="BD16" s="63">
        <f t="shared" si="37"/>
        <v>1.0028045543334392</v>
      </c>
      <c r="BE16" s="63">
        <f t="shared" si="56"/>
        <v>0.56934722676632532</v>
      </c>
      <c r="BF16" s="63">
        <f t="shared" si="38"/>
        <v>0.31631862638031633</v>
      </c>
      <c r="BG16" s="63">
        <f t="shared" si="39"/>
        <v>0.25302860038600899</v>
      </c>
      <c r="BH16" s="63">
        <f t="shared" si="40"/>
        <v>2.7075372802856357E-3</v>
      </c>
      <c r="BI16" s="63">
        <f t="shared" si="57"/>
        <v>0.25113599999999997</v>
      </c>
      <c r="BJ16" s="63">
        <f t="shared" si="58"/>
        <v>7.5275777522640076E-5</v>
      </c>
      <c r="BK16" s="63">
        <f t="shared" si="59"/>
        <v>7.6301491211425432E-2</v>
      </c>
      <c r="BL16" s="63">
        <f t="shared" si="60"/>
        <v>1.9023720853689983</v>
      </c>
      <c r="BP16" s="77"/>
      <c r="BQ16" s="77"/>
      <c r="BR16" s="77"/>
      <c r="BS16" s="78"/>
    </row>
    <row r="17" spans="3:71" x14ac:dyDescent="0.25">
      <c r="C17" s="61">
        <v>5</v>
      </c>
      <c r="D17" s="61">
        <f t="shared" si="0"/>
        <v>105</v>
      </c>
      <c r="E17" s="61">
        <f t="shared" si="1"/>
        <v>105</v>
      </c>
      <c r="F17" s="61">
        <f t="shared" si="2"/>
        <v>105</v>
      </c>
      <c r="G17" s="73">
        <f t="shared" si="3"/>
        <v>24</v>
      </c>
      <c r="H17" s="64">
        <f t="shared" si="4"/>
        <v>1</v>
      </c>
      <c r="I17" s="63">
        <f t="shared" si="41"/>
        <v>0.5</v>
      </c>
      <c r="J17" s="65">
        <f t="shared" si="5"/>
        <v>8.6117892021752077E-4</v>
      </c>
      <c r="K17" s="65">
        <f t="shared" si="6"/>
        <v>8.6117892021752077E-4</v>
      </c>
      <c r="L17" s="65">
        <f t="shared" si="7"/>
        <v>5.1791610661465239E-3</v>
      </c>
      <c r="M17" s="65">
        <f t="shared" si="8"/>
        <v>5.0000000000000001E-3</v>
      </c>
      <c r="N17" s="63">
        <f t="shared" si="9"/>
        <v>0.16689667374971592</v>
      </c>
      <c r="O17" s="64">
        <f t="shared" si="10"/>
        <v>2.1402369534406303</v>
      </c>
      <c r="P17" s="64">
        <f t="shared" si="11"/>
        <v>1.5701184767203151</v>
      </c>
      <c r="Q17" s="64">
        <f t="shared" si="12"/>
        <v>-0.57011847672031513</v>
      </c>
      <c r="R17" s="64">
        <f t="shared" si="13"/>
        <v>24</v>
      </c>
      <c r="S17" s="64">
        <f t="shared" si="14"/>
        <v>0.79480680130838666</v>
      </c>
      <c r="T17" s="63">
        <f t="shared" si="42"/>
        <v>3.2717685007920484E-3</v>
      </c>
      <c r="U17" s="63">
        <f t="shared" si="15"/>
        <v>1</v>
      </c>
      <c r="V17" s="63">
        <f t="shared" si="43"/>
        <v>1.0032717685007921</v>
      </c>
      <c r="W17" s="64">
        <f t="shared" si="44"/>
        <v>0.61783319059926622</v>
      </c>
      <c r="X17" s="63">
        <f t="shared" si="16"/>
        <v>7.6343570281213857E-2</v>
      </c>
      <c r="Y17" s="63">
        <f t="shared" si="45"/>
        <v>7.6343570281213857E-2</v>
      </c>
      <c r="Z17" s="64">
        <f t="shared" si="17"/>
        <v>0.29637041593250707</v>
      </c>
      <c r="AA17" s="74">
        <f t="shared" si="18"/>
        <v>8.7835423440007235E-5</v>
      </c>
      <c r="AB17" s="75">
        <f t="shared" si="46"/>
        <v>8.7835423440007235E-5</v>
      </c>
      <c r="AC17" s="63">
        <f t="shared" si="19"/>
        <v>0.32470233776181878</v>
      </c>
      <c r="AD17" s="63">
        <f t="shared" si="47"/>
        <v>9.0795478461683007E-5</v>
      </c>
      <c r="AE17" s="63">
        <f t="shared" si="20"/>
        <v>1.1985273032674833E-4</v>
      </c>
      <c r="AF17" s="63">
        <f t="shared" si="21"/>
        <v>8.9326320395667916E-2</v>
      </c>
      <c r="AG17" s="63">
        <f t="shared" si="22"/>
        <v>0</v>
      </c>
      <c r="AH17" s="63">
        <f t="shared" si="23"/>
        <v>7.502759153639349E-3</v>
      </c>
      <c r="AI17" s="63">
        <f t="shared" si="48"/>
        <v>0.22378064516129031</v>
      </c>
      <c r="AJ17" s="63">
        <f t="shared" si="49"/>
        <v>0.32072957744092434</v>
      </c>
      <c r="AK17" s="63">
        <f t="shared" si="24"/>
        <v>0.72545588650039838</v>
      </c>
      <c r="AL17" s="63">
        <f t="shared" si="25"/>
        <v>4.5322661869432791E-4</v>
      </c>
      <c r="AM17" s="63">
        <f t="shared" si="26"/>
        <v>5.9832638868312544E-4</v>
      </c>
      <c r="AN17" s="63">
        <f t="shared" si="27"/>
        <v>1.4759113681170966E-2</v>
      </c>
      <c r="AO17" s="63">
        <f t="shared" si="28"/>
        <v>81.986876498904707</v>
      </c>
      <c r="AP17" s="63">
        <f t="shared" si="50"/>
        <v>1.4759113681170966E-2</v>
      </c>
      <c r="AQ17" s="61">
        <f t="shared" si="29"/>
        <v>0.46248</v>
      </c>
      <c r="AR17" s="61">
        <f t="shared" si="30"/>
        <v>50128320000</v>
      </c>
      <c r="AS17" s="61">
        <f t="shared" si="51"/>
        <v>0.46248</v>
      </c>
      <c r="AT17" s="61">
        <f t="shared" si="52"/>
        <v>0.23869935483870966</v>
      </c>
      <c r="AU17" s="63">
        <f t="shared" si="53"/>
        <v>0.25405679490856375</v>
      </c>
      <c r="AV17" s="63">
        <f t="shared" si="31"/>
        <v>3.1585892570303461E-3</v>
      </c>
      <c r="AW17" s="63">
        <f t="shared" si="32"/>
        <v>2.9760000000000003E-3</v>
      </c>
      <c r="AX17" s="63">
        <f t="shared" si="33"/>
        <v>0.24815999999999999</v>
      </c>
      <c r="AY17" s="63">
        <f t="shared" si="34"/>
        <v>0.25113599999999997</v>
      </c>
      <c r="AZ17" s="63">
        <f t="shared" si="35"/>
        <v>1.9087841358119644</v>
      </c>
      <c r="BA17" s="64">
        <f t="shared" si="36"/>
        <v>2</v>
      </c>
      <c r="BB17" s="76">
        <f t="shared" si="54"/>
        <v>0.51166806109249208</v>
      </c>
      <c r="BC17" s="64">
        <f t="shared" si="55"/>
        <v>51.166806109249208</v>
      </c>
      <c r="BD17" s="63">
        <f t="shared" si="37"/>
        <v>1.0032717685007921</v>
      </c>
      <c r="BE17" s="63">
        <f t="shared" si="56"/>
        <v>0.57478637234948815</v>
      </c>
      <c r="BF17" s="63">
        <f t="shared" si="38"/>
        <v>0.32072957744092434</v>
      </c>
      <c r="BG17" s="63">
        <f t="shared" si="39"/>
        <v>0.25405679490856375</v>
      </c>
      <c r="BH17" s="63">
        <f t="shared" si="40"/>
        <v>3.1585892570303461E-3</v>
      </c>
      <c r="BI17" s="63">
        <f t="shared" si="57"/>
        <v>0.25113599999999997</v>
      </c>
      <c r="BJ17" s="63">
        <f t="shared" si="58"/>
        <v>8.7835423440007235E-5</v>
      </c>
      <c r="BK17" s="63">
        <f t="shared" si="59"/>
        <v>7.6343570281213857E-2</v>
      </c>
      <c r="BL17" s="63">
        <f t="shared" si="60"/>
        <v>1.9087841358119644</v>
      </c>
      <c r="BP17" s="77"/>
      <c r="BQ17" s="77"/>
      <c r="BR17" s="77"/>
      <c r="BS17" s="78"/>
    </row>
    <row r="18" spans="3:71" x14ac:dyDescent="0.25">
      <c r="C18" s="61">
        <v>6</v>
      </c>
      <c r="D18" s="61">
        <f t="shared" si="0"/>
        <v>105</v>
      </c>
      <c r="E18" s="61">
        <f t="shared" si="1"/>
        <v>105</v>
      </c>
      <c r="F18" s="61">
        <f t="shared" si="2"/>
        <v>105</v>
      </c>
      <c r="G18" s="73">
        <f t="shared" si="3"/>
        <v>24</v>
      </c>
      <c r="H18" s="64">
        <f t="shared" si="4"/>
        <v>1</v>
      </c>
      <c r="I18" s="63">
        <f t="shared" si="41"/>
        <v>0.6</v>
      </c>
      <c r="J18" s="65">
        <f t="shared" si="5"/>
        <v>8.6117892021752077E-4</v>
      </c>
      <c r="K18" s="65">
        <f t="shared" si="6"/>
        <v>8.6117892021752077E-4</v>
      </c>
      <c r="L18" s="65">
        <f t="shared" si="7"/>
        <v>5.1791610661465239E-3</v>
      </c>
      <c r="M18" s="65">
        <f t="shared" si="8"/>
        <v>5.0000000000000001E-3</v>
      </c>
      <c r="N18" s="63">
        <f t="shared" si="9"/>
        <v>0.16694267516632577</v>
      </c>
      <c r="O18" s="64">
        <f t="shared" si="10"/>
        <v>2.1408268629308975</v>
      </c>
      <c r="P18" s="64">
        <f t="shared" si="11"/>
        <v>1.6704134314654486</v>
      </c>
      <c r="Q18" s="64">
        <f t="shared" si="12"/>
        <v>-0.47041343146544878</v>
      </c>
      <c r="R18" s="64">
        <f t="shared" si="13"/>
        <v>24</v>
      </c>
      <c r="S18" s="64">
        <f t="shared" si="14"/>
        <v>0.86135260187328566</v>
      </c>
      <c r="T18" s="63">
        <f t="shared" si="42"/>
        <v>3.8425661898533825E-3</v>
      </c>
      <c r="U18" s="63">
        <f t="shared" si="15"/>
        <v>1</v>
      </c>
      <c r="V18" s="63">
        <f t="shared" si="43"/>
        <v>1.0038425661898533</v>
      </c>
      <c r="W18" s="64">
        <f t="shared" si="44"/>
        <v>0.61800348280076789</v>
      </c>
      <c r="X18" s="63">
        <f t="shared" si="16"/>
        <v>7.6385660950775813E-2</v>
      </c>
      <c r="Y18" s="63">
        <f t="shared" si="45"/>
        <v>7.6385660950775813E-2</v>
      </c>
      <c r="Z18" s="64">
        <f t="shared" si="17"/>
        <v>0.32121964506243716</v>
      </c>
      <c r="AA18" s="74">
        <f t="shared" si="18"/>
        <v>1.0318206037403811E-4</v>
      </c>
      <c r="AB18" s="75">
        <f t="shared" si="46"/>
        <v>1.0318206037403811E-4</v>
      </c>
      <c r="AC18" s="63">
        <f t="shared" si="19"/>
        <v>0.35193677838104609</v>
      </c>
      <c r="AD18" s="63">
        <f t="shared" si="47"/>
        <v>1.066651870043569E-4</v>
      </c>
      <c r="AE18" s="63">
        <f t="shared" si="20"/>
        <v>1.4080177147027763E-4</v>
      </c>
      <c r="AF18" s="63">
        <f t="shared" si="21"/>
        <v>9.503224602769185E-2</v>
      </c>
      <c r="AG18" s="63">
        <f t="shared" si="22"/>
        <v>0</v>
      </c>
      <c r="AH18" s="63">
        <f t="shared" si="23"/>
        <v>6.1906407580853071E-3</v>
      </c>
      <c r="AI18" s="63">
        <f t="shared" si="48"/>
        <v>0.22378064516129031</v>
      </c>
      <c r="AJ18" s="63">
        <f t="shared" si="49"/>
        <v>0.32514433371853774</v>
      </c>
      <c r="AK18" s="63">
        <f t="shared" si="24"/>
        <v>0.78617352332462165</v>
      </c>
      <c r="AL18" s="63">
        <f t="shared" si="25"/>
        <v>5.3226782936240428E-4</v>
      </c>
      <c r="AM18" s="63">
        <f t="shared" si="26"/>
        <v>7.0268629105047506E-4</v>
      </c>
      <c r="AN18" s="63">
        <f t="shared" si="27"/>
        <v>1.5701886255775219E-2</v>
      </c>
      <c r="AO18" s="63">
        <f t="shared" si="28"/>
        <v>87.223978150831343</v>
      </c>
      <c r="AP18" s="63">
        <f t="shared" si="50"/>
        <v>1.5701886255775219E-2</v>
      </c>
      <c r="AQ18" s="61">
        <f t="shared" si="29"/>
        <v>0.46248</v>
      </c>
      <c r="AR18" s="61">
        <f t="shared" si="30"/>
        <v>50128320000</v>
      </c>
      <c r="AS18" s="61">
        <f t="shared" si="51"/>
        <v>0.46248</v>
      </c>
      <c r="AT18" s="61">
        <f t="shared" si="52"/>
        <v>0.23869935483870966</v>
      </c>
      <c r="AU18" s="63">
        <f t="shared" si="53"/>
        <v>0.25510392738553533</v>
      </c>
      <c r="AV18" s="63">
        <f t="shared" si="31"/>
        <v>3.7096415237693947E-3</v>
      </c>
      <c r="AW18" s="63">
        <f t="shared" si="32"/>
        <v>2.9760000000000003E-3</v>
      </c>
      <c r="AX18" s="63">
        <f t="shared" si="33"/>
        <v>0.24815999999999999</v>
      </c>
      <c r="AY18" s="63">
        <f t="shared" si="34"/>
        <v>0.25113599999999997</v>
      </c>
      <c r="AZ18" s="63">
        <f t="shared" si="35"/>
        <v>1.9154253118288458</v>
      </c>
      <c r="BA18" s="64">
        <f t="shared" si="36"/>
        <v>2.4</v>
      </c>
      <c r="BB18" s="76">
        <f t="shared" si="54"/>
        <v>0.55614448787271387</v>
      </c>
      <c r="BC18" s="64">
        <f t="shared" si="55"/>
        <v>55.614448787271385</v>
      </c>
      <c r="BD18" s="63">
        <f t="shared" si="37"/>
        <v>1.0038425661898533</v>
      </c>
      <c r="BE18" s="63">
        <f t="shared" si="56"/>
        <v>0.58024826110407313</v>
      </c>
      <c r="BF18" s="63">
        <f t="shared" si="38"/>
        <v>0.32514433371853774</v>
      </c>
      <c r="BG18" s="63">
        <f t="shared" si="39"/>
        <v>0.25510392738553533</v>
      </c>
      <c r="BH18" s="63">
        <f t="shared" si="40"/>
        <v>3.7096415237693947E-3</v>
      </c>
      <c r="BI18" s="63">
        <f t="shared" si="57"/>
        <v>0.25113599999999997</v>
      </c>
      <c r="BJ18" s="63">
        <f t="shared" si="58"/>
        <v>1.0318206037403811E-4</v>
      </c>
      <c r="BK18" s="63">
        <f t="shared" si="59"/>
        <v>7.6385660950775813E-2</v>
      </c>
      <c r="BL18" s="63">
        <f t="shared" si="60"/>
        <v>1.9154253118288458</v>
      </c>
      <c r="BP18" s="77"/>
      <c r="BQ18" s="77"/>
      <c r="BR18" s="77"/>
      <c r="BS18" s="78"/>
    </row>
    <row r="19" spans="3:71" x14ac:dyDescent="0.25">
      <c r="C19" s="61">
        <v>7</v>
      </c>
      <c r="D19" s="61">
        <f t="shared" si="0"/>
        <v>105</v>
      </c>
      <c r="E19" s="61">
        <f t="shared" si="1"/>
        <v>105</v>
      </c>
      <c r="F19" s="61">
        <f t="shared" si="2"/>
        <v>105</v>
      </c>
      <c r="G19" s="73">
        <f t="shared" si="3"/>
        <v>24</v>
      </c>
      <c r="H19" s="64">
        <f t="shared" si="4"/>
        <v>1</v>
      </c>
      <c r="I19" s="63">
        <f t="shared" si="41"/>
        <v>0.7</v>
      </c>
      <c r="J19" s="65">
        <f t="shared" si="5"/>
        <v>8.6117892021752077E-4</v>
      </c>
      <c r="K19" s="65">
        <f t="shared" si="6"/>
        <v>8.6117892021752077E-4</v>
      </c>
      <c r="L19" s="65">
        <f t="shared" si="7"/>
        <v>5.1791610661465239E-3</v>
      </c>
      <c r="M19" s="65">
        <f t="shared" si="8"/>
        <v>5.0000000000000001E-3</v>
      </c>
      <c r="N19" s="63">
        <f t="shared" si="9"/>
        <v>0.16698867658293562</v>
      </c>
      <c r="O19" s="64">
        <f t="shared" si="10"/>
        <v>2.1414167724211648</v>
      </c>
      <c r="P19" s="64">
        <f t="shared" si="11"/>
        <v>1.7707083862105824</v>
      </c>
      <c r="Q19" s="64">
        <f t="shared" si="12"/>
        <v>-0.37070838621058244</v>
      </c>
      <c r="R19" s="64">
        <f t="shared" si="13"/>
        <v>24</v>
      </c>
      <c r="S19" s="64">
        <f t="shared" si="14"/>
        <v>0.93388372729187041</v>
      </c>
      <c r="T19" s="63">
        <f t="shared" si="42"/>
        <v>4.5169474006231253E-3</v>
      </c>
      <c r="U19" s="63">
        <f t="shared" si="15"/>
        <v>1</v>
      </c>
      <c r="V19" s="63">
        <f t="shared" si="43"/>
        <v>1.004516947400623</v>
      </c>
      <c r="W19" s="64">
        <f t="shared" si="44"/>
        <v>0.61817377500226955</v>
      </c>
      <c r="X19" s="63">
        <f t="shared" si="16"/>
        <v>7.6427763220111314E-2</v>
      </c>
      <c r="Y19" s="63">
        <f t="shared" si="45"/>
        <v>7.6427763220111314E-2</v>
      </c>
      <c r="Z19" s="64">
        <f t="shared" si="17"/>
        <v>0.34830665453126924</v>
      </c>
      <c r="AA19" s="74">
        <f t="shared" si="18"/>
        <v>1.2131752559076495E-4</v>
      </c>
      <c r="AB19" s="75">
        <f t="shared" si="46"/>
        <v>1.2131752559076495E-4</v>
      </c>
      <c r="AC19" s="63">
        <f t="shared" si="19"/>
        <v>0.38162456249203902</v>
      </c>
      <c r="AD19" s="63">
        <f t="shared" si="47"/>
        <v>1.2541977852491724E-4</v>
      </c>
      <c r="AE19" s="63">
        <f t="shared" si="20"/>
        <v>1.6555925722542349E-4</v>
      </c>
      <c r="AF19" s="63">
        <f t="shared" si="21"/>
        <v>0.10073817165971578</v>
      </c>
      <c r="AG19" s="63">
        <f t="shared" si="22"/>
        <v>0</v>
      </c>
      <c r="AH19" s="63">
        <f t="shared" si="23"/>
        <v>4.8785223625312651E-3</v>
      </c>
      <c r="AI19" s="63">
        <f t="shared" si="48"/>
        <v>0.22378064516129031</v>
      </c>
      <c r="AJ19" s="63">
        <f t="shared" si="49"/>
        <v>0.32956289844076281</v>
      </c>
      <c r="AK19" s="63">
        <f t="shared" si="24"/>
        <v>0.85235057893059263</v>
      </c>
      <c r="AL19" s="63">
        <f t="shared" si="25"/>
        <v>6.2564778540434704E-4</v>
      </c>
      <c r="AM19" s="63">
        <f t="shared" si="26"/>
        <v>8.2598323683029829E-4</v>
      </c>
      <c r="AN19" s="63">
        <f t="shared" si="27"/>
        <v>1.6644658830379477E-2</v>
      </c>
      <c r="AO19" s="63">
        <f t="shared" si="28"/>
        <v>92.461079802757993</v>
      </c>
      <c r="AP19" s="63">
        <f t="shared" si="50"/>
        <v>1.6644658830379477E-2</v>
      </c>
      <c r="AQ19" s="61">
        <f t="shared" si="29"/>
        <v>0.46248</v>
      </c>
      <c r="AR19" s="61">
        <f t="shared" si="30"/>
        <v>50128320000</v>
      </c>
      <c r="AS19" s="61">
        <f t="shared" si="51"/>
        <v>0.46248</v>
      </c>
      <c r="AT19" s="61">
        <f t="shared" si="52"/>
        <v>0.23869935483870966</v>
      </c>
      <c r="AU19" s="63">
        <f t="shared" si="53"/>
        <v>0.25616999690591946</v>
      </c>
      <c r="AV19" s="63">
        <f t="shared" si="31"/>
        <v>4.3606940805027824E-3</v>
      </c>
      <c r="AW19" s="63">
        <f t="shared" si="32"/>
        <v>2.9760000000000003E-3</v>
      </c>
      <c r="AX19" s="63">
        <f t="shared" si="33"/>
        <v>0.24815999999999999</v>
      </c>
      <c r="AY19" s="63">
        <f t="shared" si="34"/>
        <v>0.25113599999999997</v>
      </c>
      <c r="AZ19" s="63">
        <f t="shared" si="35"/>
        <v>1.9222956175735102</v>
      </c>
      <c r="BA19" s="64">
        <f t="shared" si="36"/>
        <v>2.8</v>
      </c>
      <c r="BB19" s="76">
        <f t="shared" si="54"/>
        <v>0.5929319607989183</v>
      </c>
      <c r="BC19" s="64">
        <f t="shared" si="55"/>
        <v>59.293196079891828</v>
      </c>
      <c r="BD19" s="63">
        <f t="shared" si="37"/>
        <v>1.004516947400623</v>
      </c>
      <c r="BE19" s="63">
        <f t="shared" si="56"/>
        <v>0.58573289534668227</v>
      </c>
      <c r="BF19" s="63">
        <f t="shared" si="38"/>
        <v>0.32956289844076281</v>
      </c>
      <c r="BG19" s="63">
        <f t="shared" si="39"/>
        <v>0.25616999690591946</v>
      </c>
      <c r="BH19" s="63">
        <f t="shared" si="40"/>
        <v>4.3606940805027824E-3</v>
      </c>
      <c r="BI19" s="63">
        <f t="shared" si="57"/>
        <v>0.25113599999999997</v>
      </c>
      <c r="BJ19" s="63">
        <f t="shared" si="58"/>
        <v>1.2131752559076495E-4</v>
      </c>
      <c r="BK19" s="63">
        <f t="shared" si="59"/>
        <v>7.6427763220111314E-2</v>
      </c>
      <c r="BL19" s="63">
        <f t="shared" si="60"/>
        <v>1.9222956175735102</v>
      </c>
      <c r="BP19" s="77"/>
      <c r="BQ19" s="77"/>
      <c r="BR19" s="77"/>
      <c r="BS19" s="78"/>
    </row>
    <row r="20" spans="3:71" x14ac:dyDescent="0.25">
      <c r="C20" s="61">
        <v>8</v>
      </c>
      <c r="D20" s="61">
        <f t="shared" si="0"/>
        <v>105</v>
      </c>
      <c r="E20" s="61">
        <f t="shared" si="1"/>
        <v>105</v>
      </c>
      <c r="F20" s="61">
        <f t="shared" si="2"/>
        <v>105</v>
      </c>
      <c r="G20" s="73">
        <f t="shared" si="3"/>
        <v>24</v>
      </c>
      <c r="H20" s="64">
        <f t="shared" si="4"/>
        <v>1</v>
      </c>
      <c r="I20" s="63">
        <f t="shared" si="41"/>
        <v>0.8</v>
      </c>
      <c r="J20" s="65">
        <f t="shared" si="5"/>
        <v>8.6117892021752077E-4</v>
      </c>
      <c r="K20" s="65">
        <f t="shared" si="6"/>
        <v>8.6117892021752077E-4</v>
      </c>
      <c r="L20" s="65">
        <f t="shared" si="7"/>
        <v>5.1791610661465239E-3</v>
      </c>
      <c r="M20" s="65">
        <f t="shared" si="8"/>
        <v>5.0000000000000001E-3</v>
      </c>
      <c r="N20" s="63">
        <f t="shared" si="9"/>
        <v>0.16703467799954549</v>
      </c>
      <c r="O20" s="64">
        <f t="shared" si="10"/>
        <v>2.1420066819114325</v>
      </c>
      <c r="P20" s="64">
        <f t="shared" si="11"/>
        <v>1.8710033409557163</v>
      </c>
      <c r="Q20" s="64">
        <f t="shared" si="12"/>
        <v>-0.27100334095571621</v>
      </c>
      <c r="R20" s="64">
        <f t="shared" si="13"/>
        <v>18.066889397047749</v>
      </c>
      <c r="S20" s="64">
        <f t="shared" si="14"/>
        <v>1.0111129439613076</v>
      </c>
      <c r="T20" s="63">
        <f t="shared" si="42"/>
        <v>5.2949121331012788E-3</v>
      </c>
      <c r="U20" s="63">
        <f t="shared" si="15"/>
        <v>1</v>
      </c>
      <c r="V20" s="63">
        <f t="shared" si="43"/>
        <v>1.0052949121331012</v>
      </c>
      <c r="W20" s="64">
        <f t="shared" si="44"/>
        <v>0.61834406720377133</v>
      </c>
      <c r="X20" s="63">
        <f t="shared" si="16"/>
        <v>7.6469877089220428E-2</v>
      </c>
      <c r="Y20" s="63">
        <f t="shared" si="45"/>
        <v>7.6469877089220428E-2</v>
      </c>
      <c r="Z20" s="64">
        <f t="shared" si="17"/>
        <v>0.37715203280420934</v>
      </c>
      <c r="AA20" s="74">
        <f t="shared" si="18"/>
        <v>1.4224365584834741E-4</v>
      </c>
      <c r="AB20" s="75">
        <f t="shared" si="46"/>
        <v>1.4224365584834741E-4</v>
      </c>
      <c r="AC20" s="63">
        <f t="shared" si="19"/>
        <v>0.41324060836396864</v>
      </c>
      <c r="AD20" s="63">
        <f t="shared" si="47"/>
        <v>1.4706162995727402E-4</v>
      </c>
      <c r="AE20" s="63">
        <f t="shared" si="20"/>
        <v>1.941284316568097E-4</v>
      </c>
      <c r="AF20" s="63">
        <f t="shared" si="21"/>
        <v>0.10644409729173973</v>
      </c>
      <c r="AG20" s="63">
        <f t="shared" si="22"/>
        <v>2.4817270005939415E-3</v>
      </c>
      <c r="AH20" s="63">
        <f t="shared" si="23"/>
        <v>3.5664039669772258E-3</v>
      </c>
      <c r="AI20" s="63">
        <f t="shared" si="48"/>
        <v>0.22378064516129031</v>
      </c>
      <c r="AJ20" s="63">
        <f t="shared" si="49"/>
        <v>0.33646700185225803</v>
      </c>
      <c r="AK20" s="63">
        <f t="shared" si="24"/>
        <v>0.92281178202550029</v>
      </c>
      <c r="AL20" s="63">
        <f t="shared" si="25"/>
        <v>7.3336410988624628E-4</v>
      </c>
      <c r="AM20" s="63">
        <f t="shared" si="26"/>
        <v>9.6821671878709835E-4</v>
      </c>
      <c r="AN20" s="63">
        <f t="shared" si="27"/>
        <v>1.7587431404983735E-2</v>
      </c>
      <c r="AO20" s="63">
        <f t="shared" si="28"/>
        <v>97.698181454684644</v>
      </c>
      <c r="AP20" s="63">
        <f t="shared" si="50"/>
        <v>1.7587431404983735E-2</v>
      </c>
      <c r="AQ20" s="61">
        <f t="shared" si="29"/>
        <v>0.46248</v>
      </c>
      <c r="AR20" s="61">
        <f t="shared" si="30"/>
        <v>50128320000</v>
      </c>
      <c r="AS20" s="61">
        <f t="shared" si="51"/>
        <v>0.46248</v>
      </c>
      <c r="AT20" s="61">
        <f t="shared" si="52"/>
        <v>0.23869935483870966</v>
      </c>
      <c r="AU20" s="63">
        <f t="shared" si="53"/>
        <v>0.25725500296248049</v>
      </c>
      <c r="AV20" s="63">
        <f t="shared" si="31"/>
        <v>5.1117469272305115E-3</v>
      </c>
      <c r="AW20" s="63">
        <f t="shared" si="32"/>
        <v>2.9760000000000003E-3</v>
      </c>
      <c r="AX20" s="63">
        <f t="shared" si="33"/>
        <v>0.24815999999999999</v>
      </c>
      <c r="AY20" s="63">
        <f t="shared" si="34"/>
        <v>0.25113599999999997</v>
      </c>
      <c r="AZ20" s="63">
        <f t="shared" si="35"/>
        <v>1.931876784620139</v>
      </c>
      <c r="BA20" s="64">
        <f t="shared" si="36"/>
        <v>3.2</v>
      </c>
      <c r="BB20" s="76">
        <f t="shared" si="54"/>
        <v>0.62355355249178368</v>
      </c>
      <c r="BC20" s="64">
        <f t="shared" si="55"/>
        <v>62.355355249178366</v>
      </c>
      <c r="BD20" s="63">
        <f t="shared" si="37"/>
        <v>1.0052949121331012</v>
      </c>
      <c r="BE20" s="63">
        <f t="shared" si="56"/>
        <v>0.59372200481473847</v>
      </c>
      <c r="BF20" s="63">
        <f t="shared" si="38"/>
        <v>0.33646700185225803</v>
      </c>
      <c r="BG20" s="63">
        <f t="shared" si="39"/>
        <v>0.25725500296248049</v>
      </c>
      <c r="BH20" s="63">
        <f t="shared" si="40"/>
        <v>5.1117469272305115E-3</v>
      </c>
      <c r="BI20" s="63">
        <f t="shared" si="57"/>
        <v>0.25113599999999997</v>
      </c>
      <c r="BJ20" s="63">
        <f t="shared" si="58"/>
        <v>1.4224365584834741E-4</v>
      </c>
      <c r="BK20" s="63">
        <f t="shared" si="59"/>
        <v>7.6469877089220428E-2</v>
      </c>
      <c r="BL20" s="63">
        <f t="shared" si="60"/>
        <v>1.931876784620139</v>
      </c>
      <c r="BP20" s="77"/>
      <c r="BQ20" s="77"/>
      <c r="BR20" s="77"/>
      <c r="BS20" s="78"/>
    </row>
    <row r="21" spans="3:71" x14ac:dyDescent="0.25">
      <c r="C21" s="61">
        <v>9</v>
      </c>
      <c r="D21" s="61">
        <f t="shared" si="0"/>
        <v>105</v>
      </c>
      <c r="E21" s="61">
        <f t="shared" si="1"/>
        <v>105</v>
      </c>
      <c r="F21" s="61">
        <f t="shared" si="2"/>
        <v>105</v>
      </c>
      <c r="G21" s="73">
        <f t="shared" si="3"/>
        <v>24</v>
      </c>
      <c r="H21" s="64">
        <f t="shared" si="4"/>
        <v>1</v>
      </c>
      <c r="I21" s="63">
        <f t="shared" si="41"/>
        <v>0.9</v>
      </c>
      <c r="J21" s="65">
        <f t="shared" si="5"/>
        <v>8.6117892021752077E-4</v>
      </c>
      <c r="K21" s="65">
        <f t="shared" si="6"/>
        <v>8.6117892021752077E-4</v>
      </c>
      <c r="L21" s="65">
        <f t="shared" si="7"/>
        <v>5.1791610661465239E-3</v>
      </c>
      <c r="M21" s="65">
        <f t="shared" si="8"/>
        <v>5.0000000000000001E-3</v>
      </c>
      <c r="N21" s="63">
        <f t="shared" si="9"/>
        <v>0.16708067941615531</v>
      </c>
      <c r="O21" s="64">
        <f t="shared" si="10"/>
        <v>2.1425965914016998</v>
      </c>
      <c r="P21" s="64">
        <f t="shared" si="11"/>
        <v>1.97129829570085</v>
      </c>
      <c r="Q21" s="64">
        <f t="shared" si="12"/>
        <v>-0.17129829570084987</v>
      </c>
      <c r="R21" s="64">
        <f t="shared" si="13"/>
        <v>11.419886380056658</v>
      </c>
      <c r="S21" s="64">
        <f t="shared" si="14"/>
        <v>1.0920439610155424</v>
      </c>
      <c r="T21" s="63">
        <f t="shared" si="42"/>
        <v>6.176460387287838E-3</v>
      </c>
      <c r="U21" s="63">
        <f t="shared" si="15"/>
        <v>1</v>
      </c>
      <c r="V21" s="63">
        <f t="shared" si="43"/>
        <v>1.0061764603872878</v>
      </c>
      <c r="W21" s="64">
        <f t="shared" si="44"/>
        <v>0.618514359405273</v>
      </c>
      <c r="X21" s="63">
        <f t="shared" si="16"/>
        <v>7.6512002558103046E-2</v>
      </c>
      <c r="Y21" s="63">
        <f t="shared" si="45"/>
        <v>7.6512002558103046E-2</v>
      </c>
      <c r="Z21" s="64">
        <f t="shared" si="17"/>
        <v>0.40738469214867667</v>
      </c>
      <c r="AA21" s="74">
        <f t="shared" si="18"/>
        <v>1.6596228739707206E-4</v>
      </c>
      <c r="AB21" s="75">
        <f t="shared" si="46"/>
        <v>1.6596228739707206E-4</v>
      </c>
      <c r="AC21" s="63">
        <f t="shared" si="19"/>
        <v>0.44637846854611862</v>
      </c>
      <c r="AD21" s="63">
        <f t="shared" si="47"/>
        <v>1.7159311823533721E-4</v>
      </c>
      <c r="AE21" s="63">
        <f t="shared" si="20"/>
        <v>2.2651255533357606E-4</v>
      </c>
      <c r="AF21" s="63">
        <f t="shared" si="21"/>
        <v>0.11215002292376369</v>
      </c>
      <c r="AG21" s="63">
        <f t="shared" si="22"/>
        <v>1.1157277737693221E-2</v>
      </c>
      <c r="AH21" s="63">
        <f t="shared" si="23"/>
        <v>2.2542855714231848E-3</v>
      </c>
      <c r="AI21" s="63">
        <f t="shared" si="48"/>
        <v>0.22378064516129031</v>
      </c>
      <c r="AJ21" s="63">
        <f t="shared" si="49"/>
        <v>0.34956874394950399</v>
      </c>
      <c r="AK21" s="63">
        <f t="shared" si="24"/>
        <v>0.99664751823748454</v>
      </c>
      <c r="AL21" s="63">
        <f t="shared" si="25"/>
        <v>8.5541442587419147E-4</v>
      </c>
      <c r="AM21" s="63">
        <f t="shared" si="26"/>
        <v>1.1293866333713396E-3</v>
      </c>
      <c r="AN21" s="63">
        <f t="shared" si="27"/>
        <v>1.8530203979587993E-2</v>
      </c>
      <c r="AO21" s="63">
        <f t="shared" si="28"/>
        <v>102.93528310661129</v>
      </c>
      <c r="AP21" s="63">
        <f t="shared" si="50"/>
        <v>1.8530203979587993E-2</v>
      </c>
      <c r="AQ21" s="61">
        <f t="shared" si="29"/>
        <v>0.46248</v>
      </c>
      <c r="AR21" s="61">
        <f t="shared" si="30"/>
        <v>50128320000</v>
      </c>
      <c r="AS21" s="61">
        <f t="shared" si="51"/>
        <v>0.46248</v>
      </c>
      <c r="AT21" s="61">
        <f t="shared" si="52"/>
        <v>0.23869935483870966</v>
      </c>
      <c r="AU21" s="63">
        <f t="shared" si="53"/>
        <v>0.25835894545166899</v>
      </c>
      <c r="AV21" s="63">
        <f t="shared" si="31"/>
        <v>5.9628000639525766E-3</v>
      </c>
      <c r="AW21" s="63">
        <f t="shared" si="32"/>
        <v>2.9760000000000003E-3</v>
      </c>
      <c r="AX21" s="63">
        <f t="shared" si="33"/>
        <v>0.24815999999999999</v>
      </c>
      <c r="AY21" s="63">
        <f t="shared" si="34"/>
        <v>0.25113599999999997</v>
      </c>
      <c r="AZ21" s="63">
        <f t="shared" si="35"/>
        <v>1.9478809146979135</v>
      </c>
      <c r="BA21" s="64">
        <f t="shared" si="36"/>
        <v>3.6</v>
      </c>
      <c r="BB21" s="76">
        <f t="shared" si="54"/>
        <v>0.64889640843994634</v>
      </c>
      <c r="BC21" s="64">
        <f t="shared" si="55"/>
        <v>64.889640843994627</v>
      </c>
      <c r="BD21" s="63">
        <f t="shared" si="37"/>
        <v>1.0061764603872878</v>
      </c>
      <c r="BE21" s="63">
        <f t="shared" si="56"/>
        <v>0.60792768940117292</v>
      </c>
      <c r="BF21" s="63">
        <f t="shared" si="38"/>
        <v>0.34956874394950399</v>
      </c>
      <c r="BG21" s="63">
        <f t="shared" si="39"/>
        <v>0.25835894545166899</v>
      </c>
      <c r="BH21" s="63">
        <f t="shared" si="40"/>
        <v>5.9628000639525766E-3</v>
      </c>
      <c r="BI21" s="63">
        <f t="shared" si="57"/>
        <v>0.25113599999999997</v>
      </c>
      <c r="BJ21" s="63">
        <f t="shared" si="58"/>
        <v>1.6596228739707206E-4</v>
      </c>
      <c r="BK21" s="63">
        <f t="shared" si="59"/>
        <v>7.6512002558103046E-2</v>
      </c>
      <c r="BL21" s="63">
        <f t="shared" si="60"/>
        <v>1.9478809146979135</v>
      </c>
      <c r="BQ21" s="77"/>
      <c r="BR21" s="78"/>
    </row>
    <row r="22" spans="3:71" x14ac:dyDescent="0.25">
      <c r="C22" s="61">
        <v>10</v>
      </c>
      <c r="D22" s="61">
        <f t="shared" si="0"/>
        <v>105</v>
      </c>
      <c r="E22" s="61">
        <f t="shared" si="1"/>
        <v>105</v>
      </c>
      <c r="F22" s="61">
        <f t="shared" si="2"/>
        <v>105</v>
      </c>
      <c r="G22" s="73">
        <f t="shared" si="3"/>
        <v>24</v>
      </c>
      <c r="H22" s="64">
        <f t="shared" si="4"/>
        <v>1</v>
      </c>
      <c r="I22" s="63">
        <f t="shared" si="41"/>
        <v>1</v>
      </c>
      <c r="J22" s="65">
        <f t="shared" si="5"/>
        <v>8.6117892021752077E-4</v>
      </c>
      <c r="K22" s="65">
        <f t="shared" si="6"/>
        <v>8.6117892021752077E-4</v>
      </c>
      <c r="L22" s="65">
        <f t="shared" si="7"/>
        <v>5.1791610661465239E-3</v>
      </c>
      <c r="M22" s="65">
        <f t="shared" si="8"/>
        <v>5.0000000000000001E-3</v>
      </c>
      <c r="N22" s="63">
        <f t="shared" si="9"/>
        <v>0.16712668083276516</v>
      </c>
      <c r="O22" s="64">
        <f t="shared" si="10"/>
        <v>2.1431865008919671</v>
      </c>
      <c r="P22" s="64">
        <f t="shared" si="11"/>
        <v>2.0715932504459835</v>
      </c>
      <c r="Q22" s="64">
        <f t="shared" si="12"/>
        <v>-7.1593250445983525E-2</v>
      </c>
      <c r="R22" s="64">
        <f t="shared" si="13"/>
        <v>4.772883363065568</v>
      </c>
      <c r="S22" s="64">
        <f t="shared" si="14"/>
        <v>1.1759127085518704</v>
      </c>
      <c r="T22" s="63">
        <f t="shared" si="42"/>
        <v>7.1615921631828037E-3</v>
      </c>
      <c r="U22" s="63">
        <f t="shared" si="15"/>
        <v>1</v>
      </c>
      <c r="V22" s="63">
        <f t="shared" si="43"/>
        <v>1.0071615921631829</v>
      </c>
      <c r="W22" s="64">
        <f t="shared" si="44"/>
        <v>0.61868465160677466</v>
      </c>
      <c r="X22" s="63">
        <f t="shared" si="16"/>
        <v>7.6554139626759235E-2</v>
      </c>
      <c r="Y22" s="63">
        <f t="shared" si="45"/>
        <v>7.6554139626759235E-2</v>
      </c>
      <c r="Z22" s="64">
        <f t="shared" si="17"/>
        <v>0.43872002003482014</v>
      </c>
      <c r="AA22" s="74">
        <f t="shared" si="18"/>
        <v>1.9247525597935298E-4</v>
      </c>
      <c r="AB22" s="75">
        <f t="shared" si="46"/>
        <v>1.9247525597935298E-4</v>
      </c>
      <c r="AC22" s="63">
        <f t="shared" si="19"/>
        <v>0.48072640569445196</v>
      </c>
      <c r="AD22" s="63">
        <f t="shared" si="47"/>
        <v>1.9901662029301681E-4</v>
      </c>
      <c r="AE22" s="63">
        <f t="shared" si="20"/>
        <v>2.627149053756592E-4</v>
      </c>
      <c r="AF22" s="63">
        <f t="shared" si="21"/>
        <v>0.11785594855578758</v>
      </c>
      <c r="AG22" s="63">
        <f t="shared" si="22"/>
        <v>2.60625819990048E-2</v>
      </c>
      <c r="AH22" s="63">
        <f t="shared" si="23"/>
        <v>9.4216717586914319E-4</v>
      </c>
      <c r="AI22" s="63">
        <f t="shared" si="48"/>
        <v>0.22378064516129031</v>
      </c>
      <c r="AJ22" s="63">
        <f t="shared" si="49"/>
        <v>0.36890405779732749</v>
      </c>
      <c r="AK22" s="63">
        <f t="shared" si="24"/>
        <v>1.0731602028597078</v>
      </c>
      <c r="AL22" s="63">
        <f t="shared" si="25"/>
        <v>9.9179635643427302E-4</v>
      </c>
      <c r="AM22" s="63">
        <f t="shared" si="26"/>
        <v>1.3094932806580442E-3</v>
      </c>
      <c r="AN22" s="63">
        <f t="shared" si="27"/>
        <v>1.9472976554192247E-2</v>
      </c>
      <c r="AO22" s="63">
        <f t="shared" si="28"/>
        <v>108.17238475853793</v>
      </c>
      <c r="AP22" s="63">
        <f t="shared" si="50"/>
        <v>1.9472976554192247E-2</v>
      </c>
      <c r="AQ22" s="61">
        <f t="shared" si="29"/>
        <v>0.46248</v>
      </c>
      <c r="AR22" s="61">
        <f t="shared" si="30"/>
        <v>50128320000</v>
      </c>
      <c r="AS22" s="61">
        <f t="shared" si="51"/>
        <v>0.46248</v>
      </c>
      <c r="AT22" s="61">
        <f t="shared" si="52"/>
        <v>0.23869935483870966</v>
      </c>
      <c r="AU22" s="63">
        <f t="shared" si="53"/>
        <v>0.25948182467355996</v>
      </c>
      <c r="AV22" s="63">
        <f t="shared" si="31"/>
        <v>6.9138534906689796E-3</v>
      </c>
      <c r="AW22" s="63">
        <f t="shared" si="32"/>
        <v>2.9760000000000003E-3</v>
      </c>
      <c r="AX22" s="63">
        <f t="shared" si="33"/>
        <v>0.24815999999999999</v>
      </c>
      <c r="AY22" s="63">
        <f t="shared" si="34"/>
        <v>0.25113599999999997</v>
      </c>
      <c r="AZ22" s="63">
        <f t="shared" si="35"/>
        <v>1.9703439430074781</v>
      </c>
      <c r="BA22" s="64">
        <f t="shared" si="36"/>
        <v>4</v>
      </c>
      <c r="BB22" s="76">
        <f t="shared" si="54"/>
        <v>0.66997815170846853</v>
      </c>
      <c r="BC22" s="64">
        <f t="shared" si="55"/>
        <v>66.997815170846849</v>
      </c>
      <c r="BD22" s="63">
        <f t="shared" si="37"/>
        <v>1.0071615921631829</v>
      </c>
      <c r="BE22" s="63">
        <f t="shared" si="56"/>
        <v>0.62838588247088745</v>
      </c>
      <c r="BF22" s="63">
        <f t="shared" si="38"/>
        <v>0.36890405779732749</v>
      </c>
      <c r="BG22" s="63">
        <f t="shared" si="39"/>
        <v>0.25948182467355996</v>
      </c>
      <c r="BH22" s="63">
        <f t="shared" si="40"/>
        <v>6.9138534906689796E-3</v>
      </c>
      <c r="BI22" s="63">
        <f t="shared" si="57"/>
        <v>0.25113599999999997</v>
      </c>
      <c r="BJ22" s="63">
        <f t="shared" si="58"/>
        <v>1.9247525597935298E-4</v>
      </c>
      <c r="BK22" s="63">
        <f t="shared" si="59"/>
        <v>7.6554139626759235E-2</v>
      </c>
      <c r="BL22" s="63">
        <f t="shared" si="60"/>
        <v>1.9703439430074781</v>
      </c>
      <c r="BQ22" s="77"/>
      <c r="BR22" s="78"/>
    </row>
    <row r="23" spans="3:71" x14ac:dyDescent="0.25">
      <c r="C23" s="61">
        <v>11</v>
      </c>
      <c r="D23" s="61">
        <f t="shared" si="0"/>
        <v>105</v>
      </c>
      <c r="E23" s="61">
        <f t="shared" si="1"/>
        <v>105</v>
      </c>
      <c r="F23" s="61">
        <f t="shared" si="2"/>
        <v>105</v>
      </c>
      <c r="G23" s="73">
        <f t="shared" si="3"/>
        <v>24</v>
      </c>
      <c r="H23" s="64">
        <f t="shared" si="4"/>
        <v>1</v>
      </c>
      <c r="I23" s="63">
        <f t="shared" si="41"/>
        <v>1.1000000000000001</v>
      </c>
      <c r="J23" s="65">
        <f t="shared" si="5"/>
        <v>8.6117892021752077E-4</v>
      </c>
      <c r="K23" s="65">
        <f t="shared" si="6"/>
        <v>8.6117892021752077E-4</v>
      </c>
      <c r="L23" s="65">
        <f t="shared" si="7"/>
        <v>5.1791610661465239E-3</v>
      </c>
      <c r="M23" s="65">
        <f t="shared" si="8"/>
        <v>5.0000000000000001E-3</v>
      </c>
      <c r="N23" s="63">
        <f t="shared" si="9"/>
        <v>0.16717268224937501</v>
      </c>
      <c r="O23" s="64">
        <f t="shared" si="10"/>
        <v>2.1437764103822343</v>
      </c>
      <c r="P23" s="64">
        <f t="shared" si="11"/>
        <v>2.1718882051911175</v>
      </c>
      <c r="Q23" s="64">
        <f t="shared" si="12"/>
        <v>2.8111794808882928E-2</v>
      </c>
      <c r="R23" s="64">
        <f t="shared" si="13"/>
        <v>0</v>
      </c>
      <c r="S23" s="64">
        <f t="shared" si="14"/>
        <v>1.2621336860554611</v>
      </c>
      <c r="T23" s="63">
        <f t="shared" si="42"/>
        <v>8.2503074607861819E-3</v>
      </c>
      <c r="U23" s="63">
        <f t="shared" si="15"/>
        <v>1</v>
      </c>
      <c r="V23" s="63">
        <f t="shared" si="43"/>
        <v>1.0082503074607863</v>
      </c>
      <c r="W23" s="64">
        <f t="shared" si="44"/>
        <v>0.61885494380827633</v>
      </c>
      <c r="X23" s="63">
        <f t="shared" si="16"/>
        <v>7.6596288295188983E-2</v>
      </c>
      <c r="Y23" s="63">
        <f t="shared" si="45"/>
        <v>7.6596288295188983E-2</v>
      </c>
      <c r="Z23" s="64">
        <f t="shared" si="17"/>
        <v>0.4709399078754441</v>
      </c>
      <c r="AA23" s="74">
        <f t="shared" si="18"/>
        <v>2.2178439682973177E-4</v>
      </c>
      <c r="AB23" s="75">
        <f t="shared" si="46"/>
        <v>2.2178439682973177E-4</v>
      </c>
      <c r="AC23" s="63">
        <f t="shared" si="19"/>
        <v>0.51604552158216577</v>
      </c>
      <c r="AD23" s="63">
        <f t="shared" si="47"/>
        <v>2.2933451306422293E-4</v>
      </c>
      <c r="AE23" s="63">
        <f t="shared" si="20"/>
        <v>3.027387755002912E-4</v>
      </c>
      <c r="AF23" s="63">
        <f t="shared" si="21"/>
        <v>0.12434985732016027</v>
      </c>
      <c r="AG23" s="63">
        <f t="shared" si="22"/>
        <v>4.0608000000000005E-2</v>
      </c>
      <c r="AH23" s="63">
        <f t="shared" si="23"/>
        <v>0</v>
      </c>
      <c r="AI23" s="63">
        <f t="shared" si="48"/>
        <v>0.22378064516129031</v>
      </c>
      <c r="AJ23" s="63">
        <f t="shared" si="49"/>
        <v>0.38904124125695089</v>
      </c>
      <c r="AK23" s="63">
        <f t="shared" si="24"/>
        <v>1.1518152895021561</v>
      </c>
      <c r="AL23" s="63">
        <f t="shared" si="25"/>
        <v>1.1425075246325814E-3</v>
      </c>
      <c r="AM23" s="63">
        <f t="shared" si="26"/>
        <v>1.5085373643069053E-3</v>
      </c>
      <c r="AN23" s="63">
        <f t="shared" si="27"/>
        <v>2.0785700348481408E-2</v>
      </c>
      <c r="AO23" s="63">
        <f t="shared" si="28"/>
        <v>115.46456543581419</v>
      </c>
      <c r="AP23" s="63">
        <f t="shared" si="50"/>
        <v>2.0785700348481408E-2</v>
      </c>
      <c r="AQ23" s="61">
        <f t="shared" si="29"/>
        <v>0.46248</v>
      </c>
      <c r="AR23" s="61">
        <f t="shared" si="30"/>
        <v>50128320000</v>
      </c>
      <c r="AS23" s="61">
        <f t="shared" si="51"/>
        <v>0.46248</v>
      </c>
      <c r="AT23" s="61">
        <f t="shared" si="52"/>
        <v>0.23869935483870966</v>
      </c>
      <c r="AU23" s="63">
        <f t="shared" si="53"/>
        <v>0.26099359255149795</v>
      </c>
      <c r="AV23" s="63">
        <f t="shared" si="31"/>
        <v>7.9649072073797265E-3</v>
      </c>
      <c r="AW23" s="63">
        <f t="shared" si="32"/>
        <v>2.9760000000000003E-3</v>
      </c>
      <c r="AX23" s="63">
        <f t="shared" si="33"/>
        <v>0.24815999999999999</v>
      </c>
      <c r="AY23" s="63">
        <f t="shared" si="34"/>
        <v>0.25113599999999997</v>
      </c>
      <c r="AZ23" s="63">
        <f t="shared" si="35"/>
        <v>1.9942041211686334</v>
      </c>
      <c r="BA23" s="64">
        <f t="shared" si="36"/>
        <v>4.4000000000000004</v>
      </c>
      <c r="BB23" s="76">
        <f t="shared" si="54"/>
        <v>0.68812316851652777</v>
      </c>
      <c r="BC23" s="64">
        <f t="shared" si="55"/>
        <v>68.812316851652781</v>
      </c>
      <c r="BD23" s="63">
        <f t="shared" si="37"/>
        <v>1.0082503074607863</v>
      </c>
      <c r="BE23" s="63">
        <f t="shared" si="56"/>
        <v>0.65003483380844884</v>
      </c>
      <c r="BF23" s="63">
        <f t="shared" si="38"/>
        <v>0.38904124125695089</v>
      </c>
      <c r="BG23" s="63">
        <f t="shared" si="39"/>
        <v>0.26099359255149795</v>
      </c>
      <c r="BH23" s="63">
        <f t="shared" si="40"/>
        <v>7.9649072073797265E-3</v>
      </c>
      <c r="BI23" s="63">
        <f t="shared" si="57"/>
        <v>0.25113599999999997</v>
      </c>
      <c r="BJ23" s="63">
        <f t="shared" si="58"/>
        <v>2.2178439682973177E-4</v>
      </c>
      <c r="BK23" s="63">
        <f t="shared" si="59"/>
        <v>7.6596288295188983E-2</v>
      </c>
      <c r="BL23" s="63">
        <f t="shared" si="60"/>
        <v>1.9942041211686334</v>
      </c>
      <c r="BQ23" s="77"/>
      <c r="BR23" s="78"/>
    </row>
    <row r="24" spans="3:71" x14ac:dyDescent="0.25">
      <c r="C24" s="61">
        <v>12</v>
      </c>
      <c r="D24" s="61">
        <f t="shared" si="0"/>
        <v>105</v>
      </c>
      <c r="E24" s="61">
        <f t="shared" si="1"/>
        <v>105</v>
      </c>
      <c r="F24" s="61">
        <f t="shared" si="2"/>
        <v>105</v>
      </c>
      <c r="G24" s="73">
        <f t="shared" si="3"/>
        <v>24</v>
      </c>
      <c r="H24" s="64">
        <f t="shared" si="4"/>
        <v>1</v>
      </c>
      <c r="I24" s="63">
        <f t="shared" si="41"/>
        <v>1.2</v>
      </c>
      <c r="J24" s="65">
        <f t="shared" si="5"/>
        <v>8.6117892021752077E-4</v>
      </c>
      <c r="K24" s="65">
        <f t="shared" si="6"/>
        <v>8.6117892021752077E-4</v>
      </c>
      <c r="L24" s="65">
        <f t="shared" si="7"/>
        <v>5.1791610661465239E-3</v>
      </c>
      <c r="M24" s="65">
        <f t="shared" si="8"/>
        <v>5.0000000000000001E-3</v>
      </c>
      <c r="N24" s="63">
        <f t="shared" si="9"/>
        <v>0.16721868366598489</v>
      </c>
      <c r="O24" s="64">
        <f t="shared" si="10"/>
        <v>2.144366319872502</v>
      </c>
      <c r="P24" s="64">
        <f t="shared" si="11"/>
        <v>2.272183159936251</v>
      </c>
      <c r="Q24" s="64">
        <f t="shared" si="12"/>
        <v>0.12781684006374894</v>
      </c>
      <c r="R24" s="64">
        <f t="shared" si="13"/>
        <v>0</v>
      </c>
      <c r="S24" s="64">
        <f t="shared" si="14"/>
        <v>1.3502563618872385</v>
      </c>
      <c r="T24" s="63">
        <f t="shared" si="42"/>
        <v>9.4426062800979649E-3</v>
      </c>
      <c r="U24" s="63">
        <f t="shared" si="15"/>
        <v>1</v>
      </c>
      <c r="V24" s="63">
        <f t="shared" si="43"/>
        <v>1.0094426062800981</v>
      </c>
      <c r="W24" s="64">
        <f t="shared" si="44"/>
        <v>0.6190252360097781</v>
      </c>
      <c r="X24" s="63">
        <f t="shared" si="16"/>
        <v>7.6638448563392303E-2</v>
      </c>
      <c r="Y24" s="63">
        <f t="shared" si="45"/>
        <v>7.6638448563392303E-2</v>
      </c>
      <c r="Z24" s="64">
        <f t="shared" si="17"/>
        <v>0.50387651728858773</v>
      </c>
      <c r="AA24" s="74">
        <f t="shared" si="18"/>
        <v>2.5389154467487645E-4</v>
      </c>
      <c r="AB24" s="75">
        <f t="shared" si="46"/>
        <v>2.5389154467487645E-4</v>
      </c>
      <c r="AC24" s="63">
        <f t="shared" si="19"/>
        <v>0.55215197809469718</v>
      </c>
      <c r="AD24" s="63">
        <f t="shared" si="47"/>
        <v>2.6254917348286566E-4</v>
      </c>
      <c r="AE24" s="63">
        <f t="shared" si="20"/>
        <v>3.4658747606871725E-4</v>
      </c>
      <c r="AF24" s="63">
        <f t="shared" si="21"/>
        <v>0.13285054914925648</v>
      </c>
      <c r="AG24" s="63">
        <f t="shared" si="22"/>
        <v>4.0608000000000005E-2</v>
      </c>
      <c r="AH24" s="63">
        <f t="shared" si="23"/>
        <v>0</v>
      </c>
      <c r="AI24" s="63">
        <f t="shared" si="48"/>
        <v>0.22378064516129031</v>
      </c>
      <c r="AJ24" s="63">
        <f t="shared" si="49"/>
        <v>0.39758578178661552</v>
      </c>
      <c r="AK24" s="63">
        <f t="shared" si="24"/>
        <v>1.2322014591385104</v>
      </c>
      <c r="AL24" s="63">
        <f t="shared" si="25"/>
        <v>1.3075455535352049E-3</v>
      </c>
      <c r="AM24" s="63">
        <f t="shared" si="26"/>
        <v>1.7265199915439027E-3</v>
      </c>
      <c r="AN24" s="63">
        <f t="shared" si="27"/>
        <v>2.3040591318639697E-2</v>
      </c>
      <c r="AO24" s="63">
        <f t="shared" si="28"/>
        <v>127.99048477504354</v>
      </c>
      <c r="AP24" s="63">
        <f t="shared" si="50"/>
        <v>2.3040591318639697E-2</v>
      </c>
      <c r="AQ24" s="61">
        <f t="shared" si="29"/>
        <v>0.46248</v>
      </c>
      <c r="AR24" s="61">
        <f t="shared" si="30"/>
        <v>50128320000</v>
      </c>
      <c r="AS24" s="61">
        <f t="shared" si="51"/>
        <v>0.46248</v>
      </c>
      <c r="AT24" s="61">
        <f t="shared" si="52"/>
        <v>0.23869935483870966</v>
      </c>
      <c r="AU24" s="63">
        <f t="shared" si="53"/>
        <v>0.26346646614889324</v>
      </c>
      <c r="AV24" s="63">
        <f t="shared" si="31"/>
        <v>9.115961214084806E-3</v>
      </c>
      <c r="AW24" s="63">
        <f t="shared" si="32"/>
        <v>2.9760000000000003E-3</v>
      </c>
      <c r="AX24" s="63">
        <f t="shared" si="33"/>
        <v>0.24815999999999999</v>
      </c>
      <c r="AY24" s="63">
        <f t="shared" si="34"/>
        <v>0.25113599999999997</v>
      </c>
      <c r="AZ24" s="63">
        <f t="shared" si="35"/>
        <v>2.0076391555377584</v>
      </c>
      <c r="BA24" s="64">
        <f t="shared" si="36"/>
        <v>4.8</v>
      </c>
      <c r="BB24" s="76">
        <f t="shared" si="54"/>
        <v>0.70509025086844979</v>
      </c>
      <c r="BC24" s="64">
        <f t="shared" si="55"/>
        <v>70.509025086844986</v>
      </c>
      <c r="BD24" s="63">
        <f t="shared" si="37"/>
        <v>1.0094426062800981</v>
      </c>
      <c r="BE24" s="63">
        <f t="shared" si="56"/>
        <v>0.66105224793550876</v>
      </c>
      <c r="BF24" s="63">
        <f t="shared" si="38"/>
        <v>0.39758578178661552</v>
      </c>
      <c r="BG24" s="63">
        <f t="shared" si="39"/>
        <v>0.26346646614889324</v>
      </c>
      <c r="BH24" s="63">
        <f t="shared" si="40"/>
        <v>9.115961214084806E-3</v>
      </c>
      <c r="BI24" s="63">
        <f t="shared" si="57"/>
        <v>0.25113599999999997</v>
      </c>
      <c r="BJ24" s="63">
        <f t="shared" si="58"/>
        <v>2.5389154467487645E-4</v>
      </c>
      <c r="BK24" s="63">
        <f t="shared" si="59"/>
        <v>7.6638448563392303E-2</v>
      </c>
      <c r="BL24" s="63">
        <f t="shared" si="60"/>
        <v>2.0076391555377588</v>
      </c>
      <c r="BQ24" s="77"/>
      <c r="BR24" s="78"/>
    </row>
    <row r="25" spans="3:71" x14ac:dyDescent="0.25">
      <c r="C25" s="61">
        <v>13</v>
      </c>
      <c r="D25" s="61">
        <f t="shared" si="0"/>
        <v>105</v>
      </c>
      <c r="E25" s="61">
        <f t="shared" si="1"/>
        <v>105</v>
      </c>
      <c r="F25" s="61">
        <f t="shared" si="2"/>
        <v>105</v>
      </c>
      <c r="G25" s="73">
        <f t="shared" si="3"/>
        <v>24</v>
      </c>
      <c r="H25" s="64">
        <f t="shared" si="4"/>
        <v>1</v>
      </c>
      <c r="I25" s="63">
        <f t="shared" si="41"/>
        <v>1.3</v>
      </c>
      <c r="J25" s="65">
        <f t="shared" si="5"/>
        <v>8.6117892021752077E-4</v>
      </c>
      <c r="K25" s="65">
        <f t="shared" si="6"/>
        <v>8.6117892021752077E-4</v>
      </c>
      <c r="L25" s="65">
        <f t="shared" si="7"/>
        <v>5.1791610661465239E-3</v>
      </c>
      <c r="M25" s="65">
        <f t="shared" si="8"/>
        <v>5.0000000000000001E-3</v>
      </c>
      <c r="N25" s="63">
        <f t="shared" si="9"/>
        <v>0.16726468508259473</v>
      </c>
      <c r="O25" s="64">
        <f t="shared" si="10"/>
        <v>2.1449562293627693</v>
      </c>
      <c r="P25" s="64">
        <f t="shared" si="11"/>
        <v>2.3724781146813845</v>
      </c>
      <c r="Q25" s="64">
        <f t="shared" si="12"/>
        <v>0.22752188531861539</v>
      </c>
      <c r="R25" s="64">
        <f t="shared" si="13"/>
        <v>0</v>
      </c>
      <c r="S25" s="64">
        <f t="shared" si="14"/>
        <v>1.4399316310703247</v>
      </c>
      <c r="T25" s="63">
        <f t="shared" si="42"/>
        <v>1.073848862111816E-2</v>
      </c>
      <c r="U25" s="63">
        <f t="shared" si="15"/>
        <v>1</v>
      </c>
      <c r="V25" s="63">
        <f t="shared" si="43"/>
        <v>1.0107384886211181</v>
      </c>
      <c r="W25" s="64">
        <f t="shared" si="44"/>
        <v>0.61919552821127977</v>
      </c>
      <c r="X25" s="63">
        <f t="shared" si="16"/>
        <v>7.6680620431369154E-2</v>
      </c>
      <c r="Y25" s="63">
        <f t="shared" si="45"/>
        <v>7.6680620431369154E-2</v>
      </c>
      <c r="Z25" s="64">
        <f t="shared" si="17"/>
        <v>0.53739978948040457</v>
      </c>
      <c r="AA25" s="74">
        <f t="shared" si="18"/>
        <v>2.8879853373358315E-4</v>
      </c>
      <c r="AB25" s="75">
        <f t="shared" si="46"/>
        <v>2.8879853373358315E-4</v>
      </c>
      <c r="AC25" s="63">
        <f t="shared" si="19"/>
        <v>0.58890331713409449</v>
      </c>
      <c r="AD25" s="63">
        <f t="shared" si="47"/>
        <v>2.9866297848285496E-4</v>
      </c>
      <c r="AE25" s="63">
        <f t="shared" si="20"/>
        <v>3.9426433413313334E-4</v>
      </c>
      <c r="AF25" s="63">
        <f t="shared" si="21"/>
        <v>0.14135124097835275</v>
      </c>
      <c r="AG25" s="63">
        <f t="shared" si="22"/>
        <v>4.0608000000000005E-2</v>
      </c>
      <c r="AH25" s="63">
        <f t="shared" si="23"/>
        <v>0</v>
      </c>
      <c r="AI25" s="63">
        <f t="shared" si="48"/>
        <v>0.22378064516129031</v>
      </c>
      <c r="AJ25" s="63">
        <f t="shared" si="49"/>
        <v>0.40613415047377621</v>
      </c>
      <c r="AK25" s="63">
        <f t="shared" si="24"/>
        <v>1.3139999943779703</v>
      </c>
      <c r="AL25" s="63">
        <f t="shared" si="25"/>
        <v>1.4869080662082356E-3</v>
      </c>
      <c r="AM25" s="63">
        <f t="shared" si="26"/>
        <v>1.963442673164441E-3</v>
      </c>
      <c r="AN25" s="63">
        <f t="shared" si="27"/>
        <v>2.5295482288797997E-2</v>
      </c>
      <c r="AO25" s="63">
        <f t="shared" si="28"/>
        <v>140.51640411427286</v>
      </c>
      <c r="AP25" s="63">
        <f t="shared" si="50"/>
        <v>2.5295482288797997E-2</v>
      </c>
      <c r="AQ25" s="61">
        <f t="shared" si="29"/>
        <v>0.46248</v>
      </c>
      <c r="AR25" s="61">
        <f t="shared" si="30"/>
        <v>50128320000</v>
      </c>
      <c r="AS25" s="61">
        <f t="shared" si="51"/>
        <v>0.46248</v>
      </c>
      <c r="AT25" s="61">
        <f t="shared" si="52"/>
        <v>0.23869935483870966</v>
      </c>
      <c r="AU25" s="63">
        <f t="shared" si="53"/>
        <v>0.2659582798006721</v>
      </c>
      <c r="AV25" s="63">
        <f t="shared" si="31"/>
        <v>1.0367015510784229E-2</v>
      </c>
      <c r="AW25" s="63">
        <f t="shared" si="32"/>
        <v>2.9760000000000003E-3</v>
      </c>
      <c r="AX25" s="63">
        <f t="shared" si="33"/>
        <v>0.24815999999999999</v>
      </c>
      <c r="AY25" s="63">
        <f t="shared" si="34"/>
        <v>0.25113599999999997</v>
      </c>
      <c r="AZ25" s="63">
        <f t="shared" si="35"/>
        <v>2.0213033533714535</v>
      </c>
      <c r="BA25" s="64">
        <f t="shared" si="36"/>
        <v>5.2</v>
      </c>
      <c r="BB25" s="76">
        <f t="shared" si="54"/>
        <v>0.72009161581229575</v>
      </c>
      <c r="BC25" s="64">
        <f t="shared" si="55"/>
        <v>72.009161581229577</v>
      </c>
      <c r="BD25" s="63">
        <f t="shared" si="37"/>
        <v>1.0107384886211181</v>
      </c>
      <c r="BE25" s="63">
        <f t="shared" si="56"/>
        <v>0.67209243027444832</v>
      </c>
      <c r="BF25" s="63">
        <f t="shared" si="38"/>
        <v>0.40613415047377621</v>
      </c>
      <c r="BG25" s="63">
        <f t="shared" si="39"/>
        <v>0.2659582798006721</v>
      </c>
      <c r="BH25" s="63">
        <f t="shared" si="40"/>
        <v>1.0367015510784229E-2</v>
      </c>
      <c r="BI25" s="63">
        <f t="shared" si="57"/>
        <v>0.25113599999999997</v>
      </c>
      <c r="BJ25" s="63">
        <f t="shared" si="58"/>
        <v>2.8879853373358315E-4</v>
      </c>
      <c r="BK25" s="63">
        <f t="shared" si="59"/>
        <v>7.6680620431369154E-2</v>
      </c>
      <c r="BL25" s="63">
        <f t="shared" si="60"/>
        <v>2.0213033533714535</v>
      </c>
      <c r="BQ25" s="77"/>
      <c r="BR25" s="78"/>
    </row>
    <row r="26" spans="3:71" x14ac:dyDescent="0.25">
      <c r="C26" s="61">
        <v>14</v>
      </c>
      <c r="D26" s="61">
        <f t="shared" si="0"/>
        <v>105</v>
      </c>
      <c r="E26" s="61">
        <f t="shared" si="1"/>
        <v>105</v>
      </c>
      <c r="F26" s="61">
        <f t="shared" si="2"/>
        <v>105</v>
      </c>
      <c r="G26" s="73">
        <f t="shared" si="3"/>
        <v>24</v>
      </c>
      <c r="H26" s="64">
        <f t="shared" si="4"/>
        <v>1</v>
      </c>
      <c r="I26" s="63">
        <f t="shared" si="41"/>
        <v>1.4</v>
      </c>
      <c r="J26" s="65">
        <f t="shared" si="5"/>
        <v>8.6117892021752077E-4</v>
      </c>
      <c r="K26" s="65">
        <f t="shared" si="6"/>
        <v>8.6117892021752077E-4</v>
      </c>
      <c r="L26" s="65">
        <f t="shared" si="7"/>
        <v>5.1791610661465239E-3</v>
      </c>
      <c r="M26" s="65">
        <f t="shared" si="8"/>
        <v>5.0000000000000001E-3</v>
      </c>
      <c r="N26" s="63">
        <f t="shared" si="9"/>
        <v>0.16731068649920455</v>
      </c>
      <c r="O26" s="64">
        <f t="shared" si="10"/>
        <v>2.1455461388530366</v>
      </c>
      <c r="P26" s="64">
        <f t="shared" si="11"/>
        <v>2.472773069426518</v>
      </c>
      <c r="Q26" s="64">
        <f t="shared" si="12"/>
        <v>0.32722693057348162</v>
      </c>
      <c r="R26" s="64">
        <f t="shared" si="13"/>
        <v>0</v>
      </c>
      <c r="S26" s="64">
        <f t="shared" si="14"/>
        <v>1.5308866775485368</v>
      </c>
      <c r="T26" s="63">
        <f t="shared" si="42"/>
        <v>1.2137954483846759E-2</v>
      </c>
      <c r="U26" s="63">
        <f t="shared" si="15"/>
        <v>1</v>
      </c>
      <c r="V26" s="63">
        <f t="shared" si="43"/>
        <v>1.0121379544838467</v>
      </c>
      <c r="W26" s="64">
        <f t="shared" si="44"/>
        <v>0.61936582041278143</v>
      </c>
      <c r="X26" s="63">
        <f t="shared" si="16"/>
        <v>7.6722803899119563E-2</v>
      </c>
      <c r="Y26" s="63">
        <f t="shared" si="45"/>
        <v>7.6722803899119563E-2</v>
      </c>
      <c r="Z26" s="64">
        <f t="shared" si="17"/>
        <v>0.57140808334917237</v>
      </c>
      <c r="AA26" s="74">
        <f t="shared" si="18"/>
        <v>3.2650719771677472E-4</v>
      </c>
      <c r="AB26" s="75">
        <f t="shared" si="46"/>
        <v>3.2650719771677472E-4</v>
      </c>
      <c r="AC26" s="63">
        <f t="shared" si="19"/>
        <v>0.62618820692421906</v>
      </c>
      <c r="AD26" s="63">
        <f t="shared" si="47"/>
        <v>3.3767830499810062E-4</v>
      </c>
      <c r="AE26" s="63">
        <f t="shared" si="20"/>
        <v>4.4577269348384526E-4</v>
      </c>
      <c r="AF26" s="63">
        <f t="shared" si="21"/>
        <v>0.14985193280744899</v>
      </c>
      <c r="AG26" s="63">
        <f t="shared" si="22"/>
        <v>4.0608000000000005E-2</v>
      </c>
      <c r="AH26" s="63">
        <f t="shared" si="23"/>
        <v>0</v>
      </c>
      <c r="AI26" s="63">
        <f t="shared" si="48"/>
        <v>0.22378064516129031</v>
      </c>
      <c r="AJ26" s="63">
        <f t="shared" si="49"/>
        <v>0.41468635066222315</v>
      </c>
      <c r="AK26" s="63">
        <f t="shared" si="24"/>
        <v>1.3969618280413494</v>
      </c>
      <c r="AL26" s="63">
        <f t="shared" si="25"/>
        <v>1.6805926857177615E-3</v>
      </c>
      <c r="AM26" s="63">
        <f t="shared" si="26"/>
        <v>2.2193073235579675E-3</v>
      </c>
      <c r="AN26" s="63">
        <f t="shared" si="27"/>
        <v>2.755037325895629E-2</v>
      </c>
      <c r="AO26" s="63">
        <f t="shared" si="28"/>
        <v>153.04232345350215</v>
      </c>
      <c r="AP26" s="63">
        <f t="shared" si="50"/>
        <v>2.755037325895629E-2</v>
      </c>
      <c r="AQ26" s="61">
        <f t="shared" si="29"/>
        <v>0.46248</v>
      </c>
      <c r="AR26" s="61">
        <f t="shared" si="30"/>
        <v>50128320000</v>
      </c>
      <c r="AS26" s="61">
        <f t="shared" si="51"/>
        <v>0.46248</v>
      </c>
      <c r="AT26" s="61">
        <f t="shared" si="52"/>
        <v>0.23869935483870966</v>
      </c>
      <c r="AU26" s="63">
        <f t="shared" si="53"/>
        <v>0.26846903542122391</v>
      </c>
      <c r="AV26" s="63">
        <f t="shared" si="31"/>
        <v>1.1718070097477988E-2</v>
      </c>
      <c r="AW26" s="63">
        <f t="shared" si="32"/>
        <v>2.9760000000000003E-3</v>
      </c>
      <c r="AX26" s="63">
        <f t="shared" si="33"/>
        <v>0.24815999999999999</v>
      </c>
      <c r="AY26" s="63">
        <f t="shared" si="34"/>
        <v>0.25113599999999997</v>
      </c>
      <c r="AZ26" s="63">
        <f t="shared" si="35"/>
        <v>2.0351967217616078</v>
      </c>
      <c r="BA26" s="64">
        <f t="shared" si="36"/>
        <v>5.6</v>
      </c>
      <c r="BB26" s="76">
        <f t="shared" si="54"/>
        <v>0.73344541130669871</v>
      </c>
      <c r="BC26" s="64">
        <f t="shared" si="55"/>
        <v>73.344541130669867</v>
      </c>
      <c r="BD26" s="63">
        <f t="shared" si="37"/>
        <v>1.0121379544838467</v>
      </c>
      <c r="BE26" s="63">
        <f t="shared" si="56"/>
        <v>0.68315538608344706</v>
      </c>
      <c r="BF26" s="63">
        <f t="shared" si="38"/>
        <v>0.41468635066222315</v>
      </c>
      <c r="BG26" s="63">
        <f t="shared" si="39"/>
        <v>0.26846903542122391</v>
      </c>
      <c r="BH26" s="63">
        <f t="shared" si="40"/>
        <v>1.1718070097477988E-2</v>
      </c>
      <c r="BI26" s="63">
        <f t="shared" si="57"/>
        <v>0.25113599999999997</v>
      </c>
      <c r="BJ26" s="63">
        <f t="shared" si="58"/>
        <v>3.2650719771677472E-4</v>
      </c>
      <c r="BK26" s="63">
        <f t="shared" si="59"/>
        <v>7.6722803899119563E-2</v>
      </c>
      <c r="BL26" s="63">
        <f t="shared" si="60"/>
        <v>2.0351967217616083</v>
      </c>
      <c r="BQ26" s="77"/>
      <c r="BR26" s="78"/>
    </row>
    <row r="27" spans="3:71" x14ac:dyDescent="0.25">
      <c r="C27" s="61">
        <v>15</v>
      </c>
      <c r="D27" s="61">
        <f t="shared" si="0"/>
        <v>105</v>
      </c>
      <c r="E27" s="61">
        <f t="shared" si="1"/>
        <v>105</v>
      </c>
      <c r="F27" s="61">
        <f t="shared" si="2"/>
        <v>105</v>
      </c>
      <c r="G27" s="73">
        <f t="shared" si="3"/>
        <v>24</v>
      </c>
      <c r="H27" s="64">
        <f t="shared" si="4"/>
        <v>1</v>
      </c>
      <c r="I27" s="63">
        <f t="shared" si="41"/>
        <v>1.5</v>
      </c>
      <c r="J27" s="65">
        <f t="shared" si="5"/>
        <v>8.6117892021752077E-4</v>
      </c>
      <c r="K27" s="65">
        <f t="shared" si="6"/>
        <v>8.6117892021752077E-4</v>
      </c>
      <c r="L27" s="65">
        <f t="shared" si="7"/>
        <v>5.1791610661465239E-3</v>
      </c>
      <c r="M27" s="65">
        <f t="shared" si="8"/>
        <v>5.0000000000000001E-3</v>
      </c>
      <c r="N27" s="63">
        <f t="shared" si="9"/>
        <v>0.1673566879158144</v>
      </c>
      <c r="O27" s="64">
        <f t="shared" si="10"/>
        <v>2.1461360483433038</v>
      </c>
      <c r="P27" s="64">
        <f t="shared" si="11"/>
        <v>2.5730680241716519</v>
      </c>
      <c r="Q27" s="64">
        <f t="shared" si="12"/>
        <v>0.42693197582834808</v>
      </c>
      <c r="R27" s="64">
        <f t="shared" si="13"/>
        <v>0</v>
      </c>
      <c r="S27" s="64">
        <f t="shared" si="14"/>
        <v>1.6229063419782479</v>
      </c>
      <c r="T27" s="63">
        <f t="shared" si="42"/>
        <v>1.364100386828377E-2</v>
      </c>
      <c r="U27" s="63">
        <f t="shared" si="15"/>
        <v>1</v>
      </c>
      <c r="V27" s="63">
        <f t="shared" si="43"/>
        <v>1.0136410038682837</v>
      </c>
      <c r="W27" s="64">
        <f t="shared" si="44"/>
        <v>0.6195361126142831</v>
      </c>
      <c r="X27" s="63">
        <f t="shared" si="16"/>
        <v>7.6764998966643544E-2</v>
      </c>
      <c r="Y27" s="63">
        <f t="shared" si="45"/>
        <v>7.6764998966643544E-2</v>
      </c>
      <c r="Z27" s="64">
        <f t="shared" si="17"/>
        <v>0.60582123586706793</v>
      </c>
      <c r="AA27" s="74">
        <f t="shared" si="18"/>
        <v>3.6701936982750158E-4</v>
      </c>
      <c r="AB27" s="75">
        <f t="shared" si="46"/>
        <v>3.6701936982750158E-4</v>
      </c>
      <c r="AC27" s="63">
        <f t="shared" si="19"/>
        <v>0.66391884118857047</v>
      </c>
      <c r="AD27" s="63">
        <f t="shared" si="47"/>
        <v>3.7959752996251307E-4</v>
      </c>
      <c r="AE27" s="63">
        <f t="shared" si="20"/>
        <v>5.0111591469665132E-4</v>
      </c>
      <c r="AF27" s="63">
        <f t="shared" si="21"/>
        <v>0.15835262463654526</v>
      </c>
      <c r="AG27" s="63">
        <f t="shared" si="22"/>
        <v>4.0608000000000005E-2</v>
      </c>
      <c r="AH27" s="63">
        <f t="shared" si="23"/>
        <v>0</v>
      </c>
      <c r="AI27" s="63">
        <f t="shared" si="48"/>
        <v>0.22378064516129031</v>
      </c>
      <c r="AJ27" s="63">
        <f t="shared" si="49"/>
        <v>0.42324238571253225</v>
      </c>
      <c r="AK27" s="63">
        <f t="shared" si="24"/>
        <v>1.4808905317909367</v>
      </c>
      <c r="AL27" s="63">
        <f t="shared" si="25"/>
        <v>1.8885970351298742E-3</v>
      </c>
      <c r="AM27" s="63">
        <f t="shared" si="26"/>
        <v>2.4941162607541156E-3</v>
      </c>
      <c r="AN27" s="63">
        <f t="shared" si="27"/>
        <v>2.980526422911459E-2</v>
      </c>
      <c r="AO27" s="63">
        <f t="shared" si="28"/>
        <v>165.56824279273158</v>
      </c>
      <c r="AP27" s="63">
        <f t="shared" si="50"/>
        <v>2.980526422911459E-2</v>
      </c>
      <c r="AQ27" s="61">
        <f t="shared" si="29"/>
        <v>0.46248</v>
      </c>
      <c r="AR27" s="61">
        <f t="shared" si="30"/>
        <v>50128320000</v>
      </c>
      <c r="AS27" s="61">
        <f t="shared" si="51"/>
        <v>0.46248</v>
      </c>
      <c r="AT27" s="61">
        <f t="shared" si="52"/>
        <v>0.23869935483870966</v>
      </c>
      <c r="AU27" s="63">
        <f t="shared" si="53"/>
        <v>0.27099873532857838</v>
      </c>
      <c r="AV27" s="63">
        <f t="shared" si="31"/>
        <v>1.3169124974166089E-2</v>
      </c>
      <c r="AW27" s="63">
        <f t="shared" si="32"/>
        <v>2.9760000000000003E-3</v>
      </c>
      <c r="AX27" s="63">
        <f t="shared" si="33"/>
        <v>0.24815999999999999</v>
      </c>
      <c r="AY27" s="63">
        <f t="shared" si="34"/>
        <v>0.25113599999999997</v>
      </c>
      <c r="AZ27" s="63">
        <f t="shared" si="35"/>
        <v>2.0493192682200312</v>
      </c>
      <c r="BA27" s="64">
        <f t="shared" si="36"/>
        <v>6</v>
      </c>
      <c r="BB27" s="76">
        <f t="shared" si="54"/>
        <v>0.74540464852586186</v>
      </c>
      <c r="BC27" s="64">
        <f t="shared" si="55"/>
        <v>74.540464852586183</v>
      </c>
      <c r="BD27" s="63">
        <f t="shared" si="37"/>
        <v>1.0136410038682837</v>
      </c>
      <c r="BE27" s="63">
        <f t="shared" si="56"/>
        <v>0.69424112104111058</v>
      </c>
      <c r="BF27" s="63">
        <f t="shared" si="38"/>
        <v>0.42324238571253225</v>
      </c>
      <c r="BG27" s="63">
        <f t="shared" si="39"/>
        <v>0.27099873532857838</v>
      </c>
      <c r="BH27" s="63">
        <f t="shared" si="40"/>
        <v>1.3169124974166089E-2</v>
      </c>
      <c r="BI27" s="63">
        <f t="shared" si="57"/>
        <v>0.25113599999999997</v>
      </c>
      <c r="BJ27" s="63">
        <f t="shared" si="58"/>
        <v>3.6701936982750158E-4</v>
      </c>
      <c r="BK27" s="63">
        <f t="shared" si="59"/>
        <v>7.6764998966643544E-2</v>
      </c>
      <c r="BL27" s="63">
        <f t="shared" si="60"/>
        <v>2.0493192682200316</v>
      </c>
      <c r="BQ27" s="77"/>
      <c r="BR27" s="78"/>
    </row>
    <row r="28" spans="3:71" x14ac:dyDescent="0.25">
      <c r="C28" s="61">
        <v>16</v>
      </c>
      <c r="D28" s="61">
        <f t="shared" si="0"/>
        <v>105</v>
      </c>
      <c r="E28" s="61">
        <f t="shared" si="1"/>
        <v>105</v>
      </c>
      <c r="F28" s="61">
        <f t="shared" si="2"/>
        <v>105</v>
      </c>
      <c r="G28" s="73">
        <f t="shared" si="3"/>
        <v>24</v>
      </c>
      <c r="H28" s="64">
        <f t="shared" si="4"/>
        <v>1</v>
      </c>
      <c r="I28" s="63">
        <f t="shared" si="41"/>
        <v>1.6</v>
      </c>
      <c r="J28" s="65">
        <f t="shared" si="5"/>
        <v>8.6117892021752077E-4</v>
      </c>
      <c r="K28" s="65">
        <f t="shared" si="6"/>
        <v>8.6117892021752077E-4</v>
      </c>
      <c r="L28" s="65">
        <f t="shared" si="7"/>
        <v>5.1791610661465239E-3</v>
      </c>
      <c r="M28" s="65">
        <f t="shared" si="8"/>
        <v>5.0000000000000001E-3</v>
      </c>
      <c r="N28" s="63">
        <f t="shared" si="9"/>
        <v>0.16740268933242428</v>
      </c>
      <c r="O28" s="64">
        <f t="shared" si="10"/>
        <v>2.1467259578335716</v>
      </c>
      <c r="P28" s="64">
        <f t="shared" si="11"/>
        <v>2.6733629789167859</v>
      </c>
      <c r="Q28" s="64">
        <f t="shared" si="12"/>
        <v>0.52663702108321431</v>
      </c>
      <c r="R28" s="64">
        <f t="shared" si="13"/>
        <v>0</v>
      </c>
      <c r="S28" s="64">
        <f t="shared" si="14"/>
        <v>1.71581934601802</v>
      </c>
      <c r="T28" s="63">
        <f t="shared" si="42"/>
        <v>1.5247636774429191E-2</v>
      </c>
      <c r="U28" s="63">
        <f t="shared" si="15"/>
        <v>1</v>
      </c>
      <c r="V28" s="63">
        <f t="shared" si="43"/>
        <v>1.0152476367744292</v>
      </c>
      <c r="W28" s="64">
        <f t="shared" si="44"/>
        <v>0.61970640481578487</v>
      </c>
      <c r="X28" s="63">
        <f t="shared" si="16"/>
        <v>7.6807205633941097E-2</v>
      </c>
      <c r="Y28" s="63">
        <f t="shared" si="45"/>
        <v>7.6807205633941097E-2</v>
      </c>
      <c r="Z28" s="64">
        <f t="shared" si="17"/>
        <v>0.64057543096886049</v>
      </c>
      <c r="AA28" s="74">
        <f t="shared" si="18"/>
        <v>4.1033688276094141E-4</v>
      </c>
      <c r="AB28" s="75">
        <f t="shared" si="46"/>
        <v>4.1033688276094141E-4</v>
      </c>
      <c r="AC28" s="63">
        <f t="shared" si="19"/>
        <v>0.70202531906417565</v>
      </c>
      <c r="AD28" s="63">
        <f t="shared" si="47"/>
        <v>4.2442303031000234E-4</v>
      </c>
      <c r="AE28" s="63">
        <f t="shared" si="20"/>
        <v>5.602973751804456E-4</v>
      </c>
      <c r="AF28" s="63">
        <f t="shared" si="21"/>
        <v>0.16685331646564155</v>
      </c>
      <c r="AG28" s="63">
        <f t="shared" si="22"/>
        <v>4.0608000000000005E-2</v>
      </c>
      <c r="AH28" s="63">
        <f t="shared" si="23"/>
        <v>0</v>
      </c>
      <c r="AI28" s="63">
        <f t="shared" si="48"/>
        <v>0.22378064516129031</v>
      </c>
      <c r="AJ28" s="63">
        <f t="shared" si="49"/>
        <v>0.43180225900211233</v>
      </c>
      <c r="AK28" s="63">
        <f t="shared" si="24"/>
        <v>1.565629738974879</v>
      </c>
      <c r="AL28" s="63">
        <f t="shared" si="25"/>
        <v>2.110918737510663E-3</v>
      </c>
      <c r="AM28" s="63">
        <f t="shared" si="26"/>
        <v>2.7878722064903351E-3</v>
      </c>
      <c r="AN28" s="63">
        <f t="shared" si="27"/>
        <v>3.2060155199272897E-2</v>
      </c>
      <c r="AO28" s="63">
        <f t="shared" si="28"/>
        <v>178.0941621319609</v>
      </c>
      <c r="AP28" s="63">
        <f t="shared" si="50"/>
        <v>3.2060155199272897E-2</v>
      </c>
      <c r="AQ28" s="61">
        <f t="shared" si="29"/>
        <v>0.46248</v>
      </c>
      <c r="AR28" s="61">
        <f t="shared" si="30"/>
        <v>50128320000</v>
      </c>
      <c r="AS28" s="61">
        <f t="shared" si="51"/>
        <v>0.46248</v>
      </c>
      <c r="AT28" s="61">
        <f t="shared" si="52"/>
        <v>0.23869935483870966</v>
      </c>
      <c r="AU28" s="63">
        <f t="shared" si="53"/>
        <v>0.27354738224447289</v>
      </c>
      <c r="AV28" s="63">
        <f t="shared" si="31"/>
        <v>1.4720180140848528E-2</v>
      </c>
      <c r="AW28" s="63">
        <f t="shared" si="32"/>
        <v>2.9760000000000003E-3</v>
      </c>
      <c r="AX28" s="63">
        <f t="shared" si="33"/>
        <v>0.24815999999999999</v>
      </c>
      <c r="AY28" s="63">
        <f t="shared" si="34"/>
        <v>0.25113599999999997</v>
      </c>
      <c r="AZ28" s="63">
        <f t="shared" si="35"/>
        <v>2.063671000678565</v>
      </c>
      <c r="BA28" s="64">
        <f t="shared" si="36"/>
        <v>6.4</v>
      </c>
      <c r="BB28" s="76">
        <f t="shared" si="54"/>
        <v>0.75617306006895668</v>
      </c>
      <c r="BC28" s="64">
        <f t="shared" si="55"/>
        <v>75.617306006895674</v>
      </c>
      <c r="BD28" s="63">
        <f t="shared" si="37"/>
        <v>1.0152476367744292</v>
      </c>
      <c r="BE28" s="63">
        <f t="shared" si="56"/>
        <v>0.70534964124658517</v>
      </c>
      <c r="BF28" s="63">
        <f t="shared" si="38"/>
        <v>0.43180225900211233</v>
      </c>
      <c r="BG28" s="63">
        <f t="shared" si="39"/>
        <v>0.27354738224447289</v>
      </c>
      <c r="BH28" s="63">
        <f t="shared" si="40"/>
        <v>1.4720180140848528E-2</v>
      </c>
      <c r="BI28" s="63">
        <f t="shared" si="57"/>
        <v>0.25113599999999997</v>
      </c>
      <c r="BJ28" s="63">
        <f t="shared" si="58"/>
        <v>4.1033688276094141E-4</v>
      </c>
      <c r="BK28" s="63">
        <f t="shared" si="59"/>
        <v>7.6807205633941097E-2</v>
      </c>
      <c r="BL28" s="63">
        <f t="shared" si="60"/>
        <v>2.0636710006785655</v>
      </c>
    </row>
    <row r="29" spans="3:71" x14ac:dyDescent="0.25">
      <c r="C29" s="61">
        <v>17</v>
      </c>
      <c r="D29" s="61">
        <f t="shared" si="0"/>
        <v>105</v>
      </c>
      <c r="E29" s="61">
        <f t="shared" si="1"/>
        <v>105</v>
      </c>
      <c r="F29" s="61">
        <f t="shared" si="2"/>
        <v>105</v>
      </c>
      <c r="G29" s="73">
        <f t="shared" si="3"/>
        <v>24</v>
      </c>
      <c r="H29" s="64">
        <f t="shared" si="4"/>
        <v>1</v>
      </c>
      <c r="I29" s="63">
        <f t="shared" si="41"/>
        <v>1.7</v>
      </c>
      <c r="J29" s="65">
        <f t="shared" si="5"/>
        <v>8.6117892021752077E-4</v>
      </c>
      <c r="K29" s="65">
        <f t="shared" si="6"/>
        <v>8.6117892021752077E-4</v>
      </c>
      <c r="L29" s="65">
        <f t="shared" si="7"/>
        <v>5.1791610661465239E-3</v>
      </c>
      <c r="M29" s="65">
        <f t="shared" si="8"/>
        <v>5.0000000000000001E-3</v>
      </c>
      <c r="N29" s="63">
        <f t="shared" si="9"/>
        <v>0.16744869074903412</v>
      </c>
      <c r="O29" s="64">
        <f t="shared" si="10"/>
        <v>2.1473158673238388</v>
      </c>
      <c r="P29" s="64">
        <f t="shared" si="11"/>
        <v>2.7736579336619194</v>
      </c>
      <c r="Q29" s="64">
        <f t="shared" si="12"/>
        <v>0.62634206633808054</v>
      </c>
      <c r="R29" s="64">
        <f t="shared" si="13"/>
        <v>0</v>
      </c>
      <c r="S29" s="64">
        <f t="shared" si="14"/>
        <v>1.8094880821671804</v>
      </c>
      <c r="T29" s="63">
        <f t="shared" si="42"/>
        <v>1.6957853202283015E-2</v>
      </c>
      <c r="U29" s="63">
        <f t="shared" si="15"/>
        <v>1</v>
      </c>
      <c r="V29" s="63">
        <f t="shared" si="43"/>
        <v>1.0169578532022829</v>
      </c>
      <c r="W29" s="64">
        <f t="shared" si="44"/>
        <v>0.61987669701728654</v>
      </c>
      <c r="X29" s="63">
        <f t="shared" si="16"/>
        <v>7.6849423901012182E-2</v>
      </c>
      <c r="Y29" s="63">
        <f t="shared" si="45"/>
        <v>7.6849423901012182E-2</v>
      </c>
      <c r="Z29" s="64">
        <f t="shared" si="17"/>
        <v>0.67561939633524315</v>
      </c>
      <c r="AA29" s="74">
        <f t="shared" si="18"/>
        <v>4.5646156870439837E-4</v>
      </c>
      <c r="AB29" s="75">
        <f t="shared" si="46"/>
        <v>4.5646156870439837E-4</v>
      </c>
      <c r="AC29" s="63">
        <f t="shared" si="19"/>
        <v>0.74045147940288336</v>
      </c>
      <c r="AD29" s="63">
        <f t="shared" si="47"/>
        <v>4.7215718297447787E-4</v>
      </c>
      <c r="AE29" s="63">
        <f t="shared" si="20"/>
        <v>6.2332046922504707E-4</v>
      </c>
      <c r="AF29" s="63">
        <f t="shared" si="21"/>
        <v>0.17535400829473777</v>
      </c>
      <c r="AG29" s="63">
        <f t="shared" si="22"/>
        <v>4.0608000000000005E-2</v>
      </c>
      <c r="AH29" s="63">
        <f t="shared" si="23"/>
        <v>0</v>
      </c>
      <c r="AI29" s="63">
        <f t="shared" si="48"/>
        <v>0.22378064516129031</v>
      </c>
      <c r="AJ29" s="63">
        <f t="shared" si="49"/>
        <v>0.44036597392525312</v>
      </c>
      <c r="AK29" s="63">
        <f t="shared" si="24"/>
        <v>1.6510538229128515</v>
      </c>
      <c r="AL29" s="63">
        <f t="shared" si="25"/>
        <v>2.3475554159262178E-3</v>
      </c>
      <c r="AM29" s="63">
        <f t="shared" si="26"/>
        <v>3.1005782863010381E-3</v>
      </c>
      <c r="AN29" s="63">
        <f t="shared" si="27"/>
        <v>3.4315046169431186E-2</v>
      </c>
      <c r="AO29" s="63">
        <f t="shared" si="28"/>
        <v>190.62008147119019</v>
      </c>
      <c r="AP29" s="63">
        <f t="shared" si="50"/>
        <v>3.4315046169431186E-2</v>
      </c>
      <c r="AQ29" s="61">
        <f t="shared" si="29"/>
        <v>0.46248</v>
      </c>
      <c r="AR29" s="61">
        <f t="shared" si="30"/>
        <v>50128320000</v>
      </c>
      <c r="AS29" s="61">
        <f t="shared" si="51"/>
        <v>0.46248</v>
      </c>
      <c r="AT29" s="61">
        <f t="shared" si="52"/>
        <v>0.23869935483870966</v>
      </c>
      <c r="AU29" s="63">
        <f t="shared" si="53"/>
        <v>0.2761149792944419</v>
      </c>
      <c r="AV29" s="63">
        <f t="shared" si="31"/>
        <v>1.6371235597525301E-2</v>
      </c>
      <c r="AW29" s="63">
        <f t="shared" si="32"/>
        <v>2.9760000000000003E-3</v>
      </c>
      <c r="AX29" s="63">
        <f t="shared" si="33"/>
        <v>0.24815999999999999</v>
      </c>
      <c r="AY29" s="63">
        <f t="shared" si="34"/>
        <v>0.25113599999999997</v>
      </c>
      <c r="AZ29" s="63">
        <f t="shared" si="35"/>
        <v>2.0782519274892199</v>
      </c>
      <c r="BA29" s="64">
        <f t="shared" si="36"/>
        <v>6.8</v>
      </c>
      <c r="BB29" s="76">
        <f t="shared" si="54"/>
        <v>0.76591654027585676</v>
      </c>
      <c r="BC29" s="64">
        <f t="shared" si="55"/>
        <v>76.591654027585676</v>
      </c>
      <c r="BD29" s="63">
        <f t="shared" si="37"/>
        <v>1.0169578532022829</v>
      </c>
      <c r="BE29" s="63">
        <f t="shared" si="56"/>
        <v>0.71648095321969496</v>
      </c>
      <c r="BF29" s="63">
        <f t="shared" si="38"/>
        <v>0.44036597392525312</v>
      </c>
      <c r="BG29" s="63">
        <f t="shared" si="39"/>
        <v>0.2761149792944419</v>
      </c>
      <c r="BH29" s="63">
        <f t="shared" si="40"/>
        <v>1.6371235597525301E-2</v>
      </c>
      <c r="BI29" s="63">
        <f t="shared" si="57"/>
        <v>0.25113599999999997</v>
      </c>
      <c r="BJ29" s="63">
        <f t="shared" si="58"/>
        <v>4.5646156870439837E-4</v>
      </c>
      <c r="BK29" s="63">
        <f t="shared" si="59"/>
        <v>7.6849423901012182E-2</v>
      </c>
      <c r="BL29" s="63">
        <f t="shared" si="60"/>
        <v>2.0782519274892199</v>
      </c>
    </row>
    <row r="30" spans="3:71" x14ac:dyDescent="0.25">
      <c r="C30" s="61">
        <v>18</v>
      </c>
      <c r="D30" s="61">
        <f t="shared" si="0"/>
        <v>105</v>
      </c>
      <c r="E30" s="61">
        <f t="shared" si="1"/>
        <v>105</v>
      </c>
      <c r="F30" s="61">
        <f t="shared" si="2"/>
        <v>105</v>
      </c>
      <c r="G30" s="73">
        <f t="shared" si="3"/>
        <v>24</v>
      </c>
      <c r="H30" s="64">
        <f t="shared" si="4"/>
        <v>1</v>
      </c>
      <c r="I30" s="63">
        <f t="shared" si="41"/>
        <v>1.8</v>
      </c>
      <c r="J30" s="65">
        <f t="shared" si="5"/>
        <v>8.6117892021752077E-4</v>
      </c>
      <c r="K30" s="65">
        <f t="shared" si="6"/>
        <v>8.6117892021752077E-4</v>
      </c>
      <c r="L30" s="65">
        <f t="shared" si="7"/>
        <v>5.1791610661465239E-3</v>
      </c>
      <c r="M30" s="65">
        <f t="shared" si="8"/>
        <v>5.0000000000000001E-3</v>
      </c>
      <c r="N30" s="63">
        <f t="shared" si="9"/>
        <v>0.16749469216564397</v>
      </c>
      <c r="O30" s="64">
        <f t="shared" si="10"/>
        <v>2.1479057768141061</v>
      </c>
      <c r="P30" s="64">
        <f t="shared" si="11"/>
        <v>2.8739528884070529</v>
      </c>
      <c r="Q30" s="64">
        <f t="shared" si="12"/>
        <v>0.72604711159294699</v>
      </c>
      <c r="R30" s="64">
        <f t="shared" si="13"/>
        <v>0</v>
      </c>
      <c r="S30" s="64">
        <f t="shared" si="14"/>
        <v>1.9038010055778636</v>
      </c>
      <c r="T30" s="63">
        <f t="shared" si="42"/>
        <v>1.8771653151845251E-2</v>
      </c>
      <c r="U30" s="63">
        <f t="shared" si="15"/>
        <v>1</v>
      </c>
      <c r="V30" s="63">
        <f t="shared" si="43"/>
        <v>1.0187716531518451</v>
      </c>
      <c r="W30" s="64">
        <f t="shared" si="44"/>
        <v>0.6200469892187882</v>
      </c>
      <c r="X30" s="63">
        <f t="shared" si="16"/>
        <v>7.6891653767856824E-2</v>
      </c>
      <c r="Y30" s="63">
        <f t="shared" si="45"/>
        <v>7.6891653767856824E-2</v>
      </c>
      <c r="Z30" s="64">
        <f t="shared" si="17"/>
        <v>0.71091156928081078</v>
      </c>
      <c r="AA30" s="74">
        <f t="shared" si="18"/>
        <v>5.0539525933730506E-4</v>
      </c>
      <c r="AB30" s="75">
        <f t="shared" si="46"/>
        <v>5.0539525933730506E-4</v>
      </c>
      <c r="AC30" s="63">
        <f t="shared" si="19"/>
        <v>0.7791517965110899</v>
      </c>
      <c r="AD30" s="63">
        <f t="shared" si="47"/>
        <v>5.2280236488985038E-4</v>
      </c>
      <c r="AE30" s="63">
        <f t="shared" si="20"/>
        <v>6.9018860804925656E-4</v>
      </c>
      <c r="AF30" s="63">
        <f t="shared" si="21"/>
        <v>0.18385470012383401</v>
      </c>
      <c r="AG30" s="63">
        <f t="shared" si="22"/>
        <v>4.0608000000000005E-2</v>
      </c>
      <c r="AH30" s="63">
        <f t="shared" si="23"/>
        <v>0</v>
      </c>
      <c r="AI30" s="63">
        <f t="shared" si="48"/>
        <v>0.22378064516129031</v>
      </c>
      <c r="AJ30" s="63">
        <f t="shared" si="49"/>
        <v>0.44893353389317359</v>
      </c>
      <c r="AK30" s="63">
        <f t="shared" si="24"/>
        <v>1.7370609508111181</v>
      </c>
      <c r="AL30" s="63">
        <f t="shared" si="25"/>
        <v>2.598504693442629E-3</v>
      </c>
      <c r="AM30" s="63">
        <f t="shared" si="26"/>
        <v>3.4322380296282627E-3</v>
      </c>
      <c r="AN30" s="63">
        <f t="shared" si="27"/>
        <v>3.656993713958949E-2</v>
      </c>
      <c r="AO30" s="63">
        <f t="shared" si="28"/>
        <v>203.14600081041959</v>
      </c>
      <c r="AP30" s="63">
        <f t="shared" si="50"/>
        <v>3.656993713958949E-2</v>
      </c>
      <c r="AQ30" s="61">
        <f t="shared" si="29"/>
        <v>0.46248</v>
      </c>
      <c r="AR30" s="61">
        <f t="shared" si="30"/>
        <v>50128320000</v>
      </c>
      <c r="AS30" s="61">
        <f t="shared" si="51"/>
        <v>0.46248</v>
      </c>
      <c r="AT30" s="61">
        <f t="shared" si="52"/>
        <v>0.23869935483870966</v>
      </c>
      <c r="AU30" s="63">
        <f t="shared" si="53"/>
        <v>0.27870153000792741</v>
      </c>
      <c r="AV30" s="63">
        <f t="shared" si="31"/>
        <v>1.8122291344196424E-2</v>
      </c>
      <c r="AW30" s="63">
        <f t="shared" si="32"/>
        <v>2.9760000000000003E-3</v>
      </c>
      <c r="AX30" s="63">
        <f t="shared" si="33"/>
        <v>0.24815999999999999</v>
      </c>
      <c r="AY30" s="63">
        <f t="shared" si="34"/>
        <v>0.25113599999999997</v>
      </c>
      <c r="AZ30" s="63">
        <f t="shared" si="35"/>
        <v>2.0930620574243366</v>
      </c>
      <c r="BA30" s="64">
        <f t="shared" si="36"/>
        <v>7.2</v>
      </c>
      <c r="BB30" s="76">
        <f t="shared" si="54"/>
        <v>0.77477153983361546</v>
      </c>
      <c r="BC30" s="64">
        <f t="shared" si="55"/>
        <v>77.477153983361546</v>
      </c>
      <c r="BD30" s="63">
        <f t="shared" si="37"/>
        <v>1.0187716531518451</v>
      </c>
      <c r="BE30" s="63">
        <f t="shared" si="56"/>
        <v>0.727635063901101</v>
      </c>
      <c r="BF30" s="63">
        <f t="shared" si="38"/>
        <v>0.44893353389317359</v>
      </c>
      <c r="BG30" s="63">
        <f t="shared" si="39"/>
        <v>0.27870153000792741</v>
      </c>
      <c r="BH30" s="63">
        <f t="shared" si="40"/>
        <v>1.8122291344196424E-2</v>
      </c>
      <c r="BI30" s="63">
        <f t="shared" si="57"/>
        <v>0.25113599999999997</v>
      </c>
      <c r="BJ30" s="63">
        <f t="shared" si="58"/>
        <v>5.0539525933730506E-4</v>
      </c>
      <c r="BK30" s="63">
        <f t="shared" si="59"/>
        <v>7.6891653767856824E-2</v>
      </c>
      <c r="BL30" s="63">
        <f t="shared" si="60"/>
        <v>2.0930620574243366</v>
      </c>
    </row>
    <row r="31" spans="3:71" x14ac:dyDescent="0.25">
      <c r="C31" s="61">
        <v>19</v>
      </c>
      <c r="D31" s="61">
        <f t="shared" si="0"/>
        <v>105</v>
      </c>
      <c r="E31" s="61">
        <f t="shared" si="1"/>
        <v>105</v>
      </c>
      <c r="F31" s="61">
        <f t="shared" si="2"/>
        <v>105</v>
      </c>
      <c r="G31" s="73">
        <f t="shared" si="3"/>
        <v>24</v>
      </c>
      <c r="H31" s="64">
        <f t="shared" si="4"/>
        <v>1</v>
      </c>
      <c r="I31" s="63">
        <f t="shared" si="41"/>
        <v>1.9</v>
      </c>
      <c r="J31" s="65">
        <f t="shared" si="5"/>
        <v>8.6117892021752077E-4</v>
      </c>
      <c r="K31" s="65">
        <f t="shared" si="6"/>
        <v>8.6117892021752077E-4</v>
      </c>
      <c r="L31" s="65">
        <f t="shared" si="7"/>
        <v>5.1791610661465239E-3</v>
      </c>
      <c r="M31" s="65">
        <f t="shared" si="8"/>
        <v>5.0000000000000001E-3</v>
      </c>
      <c r="N31" s="63">
        <f t="shared" si="9"/>
        <v>0.16754069358225385</v>
      </c>
      <c r="O31" s="64">
        <f t="shared" si="10"/>
        <v>2.1484956863043743</v>
      </c>
      <c r="P31" s="64">
        <f t="shared" si="11"/>
        <v>2.9742478431521873</v>
      </c>
      <c r="Q31" s="64">
        <f t="shared" si="12"/>
        <v>0.82575215684781278</v>
      </c>
      <c r="R31" s="64">
        <f t="shared" si="13"/>
        <v>0</v>
      </c>
      <c r="S31" s="64">
        <f t="shared" si="14"/>
        <v>1.9986669247707021</v>
      </c>
      <c r="T31" s="63">
        <f t="shared" si="42"/>
        <v>2.0689036623115897E-2</v>
      </c>
      <c r="U31" s="63">
        <f t="shared" si="15"/>
        <v>1</v>
      </c>
      <c r="V31" s="63">
        <f t="shared" si="43"/>
        <v>1.0206890366231158</v>
      </c>
      <c r="W31" s="64">
        <f t="shared" si="44"/>
        <v>0.6202172814202902</v>
      </c>
      <c r="X31" s="63">
        <f t="shared" si="16"/>
        <v>7.6933895234475094E-2</v>
      </c>
      <c r="Y31" s="63">
        <f t="shared" si="45"/>
        <v>7.6933895234475094E-2</v>
      </c>
      <c r="Z31" s="64">
        <f t="shared" si="17"/>
        <v>0.74641796992785514</v>
      </c>
      <c r="AA31" s="74">
        <f t="shared" si="18"/>
        <v>5.5713978583122052E-4</v>
      </c>
      <c r="AB31" s="75">
        <f t="shared" si="46"/>
        <v>5.5713978583122052E-4</v>
      </c>
      <c r="AC31" s="63">
        <f t="shared" si="19"/>
        <v>0.81808905057443371</v>
      </c>
      <c r="AD31" s="63">
        <f t="shared" si="47"/>
        <v>5.763609529900296E-4</v>
      </c>
      <c r="AE31" s="63">
        <f t="shared" si="20"/>
        <v>7.6090521984913562E-4</v>
      </c>
      <c r="AF31" s="63">
        <f t="shared" si="21"/>
        <v>0.1923553919529303</v>
      </c>
      <c r="AG31" s="63">
        <f t="shared" si="22"/>
        <v>4.0608000000000005E-2</v>
      </c>
      <c r="AH31" s="63">
        <f t="shared" si="23"/>
        <v>0</v>
      </c>
      <c r="AI31" s="63">
        <f t="shared" si="48"/>
        <v>0.22378064516129031</v>
      </c>
      <c r="AJ31" s="63">
        <f t="shared" si="49"/>
        <v>0.4575049423340698</v>
      </c>
      <c r="AK31" s="63">
        <f t="shared" si="24"/>
        <v>1.8235678713726551</v>
      </c>
      <c r="AL31" s="63">
        <f t="shared" si="25"/>
        <v>2.8637641931259857E-3</v>
      </c>
      <c r="AM31" s="63">
        <f t="shared" si="26"/>
        <v>3.7828553699538504E-3</v>
      </c>
      <c r="AN31" s="63">
        <f t="shared" si="27"/>
        <v>3.8824828109747786E-2</v>
      </c>
      <c r="AO31" s="63">
        <f t="shared" si="28"/>
        <v>215.67192014964888</v>
      </c>
      <c r="AP31" s="63">
        <f t="shared" si="50"/>
        <v>3.8824828109747786E-2</v>
      </c>
      <c r="AQ31" s="61">
        <f t="shared" si="29"/>
        <v>0.46248</v>
      </c>
      <c r="AR31" s="61">
        <f t="shared" si="30"/>
        <v>50128320000</v>
      </c>
      <c r="AS31" s="61">
        <f t="shared" si="51"/>
        <v>0.46248</v>
      </c>
      <c r="AT31" s="61">
        <f t="shared" si="52"/>
        <v>0.23869935483870966</v>
      </c>
      <c r="AU31" s="63">
        <f t="shared" si="53"/>
        <v>0.28130703831841131</v>
      </c>
      <c r="AV31" s="63">
        <f t="shared" si="31"/>
        <v>1.9973347380861876E-2</v>
      </c>
      <c r="AW31" s="63">
        <f t="shared" si="32"/>
        <v>2.9760000000000003E-3</v>
      </c>
      <c r="AX31" s="63">
        <f t="shared" si="33"/>
        <v>0.24815999999999999</v>
      </c>
      <c r="AY31" s="63">
        <f t="shared" si="34"/>
        <v>0.25113599999999997</v>
      </c>
      <c r="AZ31" s="63">
        <f t="shared" si="35"/>
        <v>2.108101399676765</v>
      </c>
      <c r="BA31" s="64">
        <f t="shared" si="36"/>
        <v>7.6</v>
      </c>
      <c r="BB31" s="76">
        <f t="shared" si="54"/>
        <v>0.7828513204706582</v>
      </c>
      <c r="BC31" s="64">
        <f t="shared" si="55"/>
        <v>78.285132047065815</v>
      </c>
      <c r="BD31" s="63">
        <f t="shared" si="37"/>
        <v>1.0206890366231158</v>
      </c>
      <c r="BE31" s="63">
        <f t="shared" si="56"/>
        <v>0.7388119806524811</v>
      </c>
      <c r="BF31" s="63">
        <f t="shared" si="38"/>
        <v>0.4575049423340698</v>
      </c>
      <c r="BG31" s="63">
        <f t="shared" si="39"/>
        <v>0.28130703831841131</v>
      </c>
      <c r="BH31" s="63">
        <f t="shared" si="40"/>
        <v>1.9973347380861876E-2</v>
      </c>
      <c r="BI31" s="63">
        <f t="shared" si="57"/>
        <v>0.25113599999999997</v>
      </c>
      <c r="BJ31" s="63">
        <f t="shared" si="58"/>
        <v>5.5713978583122052E-4</v>
      </c>
      <c r="BK31" s="63">
        <f t="shared" si="59"/>
        <v>7.6933895234475094E-2</v>
      </c>
      <c r="BL31" s="63">
        <f t="shared" si="60"/>
        <v>2.1081013996767646</v>
      </c>
    </row>
    <row r="32" spans="3:71" x14ac:dyDescent="0.25">
      <c r="C32" s="61">
        <v>20</v>
      </c>
      <c r="D32" s="61">
        <f t="shared" si="0"/>
        <v>105</v>
      </c>
      <c r="E32" s="61">
        <f t="shared" si="1"/>
        <v>105</v>
      </c>
      <c r="F32" s="61">
        <f t="shared" si="2"/>
        <v>105</v>
      </c>
      <c r="G32" s="73">
        <f t="shared" si="3"/>
        <v>24</v>
      </c>
      <c r="H32" s="64">
        <f t="shared" si="4"/>
        <v>1</v>
      </c>
      <c r="I32" s="63">
        <f t="shared" si="41"/>
        <v>2</v>
      </c>
      <c r="J32" s="65">
        <f t="shared" si="5"/>
        <v>8.6117892021752077E-4</v>
      </c>
      <c r="K32" s="65">
        <f t="shared" si="6"/>
        <v>8.6117892021752077E-4</v>
      </c>
      <c r="L32" s="65">
        <f t="shared" si="7"/>
        <v>5.1791610661465239E-3</v>
      </c>
      <c r="M32" s="65">
        <f t="shared" si="8"/>
        <v>5.0000000000000001E-3</v>
      </c>
      <c r="N32" s="63">
        <f t="shared" si="9"/>
        <v>0.16758669499886367</v>
      </c>
      <c r="O32" s="64">
        <f t="shared" si="10"/>
        <v>2.1490855957946411</v>
      </c>
      <c r="P32" s="64">
        <f t="shared" si="11"/>
        <v>3.0745427978973208</v>
      </c>
      <c r="Q32" s="64">
        <f t="shared" si="12"/>
        <v>0.92545720210267945</v>
      </c>
      <c r="R32" s="64">
        <f t="shared" si="13"/>
        <v>0</v>
      </c>
      <c r="S32" s="64">
        <f t="shared" si="14"/>
        <v>2.0940106832354828</v>
      </c>
      <c r="T32" s="63">
        <f t="shared" si="42"/>
        <v>2.2710003616094942E-2</v>
      </c>
      <c r="U32" s="63">
        <f t="shared" si="15"/>
        <v>1</v>
      </c>
      <c r="V32" s="63">
        <f t="shared" si="43"/>
        <v>1.022710003616095</v>
      </c>
      <c r="W32" s="64">
        <f t="shared" si="44"/>
        <v>0.62038757362179164</v>
      </c>
      <c r="X32" s="63">
        <f t="shared" si="16"/>
        <v>7.6976148300866798E-2</v>
      </c>
      <c r="Y32" s="63">
        <f t="shared" si="45"/>
        <v>7.6976148300866798E-2</v>
      </c>
      <c r="Z32" s="64">
        <f t="shared" si="17"/>
        <v>0.78211059246747894</v>
      </c>
      <c r="AA32" s="74">
        <f t="shared" si="18"/>
        <v>6.1169697884983084E-4</v>
      </c>
      <c r="AB32" s="75">
        <f t="shared" si="46"/>
        <v>6.1169697884983084E-4</v>
      </c>
      <c r="AC32" s="63">
        <f t="shared" si="19"/>
        <v>0.85723256554617544</v>
      </c>
      <c r="AD32" s="63">
        <f t="shared" si="47"/>
        <v>6.3283532420892533E-4</v>
      </c>
      <c r="AE32" s="63">
        <f t="shared" si="20"/>
        <v>8.3547374984651679E-4</v>
      </c>
      <c r="AF32" s="63">
        <f t="shared" si="21"/>
        <v>0.20085608378202657</v>
      </c>
      <c r="AG32" s="63">
        <f t="shared" si="22"/>
        <v>4.0608000000000005E-2</v>
      </c>
      <c r="AH32" s="63">
        <f t="shared" si="23"/>
        <v>0</v>
      </c>
      <c r="AI32" s="63">
        <f t="shared" si="48"/>
        <v>0.22378064516129031</v>
      </c>
      <c r="AJ32" s="63">
        <f t="shared" si="49"/>
        <v>0.46608020269316341</v>
      </c>
      <c r="AK32" s="63">
        <f t="shared" si="24"/>
        <v>1.9105059722679372</v>
      </c>
      <c r="AL32" s="63">
        <f t="shared" si="25"/>
        <v>3.1433315380423785E-3</v>
      </c>
      <c r="AM32" s="63">
        <f t="shared" si="26"/>
        <v>4.1524346449531664E-3</v>
      </c>
      <c r="AN32" s="63">
        <f t="shared" si="27"/>
        <v>4.1079719079906082E-2</v>
      </c>
      <c r="AO32" s="63">
        <f t="shared" si="28"/>
        <v>228.19783948887829</v>
      </c>
      <c r="AP32" s="63">
        <f t="shared" si="50"/>
        <v>4.1079719079906082E-2</v>
      </c>
      <c r="AQ32" s="61">
        <f t="shared" si="29"/>
        <v>0.46248</v>
      </c>
      <c r="AR32" s="61">
        <f t="shared" si="30"/>
        <v>50128320000</v>
      </c>
      <c r="AS32" s="61">
        <f t="shared" si="51"/>
        <v>0.46248</v>
      </c>
      <c r="AT32" s="61">
        <f t="shared" si="52"/>
        <v>0.23869935483870966</v>
      </c>
      <c r="AU32" s="63">
        <f t="shared" si="53"/>
        <v>0.28393150856356891</v>
      </c>
      <c r="AV32" s="63">
        <f t="shared" si="31"/>
        <v>2.1924403707521668E-2</v>
      </c>
      <c r="AW32" s="63">
        <f t="shared" si="32"/>
        <v>2.9760000000000003E-3</v>
      </c>
      <c r="AX32" s="63">
        <f t="shared" si="33"/>
        <v>0.24815999999999999</v>
      </c>
      <c r="AY32" s="63">
        <f t="shared" si="34"/>
        <v>0.25113599999999997</v>
      </c>
      <c r="AZ32" s="63">
        <f t="shared" si="35"/>
        <v>2.1233699638600658</v>
      </c>
      <c r="BA32" s="64">
        <f t="shared" si="36"/>
        <v>8</v>
      </c>
      <c r="BB32" s="76">
        <f t="shared" si="54"/>
        <v>0.79025068021415867</v>
      </c>
      <c r="BC32" s="64">
        <f t="shared" si="55"/>
        <v>79.025068021415862</v>
      </c>
      <c r="BD32" s="63">
        <f t="shared" si="37"/>
        <v>1.022710003616095</v>
      </c>
      <c r="BE32" s="63">
        <f t="shared" si="56"/>
        <v>0.75001171125673238</v>
      </c>
      <c r="BF32" s="63">
        <f t="shared" si="38"/>
        <v>0.46608020269316341</v>
      </c>
      <c r="BG32" s="63">
        <f t="shared" si="39"/>
        <v>0.28393150856356891</v>
      </c>
      <c r="BH32" s="63">
        <f t="shared" si="40"/>
        <v>2.1924403707521668E-2</v>
      </c>
      <c r="BI32" s="63">
        <f t="shared" si="57"/>
        <v>0.25113599999999997</v>
      </c>
      <c r="BJ32" s="63">
        <f t="shared" si="58"/>
        <v>6.1169697884983084E-4</v>
      </c>
      <c r="BK32" s="63">
        <f t="shared" si="59"/>
        <v>7.6976148300866798E-2</v>
      </c>
      <c r="BL32" s="63">
        <f t="shared" si="60"/>
        <v>2.1233699638600658</v>
      </c>
    </row>
    <row r="33" spans="3:64" x14ac:dyDescent="0.25">
      <c r="C33" s="61">
        <v>21</v>
      </c>
      <c r="D33" s="61">
        <f t="shared" si="0"/>
        <v>105</v>
      </c>
      <c r="E33" s="61">
        <f t="shared" si="1"/>
        <v>105</v>
      </c>
      <c r="F33" s="61">
        <f t="shared" si="2"/>
        <v>105</v>
      </c>
      <c r="G33" s="73">
        <f t="shared" si="3"/>
        <v>24</v>
      </c>
      <c r="H33" s="64">
        <f t="shared" si="4"/>
        <v>1</v>
      </c>
      <c r="I33" s="63">
        <f t="shared" si="41"/>
        <v>2.1</v>
      </c>
      <c r="J33" s="65">
        <f t="shared" si="5"/>
        <v>8.6117892021752077E-4</v>
      </c>
      <c r="K33" s="65">
        <f t="shared" si="6"/>
        <v>8.6117892021752077E-4</v>
      </c>
      <c r="L33" s="65">
        <f t="shared" si="7"/>
        <v>5.1791610661465239E-3</v>
      </c>
      <c r="M33" s="65">
        <f t="shared" si="8"/>
        <v>5.0000000000000001E-3</v>
      </c>
      <c r="N33" s="63">
        <f t="shared" si="9"/>
        <v>0.16763269641547351</v>
      </c>
      <c r="O33" s="64">
        <f t="shared" si="10"/>
        <v>2.1496755052849084</v>
      </c>
      <c r="P33" s="64">
        <f t="shared" si="11"/>
        <v>3.1748377526424543</v>
      </c>
      <c r="Q33" s="64">
        <f t="shared" si="12"/>
        <v>1.0251622473575459</v>
      </c>
      <c r="R33" s="64">
        <f t="shared" si="13"/>
        <v>0</v>
      </c>
      <c r="S33" s="64">
        <f t="shared" si="14"/>
        <v>2.1897698657245153</v>
      </c>
      <c r="T33" s="63">
        <f t="shared" si="42"/>
        <v>2.4834554130782411E-2</v>
      </c>
      <c r="U33" s="63">
        <f t="shared" si="15"/>
        <v>1</v>
      </c>
      <c r="V33" s="63">
        <f t="shared" si="43"/>
        <v>1.0248345541307824</v>
      </c>
      <c r="W33" s="64">
        <f t="shared" si="44"/>
        <v>0.62055786582329331</v>
      </c>
      <c r="X33" s="63">
        <f t="shared" si="16"/>
        <v>7.7018412967032102E-2</v>
      </c>
      <c r="Y33" s="63">
        <f t="shared" si="45"/>
        <v>7.7018412967032102E-2</v>
      </c>
      <c r="Z33" s="64">
        <f t="shared" si="17"/>
        <v>0.81796617812043493</v>
      </c>
      <c r="AA33" s="74">
        <f t="shared" si="18"/>
        <v>6.690686685489511E-4</v>
      </c>
      <c r="AB33" s="75">
        <f t="shared" si="46"/>
        <v>6.690686685489511E-4</v>
      </c>
      <c r="AC33" s="63">
        <f t="shared" si="19"/>
        <v>0.89655686511718746</v>
      </c>
      <c r="AD33" s="63">
        <f t="shared" si="47"/>
        <v>6.922278554804481E-4</v>
      </c>
      <c r="AE33" s="63">
        <f t="shared" si="20"/>
        <v>9.138976603377426E-4</v>
      </c>
      <c r="AF33" s="63">
        <f t="shared" si="21"/>
        <v>0.20935677561112284</v>
      </c>
      <c r="AG33" s="63">
        <f t="shared" si="22"/>
        <v>4.0608000000000005E-2</v>
      </c>
      <c r="AH33" s="63">
        <f t="shared" si="23"/>
        <v>0</v>
      </c>
      <c r="AI33" s="63">
        <f t="shared" si="48"/>
        <v>0.22378064516129031</v>
      </c>
      <c r="AJ33" s="63">
        <f t="shared" si="49"/>
        <v>0.47465931843275089</v>
      </c>
      <c r="AK33" s="63">
        <f t="shared" si="24"/>
        <v>1.9978182731285654</v>
      </c>
      <c r="AL33" s="63">
        <f t="shared" si="25"/>
        <v>3.4372043512578983E-3</v>
      </c>
      <c r="AM33" s="63">
        <f t="shared" si="26"/>
        <v>4.5409805966703572E-3</v>
      </c>
      <c r="AN33" s="63">
        <f t="shared" si="27"/>
        <v>4.3334610050064379E-2</v>
      </c>
      <c r="AO33" s="63">
        <f t="shared" si="28"/>
        <v>240.72375882810763</v>
      </c>
      <c r="AP33" s="63">
        <f t="shared" si="50"/>
        <v>4.3334610050064379E-2</v>
      </c>
      <c r="AQ33" s="61">
        <f t="shared" si="29"/>
        <v>0.46248</v>
      </c>
      <c r="AR33" s="61">
        <f t="shared" si="30"/>
        <v>50128320000</v>
      </c>
      <c r="AS33" s="61">
        <f t="shared" si="51"/>
        <v>0.46248</v>
      </c>
      <c r="AT33" s="61">
        <f t="shared" si="52"/>
        <v>0.23869935483870966</v>
      </c>
      <c r="AU33" s="63">
        <f t="shared" si="53"/>
        <v>0.28657494548544438</v>
      </c>
      <c r="AV33" s="63">
        <f t="shared" si="31"/>
        <v>2.3975460324175808E-2</v>
      </c>
      <c r="AW33" s="63">
        <f t="shared" si="32"/>
        <v>2.9760000000000003E-3</v>
      </c>
      <c r="AX33" s="63">
        <f t="shared" si="33"/>
        <v>0.24815999999999999</v>
      </c>
      <c r="AY33" s="63">
        <f t="shared" si="34"/>
        <v>0.25113599999999997</v>
      </c>
      <c r="AZ33" s="63">
        <f t="shared" si="35"/>
        <v>2.1388677600087345</v>
      </c>
      <c r="BA33" s="64">
        <f t="shared" si="36"/>
        <v>8.4</v>
      </c>
      <c r="BB33" s="76">
        <f t="shared" si="54"/>
        <v>0.79704956844368247</v>
      </c>
      <c r="BC33" s="64">
        <f t="shared" si="55"/>
        <v>79.70495684436824</v>
      </c>
      <c r="BD33" s="63">
        <f t="shared" si="37"/>
        <v>1.0248345541307824</v>
      </c>
      <c r="BE33" s="63">
        <f t="shared" si="56"/>
        <v>0.76123426391819526</v>
      </c>
      <c r="BF33" s="63">
        <f t="shared" si="38"/>
        <v>0.47465931843275089</v>
      </c>
      <c r="BG33" s="63">
        <f t="shared" si="39"/>
        <v>0.28657494548544438</v>
      </c>
      <c r="BH33" s="63">
        <f t="shared" si="40"/>
        <v>2.3975460324175808E-2</v>
      </c>
      <c r="BI33" s="63">
        <f t="shared" si="57"/>
        <v>0.25113599999999997</v>
      </c>
      <c r="BJ33" s="63">
        <f t="shared" si="58"/>
        <v>6.690686685489511E-4</v>
      </c>
      <c r="BK33" s="63">
        <f t="shared" si="59"/>
        <v>7.7018412967032102E-2</v>
      </c>
      <c r="BL33" s="63">
        <f t="shared" si="60"/>
        <v>2.138867760008734</v>
      </c>
    </row>
    <row r="34" spans="3:64" x14ac:dyDescent="0.25">
      <c r="C34" s="61">
        <v>22</v>
      </c>
      <c r="D34" s="61">
        <f t="shared" si="0"/>
        <v>105</v>
      </c>
      <c r="E34" s="61">
        <f t="shared" si="1"/>
        <v>105</v>
      </c>
      <c r="F34" s="61">
        <f t="shared" si="2"/>
        <v>105</v>
      </c>
      <c r="G34" s="73">
        <f t="shared" si="3"/>
        <v>24</v>
      </c>
      <c r="H34" s="64">
        <f t="shared" si="4"/>
        <v>1</v>
      </c>
      <c r="I34" s="63">
        <f t="shared" si="41"/>
        <v>2.2000000000000002</v>
      </c>
      <c r="J34" s="65">
        <f t="shared" si="5"/>
        <v>8.6117892021752077E-4</v>
      </c>
      <c r="K34" s="65">
        <f t="shared" si="6"/>
        <v>8.6117892021752077E-4</v>
      </c>
      <c r="L34" s="65">
        <f t="shared" si="7"/>
        <v>5.1791610661465239E-3</v>
      </c>
      <c r="M34" s="65">
        <f t="shared" si="8"/>
        <v>5.0000000000000001E-3</v>
      </c>
      <c r="N34" s="63">
        <f t="shared" si="9"/>
        <v>0.16767869783208336</v>
      </c>
      <c r="O34" s="64">
        <f t="shared" si="10"/>
        <v>2.1502654147751756</v>
      </c>
      <c r="P34" s="64">
        <f t="shared" si="11"/>
        <v>3.2751327073875878</v>
      </c>
      <c r="Q34" s="64">
        <f t="shared" si="12"/>
        <v>1.1248672926124124</v>
      </c>
      <c r="R34" s="64">
        <f t="shared" si="13"/>
        <v>0</v>
      </c>
      <c r="S34" s="64">
        <f t="shared" si="14"/>
        <v>2.2858922647764603</v>
      </c>
      <c r="T34" s="63">
        <f t="shared" si="42"/>
        <v>2.706268816717828E-2</v>
      </c>
      <c r="U34" s="63">
        <f t="shared" si="15"/>
        <v>1</v>
      </c>
      <c r="V34" s="63">
        <f t="shared" si="43"/>
        <v>1.0270626881671783</v>
      </c>
      <c r="W34" s="64">
        <f t="shared" si="44"/>
        <v>0.62072815802479497</v>
      </c>
      <c r="X34" s="63">
        <f t="shared" si="16"/>
        <v>7.7060689232970978E-2</v>
      </c>
      <c r="Y34" s="63">
        <f t="shared" si="45"/>
        <v>7.7060689232970978E-2</v>
      </c>
      <c r="Z34" s="64">
        <f t="shared" si="17"/>
        <v>0.85396527129416722</v>
      </c>
      <c r="AA34" s="74">
        <f t="shared" si="18"/>
        <v>7.2925668457652065E-4</v>
      </c>
      <c r="AB34" s="75">
        <f t="shared" si="46"/>
        <v>7.2925668457652065E-4</v>
      </c>
      <c r="AC34" s="63">
        <f t="shared" si="19"/>
        <v>0.93604063887761868</v>
      </c>
      <c r="AD34" s="63">
        <f t="shared" si="47"/>
        <v>7.5454092373850739E-4</v>
      </c>
      <c r="AE34" s="63">
        <f t="shared" si="20"/>
        <v>9.9618043074263052E-4</v>
      </c>
      <c r="AF34" s="63">
        <f t="shared" si="21"/>
        <v>0.21785746744021905</v>
      </c>
      <c r="AG34" s="63">
        <f t="shared" si="22"/>
        <v>4.0608000000000005E-2</v>
      </c>
      <c r="AH34" s="63">
        <f t="shared" si="23"/>
        <v>0</v>
      </c>
      <c r="AI34" s="63">
        <f t="shared" si="48"/>
        <v>0.22378064516129031</v>
      </c>
      <c r="AJ34" s="63">
        <f t="shared" si="49"/>
        <v>0.48324229303225197</v>
      </c>
      <c r="AK34" s="63">
        <f t="shared" si="24"/>
        <v>2.0854571126097112</v>
      </c>
      <c r="AL34" s="63">
        <f t="shared" si="25"/>
        <v>3.7453802558386324E-3</v>
      </c>
      <c r="AM34" s="63">
        <f t="shared" si="26"/>
        <v>4.9484983717151682E-3</v>
      </c>
      <c r="AN34" s="63">
        <f t="shared" si="27"/>
        <v>4.5589501020222682E-2</v>
      </c>
      <c r="AO34" s="63">
        <f t="shared" si="28"/>
        <v>253.24967816733695</v>
      </c>
      <c r="AP34" s="63">
        <f t="shared" si="50"/>
        <v>4.5589501020222682E-2</v>
      </c>
      <c r="AQ34" s="61">
        <f t="shared" si="29"/>
        <v>0.46248</v>
      </c>
      <c r="AR34" s="61">
        <f t="shared" si="30"/>
        <v>50128320000</v>
      </c>
      <c r="AS34" s="61">
        <f t="shared" si="51"/>
        <v>0.46248</v>
      </c>
      <c r="AT34" s="61">
        <f t="shared" si="52"/>
        <v>0.23869935483870966</v>
      </c>
      <c r="AU34" s="63">
        <f t="shared" si="53"/>
        <v>0.2892373542306475</v>
      </c>
      <c r="AV34" s="63">
        <f t="shared" si="31"/>
        <v>2.6126517230824278E-2</v>
      </c>
      <c r="AW34" s="63">
        <f t="shared" si="32"/>
        <v>2.9760000000000003E-3</v>
      </c>
      <c r="AX34" s="63">
        <f t="shared" si="33"/>
        <v>0.24815999999999999</v>
      </c>
      <c r="AY34" s="63">
        <f t="shared" si="34"/>
        <v>0.25113599999999997</v>
      </c>
      <c r="AZ34" s="63">
        <f t="shared" si="35"/>
        <v>2.1545947985784495</v>
      </c>
      <c r="BA34" s="64">
        <f t="shared" si="36"/>
        <v>8.8000000000000007</v>
      </c>
      <c r="BB34" s="76">
        <f t="shared" si="54"/>
        <v>0.80331588359087047</v>
      </c>
      <c r="BC34" s="64">
        <f t="shared" si="55"/>
        <v>80.33158835908705</v>
      </c>
      <c r="BD34" s="63">
        <f t="shared" si="37"/>
        <v>1.0270626881671783</v>
      </c>
      <c r="BE34" s="63">
        <f t="shared" si="56"/>
        <v>0.77247964726289942</v>
      </c>
      <c r="BF34" s="63">
        <f t="shared" si="38"/>
        <v>0.48324229303225197</v>
      </c>
      <c r="BG34" s="63">
        <f t="shared" si="39"/>
        <v>0.2892373542306475</v>
      </c>
      <c r="BH34" s="63">
        <f t="shared" si="40"/>
        <v>2.6126517230824278E-2</v>
      </c>
      <c r="BI34" s="63">
        <f t="shared" si="57"/>
        <v>0.25113599999999997</v>
      </c>
      <c r="BJ34" s="63">
        <f t="shared" si="58"/>
        <v>7.2925668457652065E-4</v>
      </c>
      <c r="BK34" s="63">
        <f t="shared" si="59"/>
        <v>7.7060689232970978E-2</v>
      </c>
      <c r="BL34" s="63">
        <f t="shared" si="60"/>
        <v>2.1545947985784495</v>
      </c>
    </row>
    <row r="35" spans="3:64" x14ac:dyDescent="0.25">
      <c r="C35" s="61">
        <v>23</v>
      </c>
      <c r="D35" s="61">
        <f t="shared" si="0"/>
        <v>105</v>
      </c>
      <c r="E35" s="61">
        <f t="shared" si="1"/>
        <v>105</v>
      </c>
      <c r="F35" s="61">
        <f t="shared" si="2"/>
        <v>105</v>
      </c>
      <c r="G35" s="73">
        <f t="shared" si="3"/>
        <v>24</v>
      </c>
      <c r="H35" s="64">
        <f t="shared" si="4"/>
        <v>1</v>
      </c>
      <c r="I35" s="63">
        <f t="shared" si="41"/>
        <v>2.2999999999999998</v>
      </c>
      <c r="J35" s="65">
        <f t="shared" si="5"/>
        <v>8.6117892021752077E-4</v>
      </c>
      <c r="K35" s="65">
        <f t="shared" si="6"/>
        <v>8.6117892021752077E-4</v>
      </c>
      <c r="L35" s="65">
        <f t="shared" si="7"/>
        <v>5.1791610661465239E-3</v>
      </c>
      <c r="M35" s="65">
        <f t="shared" si="8"/>
        <v>5.0000000000000001E-3</v>
      </c>
      <c r="N35" s="63">
        <f t="shared" si="9"/>
        <v>0.16772469924869324</v>
      </c>
      <c r="O35" s="64">
        <f t="shared" si="10"/>
        <v>2.1508553242654433</v>
      </c>
      <c r="P35" s="64">
        <f t="shared" si="11"/>
        <v>3.3754276621327213</v>
      </c>
      <c r="Q35" s="64">
        <f t="shared" si="12"/>
        <v>1.2245723378672781</v>
      </c>
      <c r="R35" s="64">
        <f t="shared" si="13"/>
        <v>0</v>
      </c>
      <c r="S35" s="64">
        <f t="shared" si="14"/>
        <v>2.3823339156158223</v>
      </c>
      <c r="T35" s="63">
        <f t="shared" si="42"/>
        <v>2.9394405725282548E-2</v>
      </c>
      <c r="U35" s="63">
        <f t="shared" si="15"/>
        <v>1</v>
      </c>
      <c r="V35" s="63">
        <f t="shared" si="43"/>
        <v>1.0293944057252826</v>
      </c>
      <c r="W35" s="64">
        <f t="shared" si="44"/>
        <v>0.62089845022629675</v>
      </c>
      <c r="X35" s="63">
        <f t="shared" si="16"/>
        <v>7.7102977098683426E-2</v>
      </c>
      <c r="Y35" s="63">
        <f t="shared" si="45"/>
        <v>7.7102977098683426E-2</v>
      </c>
      <c r="Z35" s="64">
        <f t="shared" si="17"/>
        <v>0.89009148747339939</v>
      </c>
      <c r="AA35" s="74">
        <f t="shared" si="18"/>
        <v>7.922628560726087E-4</v>
      </c>
      <c r="AB35" s="75">
        <f t="shared" si="46"/>
        <v>7.922628560726087E-4</v>
      </c>
      <c r="AC35" s="63">
        <f t="shared" si="19"/>
        <v>0.97566594039705246</v>
      </c>
      <c r="AD35" s="63">
        <f t="shared" si="47"/>
        <v>8.1977690591701342E-4</v>
      </c>
      <c r="AE35" s="63">
        <f t="shared" si="20"/>
        <v>1.0823255576536761E-3</v>
      </c>
      <c r="AF35" s="63">
        <f t="shared" si="21"/>
        <v>0.22635815926931524</v>
      </c>
      <c r="AG35" s="63">
        <f t="shared" si="22"/>
        <v>4.0608000000000005E-2</v>
      </c>
      <c r="AH35" s="63">
        <f t="shared" si="23"/>
        <v>0</v>
      </c>
      <c r="AI35" s="63">
        <f t="shared" si="48"/>
        <v>0.22378064516129031</v>
      </c>
      <c r="AJ35" s="63">
        <f t="shared" si="49"/>
        <v>0.49182912998825923</v>
      </c>
      <c r="AK35" s="63">
        <f t="shared" si="24"/>
        <v>2.1733823543598008</v>
      </c>
      <c r="AL35" s="63">
        <f t="shared" si="25"/>
        <v>4.0678568748506718E-3</v>
      </c>
      <c r="AM35" s="63">
        <f t="shared" si="26"/>
        <v>5.3749935214813483E-3</v>
      </c>
      <c r="AN35" s="63">
        <f t="shared" si="27"/>
        <v>4.7844391990380972E-2</v>
      </c>
      <c r="AO35" s="63">
        <f t="shared" si="28"/>
        <v>265.77559750656621</v>
      </c>
      <c r="AP35" s="63">
        <f t="shared" si="50"/>
        <v>4.7844391990380972E-2</v>
      </c>
      <c r="AQ35" s="61">
        <f t="shared" si="29"/>
        <v>0.46248</v>
      </c>
      <c r="AR35" s="61">
        <f t="shared" si="30"/>
        <v>50128320000</v>
      </c>
      <c r="AS35" s="61">
        <f t="shared" si="51"/>
        <v>0.46248</v>
      </c>
      <c r="AT35" s="61">
        <f t="shared" si="52"/>
        <v>0.23869935483870966</v>
      </c>
      <c r="AU35" s="63">
        <f t="shared" si="53"/>
        <v>0.29191874035057197</v>
      </c>
      <c r="AV35" s="63">
        <f t="shared" si="31"/>
        <v>2.8377574427467082E-2</v>
      </c>
      <c r="AW35" s="63">
        <f t="shared" si="32"/>
        <v>2.9760000000000003E-3</v>
      </c>
      <c r="AX35" s="63">
        <f t="shared" si="33"/>
        <v>0.24815999999999999</v>
      </c>
      <c r="AY35" s="63">
        <f t="shared" si="34"/>
        <v>0.25113599999999997</v>
      </c>
      <c r="AZ35" s="63">
        <f t="shared" si="35"/>
        <v>2.1705510904463368</v>
      </c>
      <c r="BA35" s="64">
        <f t="shared" si="36"/>
        <v>9.1999999999999993</v>
      </c>
      <c r="BB35" s="76">
        <f t="shared" si="54"/>
        <v>0.80910766125750422</v>
      </c>
      <c r="BC35" s="64">
        <f t="shared" si="55"/>
        <v>80.910766125750428</v>
      </c>
      <c r="BD35" s="63">
        <f t="shared" si="37"/>
        <v>1.0293944057252826</v>
      </c>
      <c r="BE35" s="63">
        <f t="shared" si="56"/>
        <v>0.7837478703388312</v>
      </c>
      <c r="BF35" s="63">
        <f t="shared" si="38"/>
        <v>0.49182912998825923</v>
      </c>
      <c r="BG35" s="63">
        <f t="shared" si="39"/>
        <v>0.29191874035057197</v>
      </c>
      <c r="BH35" s="63">
        <f t="shared" si="40"/>
        <v>2.8377574427467082E-2</v>
      </c>
      <c r="BI35" s="63">
        <f t="shared" si="57"/>
        <v>0.25113599999999997</v>
      </c>
      <c r="BJ35" s="63">
        <f t="shared" si="58"/>
        <v>7.922628560726087E-4</v>
      </c>
      <c r="BK35" s="63">
        <f t="shared" si="59"/>
        <v>7.7102977098683426E-2</v>
      </c>
      <c r="BL35" s="63">
        <f t="shared" si="60"/>
        <v>2.1705510904463368</v>
      </c>
    </row>
    <row r="36" spans="3:64" x14ac:dyDescent="0.25">
      <c r="C36" s="61">
        <v>24</v>
      </c>
      <c r="D36" s="61">
        <f t="shared" si="0"/>
        <v>105</v>
      </c>
      <c r="E36" s="61">
        <f t="shared" si="1"/>
        <v>105</v>
      </c>
      <c r="F36" s="61">
        <f t="shared" si="2"/>
        <v>105</v>
      </c>
      <c r="G36" s="73">
        <f t="shared" si="3"/>
        <v>24</v>
      </c>
      <c r="H36" s="64">
        <f t="shared" si="4"/>
        <v>1</v>
      </c>
      <c r="I36" s="63">
        <f t="shared" si="41"/>
        <v>2.4</v>
      </c>
      <c r="J36" s="65">
        <f t="shared" si="5"/>
        <v>8.6117892021752077E-4</v>
      </c>
      <c r="K36" s="65">
        <f t="shared" si="6"/>
        <v>8.6117892021752077E-4</v>
      </c>
      <c r="L36" s="65">
        <f t="shared" si="7"/>
        <v>5.1791610661465239E-3</v>
      </c>
      <c r="M36" s="65">
        <f t="shared" si="8"/>
        <v>5.0000000000000001E-3</v>
      </c>
      <c r="N36" s="63">
        <f t="shared" si="9"/>
        <v>0.16777070066530309</v>
      </c>
      <c r="O36" s="64">
        <f t="shared" si="10"/>
        <v>2.1514452337557111</v>
      </c>
      <c r="P36" s="64">
        <f t="shared" si="11"/>
        <v>3.4757226168778557</v>
      </c>
      <c r="Q36" s="64">
        <f t="shared" si="12"/>
        <v>1.3242773831221444</v>
      </c>
      <c r="R36" s="64">
        <f t="shared" si="13"/>
        <v>0</v>
      </c>
      <c r="S36" s="64">
        <f t="shared" si="14"/>
        <v>2.4790575594005166</v>
      </c>
      <c r="T36" s="63">
        <f t="shared" si="42"/>
        <v>3.1829706805095233E-2</v>
      </c>
      <c r="U36" s="63">
        <f t="shared" si="15"/>
        <v>1</v>
      </c>
      <c r="V36" s="63">
        <f t="shared" si="43"/>
        <v>1.0318297068050952</v>
      </c>
      <c r="W36" s="64">
        <f t="shared" si="44"/>
        <v>0.62106874242779864</v>
      </c>
      <c r="X36" s="63">
        <f t="shared" si="16"/>
        <v>7.7145276564169474E-2</v>
      </c>
      <c r="Y36" s="63">
        <f t="shared" si="45"/>
        <v>7.7145276564169474E-2</v>
      </c>
      <c r="Z36" s="64">
        <f t="shared" si="17"/>
        <v>0.92633094068448918</v>
      </c>
      <c r="AA36" s="74">
        <f t="shared" si="18"/>
        <v>8.5808901166941069E-4</v>
      </c>
      <c r="AB36" s="75">
        <f t="shared" si="46"/>
        <v>8.5808901166941069E-4</v>
      </c>
      <c r="AC36" s="63">
        <f t="shared" si="19"/>
        <v>1.0154175600919515</v>
      </c>
      <c r="AD36" s="63">
        <f t="shared" si="47"/>
        <v>8.8793817894987663E-4</v>
      </c>
      <c r="AE36" s="63">
        <f t="shared" si="20"/>
        <v>1.1723365548854813E-3</v>
      </c>
      <c r="AF36" s="63">
        <f t="shared" si="21"/>
        <v>0.23485885109841156</v>
      </c>
      <c r="AG36" s="63">
        <f t="shared" si="22"/>
        <v>4.0608000000000005E-2</v>
      </c>
      <c r="AH36" s="63">
        <f t="shared" si="23"/>
        <v>0</v>
      </c>
      <c r="AI36" s="63">
        <f t="shared" si="48"/>
        <v>0.22378064516129031</v>
      </c>
      <c r="AJ36" s="63">
        <f t="shared" si="49"/>
        <v>0.50041983281458735</v>
      </c>
      <c r="AK36" s="63">
        <f t="shared" si="24"/>
        <v>2.2615599840547573</v>
      </c>
      <c r="AL36" s="63">
        <f t="shared" si="25"/>
        <v>4.4046318313601101E-3</v>
      </c>
      <c r="AM36" s="63">
        <f t="shared" si="26"/>
        <v>5.8204720023866483E-3</v>
      </c>
      <c r="AN36" s="63">
        <f t="shared" si="27"/>
        <v>5.0099282960539268E-2</v>
      </c>
      <c r="AO36" s="63">
        <f t="shared" si="28"/>
        <v>278.30151684579562</v>
      </c>
      <c r="AP36" s="63">
        <f t="shared" si="50"/>
        <v>5.0099282960539268E-2</v>
      </c>
      <c r="AQ36" s="61">
        <f t="shared" si="29"/>
        <v>0.46248</v>
      </c>
      <c r="AR36" s="61">
        <f t="shared" si="30"/>
        <v>50128320000</v>
      </c>
      <c r="AS36" s="61">
        <f t="shared" si="51"/>
        <v>0.46248</v>
      </c>
      <c r="AT36" s="61">
        <f t="shared" si="52"/>
        <v>0.23869935483870966</v>
      </c>
      <c r="AU36" s="63">
        <f t="shared" si="53"/>
        <v>0.29461910980163558</v>
      </c>
      <c r="AV36" s="63">
        <f t="shared" si="31"/>
        <v>3.0728631914104229E-2</v>
      </c>
      <c r="AW36" s="63">
        <f t="shared" si="32"/>
        <v>2.9760000000000003E-3</v>
      </c>
      <c r="AX36" s="63">
        <f t="shared" si="33"/>
        <v>0.24815999999999999</v>
      </c>
      <c r="AY36" s="63">
        <f t="shared" si="34"/>
        <v>0.25113599999999997</v>
      </c>
      <c r="AZ36" s="63">
        <f t="shared" si="35"/>
        <v>2.1867366469112608</v>
      </c>
      <c r="BA36" s="64">
        <f t="shared" si="36"/>
        <v>9.6</v>
      </c>
      <c r="BB36" s="76">
        <f t="shared" si="54"/>
        <v>0.81447480227834734</v>
      </c>
      <c r="BC36" s="64">
        <f t="shared" si="55"/>
        <v>81.447480227834731</v>
      </c>
      <c r="BD36" s="63">
        <f t="shared" si="37"/>
        <v>1.0318297068050952</v>
      </c>
      <c r="BE36" s="63">
        <f t="shared" si="56"/>
        <v>0.79503894261622299</v>
      </c>
      <c r="BF36" s="63">
        <f t="shared" si="38"/>
        <v>0.50041983281458735</v>
      </c>
      <c r="BG36" s="63">
        <f t="shared" si="39"/>
        <v>0.29461910980163558</v>
      </c>
      <c r="BH36" s="63">
        <f t="shared" si="40"/>
        <v>3.0728631914104229E-2</v>
      </c>
      <c r="BI36" s="63">
        <f t="shared" si="57"/>
        <v>0.25113599999999997</v>
      </c>
      <c r="BJ36" s="63">
        <f t="shared" si="58"/>
        <v>8.5808901166941069E-4</v>
      </c>
      <c r="BK36" s="63">
        <f t="shared" si="59"/>
        <v>7.7145276564169474E-2</v>
      </c>
      <c r="BL36" s="63">
        <f t="shared" si="60"/>
        <v>2.1867366469112612</v>
      </c>
    </row>
    <row r="37" spans="3:64" x14ac:dyDescent="0.25">
      <c r="C37" s="61">
        <v>25</v>
      </c>
      <c r="D37" s="61">
        <f t="shared" si="0"/>
        <v>105</v>
      </c>
      <c r="E37" s="61">
        <f t="shared" si="1"/>
        <v>105</v>
      </c>
      <c r="F37" s="61">
        <f t="shared" si="2"/>
        <v>105</v>
      </c>
      <c r="G37" s="73">
        <f t="shared" si="3"/>
        <v>24</v>
      </c>
      <c r="H37" s="64">
        <f t="shared" si="4"/>
        <v>1</v>
      </c>
      <c r="I37" s="63">
        <f t="shared" si="41"/>
        <v>2.5</v>
      </c>
      <c r="J37" s="65">
        <f t="shared" si="5"/>
        <v>8.6117892021752077E-4</v>
      </c>
      <c r="K37" s="65">
        <f t="shared" si="6"/>
        <v>8.6117892021752077E-4</v>
      </c>
      <c r="L37" s="65">
        <f t="shared" si="7"/>
        <v>5.1791610661465239E-3</v>
      </c>
      <c r="M37" s="65">
        <f t="shared" si="8"/>
        <v>5.0000000000000001E-3</v>
      </c>
      <c r="N37" s="63">
        <f t="shared" si="9"/>
        <v>0.16781670208191291</v>
      </c>
      <c r="O37" s="64">
        <f t="shared" si="10"/>
        <v>2.1520351432459779</v>
      </c>
      <c r="P37" s="64">
        <f t="shared" si="11"/>
        <v>3.5760175716229892</v>
      </c>
      <c r="Q37" s="64">
        <f t="shared" si="12"/>
        <v>1.4239824283770111</v>
      </c>
      <c r="R37" s="64">
        <f t="shared" si="13"/>
        <v>0</v>
      </c>
      <c r="S37" s="64">
        <f t="shared" si="14"/>
        <v>2.576031431902015</v>
      </c>
      <c r="T37" s="63">
        <f t="shared" si="42"/>
        <v>3.4368591406616335E-2</v>
      </c>
      <c r="U37" s="63">
        <f t="shared" si="15"/>
        <v>1</v>
      </c>
      <c r="V37" s="63">
        <f t="shared" si="43"/>
        <v>1.0343685914066163</v>
      </c>
      <c r="W37" s="64">
        <f t="shared" si="44"/>
        <v>0.62123903462930008</v>
      </c>
      <c r="X37" s="63">
        <f t="shared" si="16"/>
        <v>7.7187587629428955E-2</v>
      </c>
      <c r="Y37" s="63">
        <f t="shared" si="45"/>
        <v>7.7187587629428955E-2</v>
      </c>
      <c r="Z37" s="64">
        <f t="shared" si="17"/>
        <v>0.96267179219672228</v>
      </c>
      <c r="AA37" s="74">
        <f t="shared" si="18"/>
        <v>9.2673697949124923E-4</v>
      </c>
      <c r="AB37" s="75">
        <f t="shared" si="46"/>
        <v>9.2673697949124923E-4</v>
      </c>
      <c r="AC37" s="63">
        <f t="shared" si="19"/>
        <v>1.0552825308892888</v>
      </c>
      <c r="AD37" s="63">
        <f t="shared" si="47"/>
        <v>9.5902711977100669E-4</v>
      </c>
      <c r="AE37" s="63">
        <f t="shared" si="20"/>
        <v>1.2662169535244188E-3</v>
      </c>
      <c r="AF37" s="63">
        <f t="shared" si="21"/>
        <v>0.24335954292750783</v>
      </c>
      <c r="AG37" s="63">
        <f t="shared" si="22"/>
        <v>4.0608000000000005E-2</v>
      </c>
      <c r="AH37" s="63">
        <f t="shared" si="23"/>
        <v>0</v>
      </c>
      <c r="AI37" s="63">
        <f t="shared" si="48"/>
        <v>0.22378064516129031</v>
      </c>
      <c r="AJ37" s="63">
        <f t="shared" si="49"/>
        <v>0.50901440504232254</v>
      </c>
      <c r="AK37" s="63">
        <f t="shared" si="24"/>
        <v>2.3499610035375147</v>
      </c>
      <c r="AL37" s="63">
        <f t="shared" si="25"/>
        <v>4.755702748433034E-3</v>
      </c>
      <c r="AM37" s="63">
        <f t="shared" si="26"/>
        <v>6.284940176134411E-3</v>
      </c>
      <c r="AN37" s="63">
        <f t="shared" si="27"/>
        <v>5.2354173930697571E-2</v>
      </c>
      <c r="AO37" s="63">
        <f t="shared" si="28"/>
        <v>290.82743618502502</v>
      </c>
      <c r="AP37" s="63">
        <f t="shared" si="50"/>
        <v>5.2354173930697571E-2</v>
      </c>
      <c r="AQ37" s="61">
        <f t="shared" si="29"/>
        <v>0.46248</v>
      </c>
      <c r="AR37" s="61">
        <f t="shared" si="30"/>
        <v>50128320000</v>
      </c>
      <c r="AS37" s="61">
        <f t="shared" si="51"/>
        <v>0.46248</v>
      </c>
      <c r="AT37" s="61">
        <f t="shared" si="52"/>
        <v>0.23869935483870966</v>
      </c>
      <c r="AU37" s="63">
        <f t="shared" si="53"/>
        <v>0.29733846894554161</v>
      </c>
      <c r="AV37" s="63">
        <f t="shared" si="31"/>
        <v>3.3179689690735731E-2</v>
      </c>
      <c r="AW37" s="63">
        <f t="shared" si="32"/>
        <v>2.9760000000000003E-3</v>
      </c>
      <c r="AX37" s="63">
        <f t="shared" si="33"/>
        <v>0.24815999999999999</v>
      </c>
      <c r="AY37" s="63">
        <f t="shared" si="34"/>
        <v>0.25113599999999997</v>
      </c>
      <c r="AZ37" s="63">
        <f t="shared" si="35"/>
        <v>2.2031514796941365</v>
      </c>
      <c r="BA37" s="64">
        <f t="shared" si="36"/>
        <v>10</v>
      </c>
      <c r="BB37" s="76">
        <f t="shared" si="54"/>
        <v>0.81946044975675769</v>
      </c>
      <c r="BC37" s="64">
        <f t="shared" si="55"/>
        <v>81.946044975675775</v>
      </c>
      <c r="BD37" s="63">
        <f t="shared" si="37"/>
        <v>1.0343685914066163</v>
      </c>
      <c r="BE37" s="63">
        <f t="shared" si="56"/>
        <v>0.80635287398786415</v>
      </c>
      <c r="BF37" s="63">
        <f t="shared" si="38"/>
        <v>0.50901440504232254</v>
      </c>
      <c r="BG37" s="63">
        <f t="shared" si="39"/>
        <v>0.29733846894554161</v>
      </c>
      <c r="BH37" s="63">
        <f t="shared" si="40"/>
        <v>3.3179689690735731E-2</v>
      </c>
      <c r="BI37" s="63">
        <f t="shared" si="57"/>
        <v>0.25113599999999997</v>
      </c>
      <c r="BJ37" s="63">
        <f t="shared" si="58"/>
        <v>9.2673697949124923E-4</v>
      </c>
      <c r="BK37" s="63">
        <f t="shared" si="59"/>
        <v>7.7187587629428955E-2</v>
      </c>
      <c r="BL37" s="63">
        <f t="shared" si="60"/>
        <v>2.2031514796941365</v>
      </c>
    </row>
    <row r="38" spans="3:64" x14ac:dyDescent="0.25">
      <c r="C38" s="61">
        <v>26</v>
      </c>
      <c r="D38" s="61">
        <f t="shared" si="0"/>
        <v>105</v>
      </c>
      <c r="E38" s="61">
        <f t="shared" si="1"/>
        <v>105</v>
      </c>
      <c r="F38" s="61">
        <f t="shared" si="2"/>
        <v>105</v>
      </c>
      <c r="G38" s="73">
        <f t="shared" si="3"/>
        <v>24</v>
      </c>
      <c r="H38" s="64">
        <f t="shared" si="4"/>
        <v>1</v>
      </c>
      <c r="I38" s="63">
        <f t="shared" si="41"/>
        <v>2.6</v>
      </c>
      <c r="J38" s="65">
        <f t="shared" si="5"/>
        <v>8.6117892021752077E-4</v>
      </c>
      <c r="K38" s="65">
        <f t="shared" si="6"/>
        <v>8.6117892021752077E-4</v>
      </c>
      <c r="L38" s="65">
        <f t="shared" si="7"/>
        <v>5.1791610661465239E-3</v>
      </c>
      <c r="M38" s="65">
        <f t="shared" si="8"/>
        <v>5.0000000000000001E-3</v>
      </c>
      <c r="N38" s="63">
        <f t="shared" si="9"/>
        <v>0.16786270349852275</v>
      </c>
      <c r="O38" s="64">
        <f t="shared" si="10"/>
        <v>2.1526250527362452</v>
      </c>
      <c r="P38" s="64">
        <f t="shared" si="11"/>
        <v>3.6763125263681227</v>
      </c>
      <c r="Q38" s="64">
        <f t="shared" si="12"/>
        <v>1.5236874736318775</v>
      </c>
      <c r="R38" s="64">
        <f t="shared" si="13"/>
        <v>0</v>
      </c>
      <c r="S38" s="64">
        <f t="shared" si="14"/>
        <v>2.6732283014124159</v>
      </c>
      <c r="T38" s="63">
        <f t="shared" si="42"/>
        <v>3.7011059529845833E-2</v>
      </c>
      <c r="U38" s="63">
        <f t="shared" si="15"/>
        <v>1</v>
      </c>
      <c r="V38" s="63">
        <f t="shared" si="43"/>
        <v>1.0370110595298458</v>
      </c>
      <c r="W38" s="64">
        <f t="shared" si="44"/>
        <v>0.62140932683080174</v>
      </c>
      <c r="X38" s="63">
        <f t="shared" si="16"/>
        <v>7.7229910294462037E-2</v>
      </c>
      <c r="Y38" s="63">
        <f t="shared" si="45"/>
        <v>7.7229910294462037E-2</v>
      </c>
      <c r="Z38" s="64">
        <f t="shared" si="17"/>
        <v>0.99910389207257833</v>
      </c>
      <c r="AA38" s="74">
        <f t="shared" si="18"/>
        <v>9.982085871545743E-4</v>
      </c>
      <c r="AB38" s="75">
        <f t="shared" si="46"/>
        <v>9.982085871545743E-4</v>
      </c>
      <c r="AC38" s="63">
        <f t="shared" si="19"/>
        <v>1.0952497355922519</v>
      </c>
      <c r="AD38" s="63">
        <f t="shared" si="47"/>
        <v>1.0330461053143134E-3</v>
      </c>
      <c r="AE38" s="63">
        <f t="shared" si="20"/>
        <v>1.363970301978533E-3</v>
      </c>
      <c r="AF38" s="63">
        <f t="shared" si="21"/>
        <v>0.25186023475660413</v>
      </c>
      <c r="AG38" s="63">
        <f t="shared" si="22"/>
        <v>4.0608000000000005E-2</v>
      </c>
      <c r="AH38" s="63">
        <f t="shared" si="23"/>
        <v>0</v>
      </c>
      <c r="AI38" s="63">
        <f t="shared" si="48"/>
        <v>0.22378064516129031</v>
      </c>
      <c r="AJ38" s="63">
        <f t="shared" si="49"/>
        <v>0.51761285021987291</v>
      </c>
      <c r="AK38" s="63">
        <f t="shared" si="24"/>
        <v>2.4385605524894012</v>
      </c>
      <c r="AL38" s="63">
        <f t="shared" si="25"/>
        <v>5.1210672491355316E-3</v>
      </c>
      <c r="AM38" s="63">
        <f t="shared" si="26"/>
        <v>6.7684048099968409E-3</v>
      </c>
      <c r="AN38" s="63">
        <f t="shared" si="27"/>
        <v>5.4609064900855868E-2</v>
      </c>
      <c r="AO38" s="63">
        <f t="shared" si="28"/>
        <v>303.35335552425431</v>
      </c>
      <c r="AP38" s="63">
        <f t="shared" si="50"/>
        <v>5.4609064900855868E-2</v>
      </c>
      <c r="AQ38" s="61">
        <f t="shared" si="29"/>
        <v>0.46248</v>
      </c>
      <c r="AR38" s="61">
        <f t="shared" si="30"/>
        <v>50128320000</v>
      </c>
      <c r="AS38" s="61">
        <f t="shared" si="51"/>
        <v>0.46248</v>
      </c>
      <c r="AT38" s="61">
        <f t="shared" si="52"/>
        <v>0.23869935483870966</v>
      </c>
      <c r="AU38" s="63">
        <f t="shared" si="53"/>
        <v>0.30007682454956236</v>
      </c>
      <c r="AV38" s="63">
        <f t="shared" si="31"/>
        <v>3.5730747757361549E-2</v>
      </c>
      <c r="AW38" s="63">
        <f t="shared" si="32"/>
        <v>2.9760000000000003E-3</v>
      </c>
      <c r="AX38" s="63">
        <f t="shared" si="33"/>
        <v>0.24815999999999999</v>
      </c>
      <c r="AY38" s="63">
        <f t="shared" si="34"/>
        <v>0.25113599999999997</v>
      </c>
      <c r="AZ38" s="63">
        <f t="shared" si="35"/>
        <v>2.2197956009382591</v>
      </c>
      <c r="BA38" s="64">
        <f t="shared" si="36"/>
        <v>10.4</v>
      </c>
      <c r="BB38" s="76">
        <f t="shared" si="54"/>
        <v>0.82410209553843961</v>
      </c>
      <c r="BC38" s="64">
        <f t="shared" si="55"/>
        <v>82.410209553843956</v>
      </c>
      <c r="BD38" s="63">
        <f t="shared" si="37"/>
        <v>1.0370110595298458</v>
      </c>
      <c r="BE38" s="63">
        <f t="shared" si="56"/>
        <v>0.81768967476943533</v>
      </c>
      <c r="BF38" s="63">
        <f t="shared" si="38"/>
        <v>0.51761285021987291</v>
      </c>
      <c r="BG38" s="63">
        <f t="shared" si="39"/>
        <v>0.30007682454956236</v>
      </c>
      <c r="BH38" s="63">
        <f t="shared" si="40"/>
        <v>3.5730747757361549E-2</v>
      </c>
      <c r="BI38" s="63">
        <f t="shared" si="57"/>
        <v>0.25113599999999997</v>
      </c>
      <c r="BJ38" s="63">
        <f t="shared" si="58"/>
        <v>9.982085871545743E-4</v>
      </c>
      <c r="BK38" s="63">
        <f t="shared" si="59"/>
        <v>7.7229910294462037E-2</v>
      </c>
      <c r="BL38" s="63">
        <f t="shared" si="60"/>
        <v>2.2197956009382596</v>
      </c>
    </row>
    <row r="39" spans="3:64" x14ac:dyDescent="0.25">
      <c r="C39" s="61">
        <v>27</v>
      </c>
      <c r="D39" s="61">
        <f t="shared" si="0"/>
        <v>105</v>
      </c>
      <c r="E39" s="61">
        <f t="shared" si="1"/>
        <v>105</v>
      </c>
      <c r="F39" s="61">
        <f t="shared" si="2"/>
        <v>105</v>
      </c>
      <c r="G39" s="73">
        <f t="shared" si="3"/>
        <v>24</v>
      </c>
      <c r="H39" s="64">
        <f t="shared" si="4"/>
        <v>1</v>
      </c>
      <c r="I39" s="63">
        <f t="shared" si="41"/>
        <v>2.7</v>
      </c>
      <c r="J39" s="65">
        <f t="shared" si="5"/>
        <v>8.6117892021752077E-4</v>
      </c>
      <c r="K39" s="65">
        <f t="shared" si="6"/>
        <v>8.6117892021752077E-4</v>
      </c>
      <c r="L39" s="65">
        <f t="shared" si="7"/>
        <v>5.1791610661465239E-3</v>
      </c>
      <c r="M39" s="65">
        <f t="shared" si="8"/>
        <v>5.0000000000000001E-3</v>
      </c>
      <c r="N39" s="63">
        <f t="shared" si="9"/>
        <v>0.16790870491513263</v>
      </c>
      <c r="O39" s="64">
        <f t="shared" si="10"/>
        <v>2.1532149622265129</v>
      </c>
      <c r="P39" s="64">
        <f t="shared" si="11"/>
        <v>3.7766074811132566</v>
      </c>
      <c r="Q39" s="64">
        <f t="shared" si="12"/>
        <v>1.6233925188867437</v>
      </c>
      <c r="R39" s="64">
        <f t="shared" si="13"/>
        <v>0</v>
      </c>
      <c r="S39" s="64">
        <f t="shared" si="14"/>
        <v>2.7706246990157912</v>
      </c>
      <c r="T39" s="63">
        <f t="shared" si="42"/>
        <v>3.9757111174783748E-2</v>
      </c>
      <c r="U39" s="63">
        <f t="shared" si="15"/>
        <v>1</v>
      </c>
      <c r="V39" s="63">
        <f t="shared" si="43"/>
        <v>1.0397571111747836</v>
      </c>
      <c r="W39" s="64">
        <f t="shared" si="44"/>
        <v>0.62157961903230352</v>
      </c>
      <c r="X39" s="63">
        <f t="shared" si="16"/>
        <v>7.7272244559268732E-2</v>
      </c>
      <c r="Y39" s="63">
        <f t="shared" si="45"/>
        <v>7.7272244559268732E-2</v>
      </c>
      <c r="Z39" s="64">
        <f t="shared" si="17"/>
        <v>1.0356184923841227</v>
      </c>
      <c r="AA39" s="74">
        <f t="shared" si="18"/>
        <v>1.0725056617679634E-3</v>
      </c>
      <c r="AB39" s="75">
        <f t="shared" si="46"/>
        <v>1.0725056617679634E-3</v>
      </c>
      <c r="AC39" s="63">
        <f t="shared" si="19"/>
        <v>1.1353095927457311</v>
      </c>
      <c r="AD39" s="63">
        <f t="shared" si="47"/>
        <v>1.1099975125137072E-3</v>
      </c>
      <c r="AE39" s="63">
        <f t="shared" si="20"/>
        <v>1.4656001660276739E-3</v>
      </c>
      <c r="AF39" s="63">
        <f t="shared" si="21"/>
        <v>0.26036092658570031</v>
      </c>
      <c r="AG39" s="63">
        <f t="shared" si="22"/>
        <v>4.0608000000000005E-2</v>
      </c>
      <c r="AH39" s="63">
        <f t="shared" si="23"/>
        <v>0</v>
      </c>
      <c r="AI39" s="63">
        <f t="shared" si="48"/>
        <v>0.22378064516129031</v>
      </c>
      <c r="AJ39" s="63">
        <f t="shared" si="49"/>
        <v>0.52621517191301825</v>
      </c>
      <c r="AK39" s="63">
        <f t="shared" si="24"/>
        <v>2.5273372057198591</v>
      </c>
      <c r="AL39" s="63">
        <f t="shared" si="25"/>
        <v>5.5007229565336947E-3</v>
      </c>
      <c r="AM39" s="63">
        <f t="shared" si="26"/>
        <v>7.2708730771199178E-3</v>
      </c>
      <c r="AN39" s="63">
        <f t="shared" si="27"/>
        <v>5.6863955871014157E-2</v>
      </c>
      <c r="AO39" s="63">
        <f t="shared" si="28"/>
        <v>315.87927486348366</v>
      </c>
      <c r="AP39" s="63">
        <f t="shared" si="50"/>
        <v>5.6863955871014157E-2</v>
      </c>
      <c r="AQ39" s="61">
        <f t="shared" si="29"/>
        <v>0.46248</v>
      </c>
      <c r="AR39" s="61">
        <f t="shared" si="30"/>
        <v>50128320000</v>
      </c>
      <c r="AS39" s="61">
        <f t="shared" si="51"/>
        <v>0.46248</v>
      </c>
      <c r="AT39" s="61">
        <f t="shared" si="52"/>
        <v>0.23869935483870966</v>
      </c>
      <c r="AU39" s="63">
        <f t="shared" si="53"/>
        <v>0.30283418378684374</v>
      </c>
      <c r="AV39" s="63">
        <f t="shared" si="31"/>
        <v>3.8381806113981724E-2</v>
      </c>
      <c r="AW39" s="63">
        <f t="shared" si="32"/>
        <v>2.9760000000000003E-3</v>
      </c>
      <c r="AX39" s="63">
        <f t="shared" si="33"/>
        <v>0.24815999999999999</v>
      </c>
      <c r="AY39" s="63">
        <f t="shared" si="34"/>
        <v>0.25113599999999997</v>
      </c>
      <c r="AZ39" s="63">
        <f t="shared" si="35"/>
        <v>2.2366690232096644</v>
      </c>
      <c r="BA39" s="64">
        <f t="shared" si="36"/>
        <v>10.8</v>
      </c>
      <c r="BB39" s="76">
        <f t="shared" si="54"/>
        <v>0.82843247617718607</v>
      </c>
      <c r="BC39" s="64">
        <f t="shared" si="55"/>
        <v>82.843247617718603</v>
      </c>
      <c r="BD39" s="63">
        <f t="shared" si="37"/>
        <v>1.0397571111747836</v>
      </c>
      <c r="BE39" s="63">
        <f t="shared" si="56"/>
        <v>0.82904935569986193</v>
      </c>
      <c r="BF39" s="63">
        <f t="shared" si="38"/>
        <v>0.52621517191301825</v>
      </c>
      <c r="BG39" s="63">
        <f t="shared" si="39"/>
        <v>0.30283418378684374</v>
      </c>
      <c r="BH39" s="63">
        <f t="shared" si="40"/>
        <v>3.8381806113981724E-2</v>
      </c>
      <c r="BI39" s="63">
        <f t="shared" si="57"/>
        <v>0.25113599999999997</v>
      </c>
      <c r="BJ39" s="63">
        <f t="shared" si="58"/>
        <v>1.0725056617679634E-3</v>
      </c>
      <c r="BK39" s="63">
        <f t="shared" si="59"/>
        <v>7.7272244559268732E-2</v>
      </c>
      <c r="BL39" s="63">
        <f t="shared" si="60"/>
        <v>2.236669023209664</v>
      </c>
    </row>
    <row r="40" spans="3:64" x14ac:dyDescent="0.25">
      <c r="C40" s="61">
        <v>28</v>
      </c>
      <c r="D40" s="61">
        <f t="shared" si="0"/>
        <v>105</v>
      </c>
      <c r="E40" s="61">
        <f t="shared" si="1"/>
        <v>105</v>
      </c>
      <c r="F40" s="61">
        <f t="shared" si="2"/>
        <v>105</v>
      </c>
      <c r="G40" s="73">
        <f t="shared" si="3"/>
        <v>24</v>
      </c>
      <c r="H40" s="64">
        <f t="shared" si="4"/>
        <v>1</v>
      </c>
      <c r="I40" s="63">
        <f t="shared" si="41"/>
        <v>2.8</v>
      </c>
      <c r="J40" s="65">
        <f t="shared" si="5"/>
        <v>8.6117892021752077E-4</v>
      </c>
      <c r="K40" s="65">
        <f t="shared" si="6"/>
        <v>8.6117892021752077E-4</v>
      </c>
      <c r="L40" s="65">
        <f t="shared" si="7"/>
        <v>5.1791610661465239E-3</v>
      </c>
      <c r="M40" s="65">
        <f t="shared" si="8"/>
        <v>5.0000000000000001E-3</v>
      </c>
      <c r="N40" s="63">
        <f t="shared" si="9"/>
        <v>0.16795470633174248</v>
      </c>
      <c r="O40" s="64">
        <f t="shared" si="10"/>
        <v>2.1538048717167801</v>
      </c>
      <c r="P40" s="64">
        <f t="shared" si="11"/>
        <v>3.8769024358583897</v>
      </c>
      <c r="Q40" s="64">
        <f t="shared" si="12"/>
        <v>1.7230975641416097</v>
      </c>
      <c r="R40" s="64">
        <f t="shared" si="13"/>
        <v>0</v>
      </c>
      <c r="S40" s="64">
        <f t="shared" si="14"/>
        <v>2.8682002984657893</v>
      </c>
      <c r="T40" s="63">
        <f t="shared" si="42"/>
        <v>4.2606746341430052E-2</v>
      </c>
      <c r="U40" s="63">
        <f t="shared" si="15"/>
        <v>1</v>
      </c>
      <c r="V40" s="63">
        <f t="shared" si="43"/>
        <v>1.0426067463414301</v>
      </c>
      <c r="W40" s="64">
        <f t="shared" si="44"/>
        <v>0.62174991123380519</v>
      </c>
      <c r="X40" s="63">
        <f t="shared" si="16"/>
        <v>7.7314590423848931E-2</v>
      </c>
      <c r="Y40" s="63">
        <f t="shared" si="45"/>
        <v>7.7314590423848931E-2</v>
      </c>
      <c r="Z40" s="64">
        <f t="shared" si="17"/>
        <v>1.0722080161666951</v>
      </c>
      <c r="AA40" s="74">
        <f t="shared" si="18"/>
        <v>1.1496300299321202E-3</v>
      </c>
      <c r="AB40" s="75">
        <f t="shared" si="46"/>
        <v>1.1496300299321202E-3</v>
      </c>
      <c r="AC40" s="63">
        <f t="shared" si="19"/>
        <v>1.175453803554118</v>
      </c>
      <c r="AD40" s="63">
        <f t="shared" si="47"/>
        <v>1.1898837183030979E-3</v>
      </c>
      <c r="AE40" s="63">
        <f t="shared" si="20"/>
        <v>1.5711101288738674E-3</v>
      </c>
      <c r="AF40" s="63">
        <f t="shared" si="21"/>
        <v>0.26886161841479655</v>
      </c>
      <c r="AG40" s="63">
        <f t="shared" si="22"/>
        <v>4.0608000000000005E-2</v>
      </c>
      <c r="AH40" s="63">
        <f t="shared" si="23"/>
        <v>0</v>
      </c>
      <c r="AI40" s="63">
        <f t="shared" si="48"/>
        <v>0.22378064516129031</v>
      </c>
      <c r="AJ40" s="63">
        <f t="shared" si="49"/>
        <v>0.53482137370496075</v>
      </c>
      <c r="AK40" s="63">
        <f t="shared" si="24"/>
        <v>2.6162724070381889</v>
      </c>
      <c r="AL40" s="63">
        <f t="shared" si="25"/>
        <v>5.894667493693613E-3</v>
      </c>
      <c r="AM40" s="63">
        <f t="shared" si="26"/>
        <v>7.7923525568500025E-3</v>
      </c>
      <c r="AN40" s="63">
        <f t="shared" si="27"/>
        <v>5.9118846841172454E-2</v>
      </c>
      <c r="AO40" s="63">
        <f t="shared" si="28"/>
        <v>328.40519420271301</v>
      </c>
      <c r="AP40" s="63">
        <f t="shared" si="50"/>
        <v>5.9118846841172454E-2</v>
      </c>
      <c r="AQ40" s="61">
        <f t="shared" si="29"/>
        <v>0.46248</v>
      </c>
      <c r="AR40" s="61">
        <f t="shared" si="30"/>
        <v>50128320000</v>
      </c>
      <c r="AS40" s="61">
        <f t="shared" si="51"/>
        <v>0.46248</v>
      </c>
      <c r="AT40" s="61">
        <f t="shared" si="52"/>
        <v>0.23869935483870966</v>
      </c>
      <c r="AU40" s="63">
        <f t="shared" si="53"/>
        <v>0.30561055423673211</v>
      </c>
      <c r="AV40" s="63">
        <f t="shared" si="31"/>
        <v>4.1132864760596216E-2</v>
      </c>
      <c r="AW40" s="63">
        <f t="shared" si="32"/>
        <v>2.9760000000000003E-3</v>
      </c>
      <c r="AX40" s="63">
        <f t="shared" si="33"/>
        <v>0.24815999999999999</v>
      </c>
      <c r="AY40" s="63">
        <f t="shared" si="34"/>
        <v>0.25113599999999997</v>
      </c>
      <c r="AZ40" s="63">
        <f t="shared" si="35"/>
        <v>2.2537717594975</v>
      </c>
      <c r="BA40" s="64">
        <f t="shared" si="36"/>
        <v>11.2</v>
      </c>
      <c r="BB40" s="76">
        <f t="shared" si="54"/>
        <v>0.83248030368090031</v>
      </c>
      <c r="BC40" s="64">
        <f t="shared" si="55"/>
        <v>83.248030368090028</v>
      </c>
      <c r="BD40" s="63">
        <f t="shared" si="37"/>
        <v>1.0426067463414301</v>
      </c>
      <c r="BE40" s="63">
        <f t="shared" si="56"/>
        <v>0.84043192794169286</v>
      </c>
      <c r="BF40" s="63">
        <f t="shared" si="38"/>
        <v>0.53482137370496075</v>
      </c>
      <c r="BG40" s="63">
        <f t="shared" si="39"/>
        <v>0.30561055423673211</v>
      </c>
      <c r="BH40" s="63">
        <f t="shared" si="40"/>
        <v>4.1132864760596216E-2</v>
      </c>
      <c r="BI40" s="63">
        <f t="shared" si="57"/>
        <v>0.25113599999999997</v>
      </c>
      <c r="BJ40" s="63">
        <f t="shared" si="58"/>
        <v>1.1496300299321202E-3</v>
      </c>
      <c r="BK40" s="63">
        <f t="shared" si="59"/>
        <v>7.7314590423848931E-2</v>
      </c>
      <c r="BL40" s="63">
        <f t="shared" si="60"/>
        <v>2.2537717594975</v>
      </c>
    </row>
    <row r="41" spans="3:64" x14ac:dyDescent="0.25">
      <c r="C41" s="61">
        <v>29</v>
      </c>
      <c r="D41" s="61">
        <f t="shared" si="0"/>
        <v>105</v>
      </c>
      <c r="E41" s="61">
        <f t="shared" si="1"/>
        <v>105</v>
      </c>
      <c r="F41" s="61">
        <f t="shared" si="2"/>
        <v>105</v>
      </c>
      <c r="G41" s="73">
        <f t="shared" si="3"/>
        <v>24</v>
      </c>
      <c r="H41" s="64">
        <f t="shared" si="4"/>
        <v>1</v>
      </c>
      <c r="I41" s="63">
        <f t="shared" si="41"/>
        <v>2.9</v>
      </c>
      <c r="J41" s="65">
        <f t="shared" si="5"/>
        <v>8.6117892021752077E-4</v>
      </c>
      <c r="K41" s="65">
        <f t="shared" si="6"/>
        <v>8.6117892021752077E-4</v>
      </c>
      <c r="L41" s="65">
        <f t="shared" si="7"/>
        <v>5.1791610661465239E-3</v>
      </c>
      <c r="M41" s="65">
        <f t="shared" si="8"/>
        <v>5.0000000000000001E-3</v>
      </c>
      <c r="N41" s="63">
        <f t="shared" si="9"/>
        <v>0.16800070774835232</v>
      </c>
      <c r="O41" s="64">
        <f t="shared" si="10"/>
        <v>2.1543947812070479</v>
      </c>
      <c r="P41" s="64">
        <f t="shared" si="11"/>
        <v>3.9771973906035241</v>
      </c>
      <c r="Q41" s="64">
        <f t="shared" si="12"/>
        <v>1.822802609396476</v>
      </c>
      <c r="R41" s="64">
        <f t="shared" si="13"/>
        <v>0</v>
      </c>
      <c r="S41" s="64">
        <f t="shared" si="14"/>
        <v>2.9659374132710581</v>
      </c>
      <c r="T41" s="63">
        <f t="shared" si="42"/>
        <v>4.5559965029784801E-2</v>
      </c>
      <c r="U41" s="63">
        <f t="shared" si="15"/>
        <v>1</v>
      </c>
      <c r="V41" s="63">
        <f t="shared" si="43"/>
        <v>1.0455599650297849</v>
      </c>
      <c r="W41" s="64">
        <f t="shared" si="44"/>
        <v>0.62192020343530707</v>
      </c>
      <c r="X41" s="63">
        <f t="shared" si="16"/>
        <v>7.7356947888202743E-2</v>
      </c>
      <c r="Y41" s="63">
        <f t="shared" si="45"/>
        <v>7.7356947888202743E-2</v>
      </c>
      <c r="Z41" s="64">
        <f t="shared" si="17"/>
        <v>1.1088658700401406</v>
      </c>
      <c r="AA41" s="74">
        <f t="shared" si="18"/>
        <v>1.2295835177398779E-3</v>
      </c>
      <c r="AB41" s="75">
        <f t="shared" si="46"/>
        <v>1.2295835177398779E-3</v>
      </c>
      <c r="AC41" s="63">
        <f t="shared" si="19"/>
        <v>1.2156751466308735</v>
      </c>
      <c r="AD41" s="63">
        <f t="shared" si="47"/>
        <v>1.2727070996163964E-3</v>
      </c>
      <c r="AE41" s="63">
        <f t="shared" si="20"/>
        <v>1.6805037911919269E-3</v>
      </c>
      <c r="AF41" s="63">
        <f t="shared" si="21"/>
        <v>0.27736231024389285</v>
      </c>
      <c r="AG41" s="63">
        <f t="shared" si="22"/>
        <v>4.0608000000000005E-2</v>
      </c>
      <c r="AH41" s="63">
        <f t="shared" si="23"/>
        <v>0</v>
      </c>
      <c r="AI41" s="63">
        <f t="shared" si="48"/>
        <v>0.22378064516129031</v>
      </c>
      <c r="AJ41" s="63">
        <f t="shared" si="49"/>
        <v>0.54343145919637514</v>
      </c>
      <c r="AK41" s="63">
        <f t="shared" si="24"/>
        <v>2.7053500101290076</v>
      </c>
      <c r="AL41" s="63">
        <f t="shared" si="25"/>
        <v>6.3028984836813835E-3</v>
      </c>
      <c r="AM41" s="63">
        <f t="shared" si="26"/>
        <v>8.3328512350821851E-3</v>
      </c>
      <c r="AN41" s="63">
        <f t="shared" si="27"/>
        <v>6.137373781133075E-2</v>
      </c>
      <c r="AO41" s="63">
        <f t="shared" si="28"/>
        <v>340.93111354194235</v>
      </c>
      <c r="AP41" s="63">
        <f t="shared" si="50"/>
        <v>6.137373781133075E-2</v>
      </c>
      <c r="AQ41" s="61">
        <f t="shared" si="29"/>
        <v>0.46248</v>
      </c>
      <c r="AR41" s="61">
        <f t="shared" si="30"/>
        <v>50128320000</v>
      </c>
      <c r="AS41" s="61">
        <f t="shared" si="51"/>
        <v>0.46248</v>
      </c>
      <c r="AT41" s="61">
        <f t="shared" si="52"/>
        <v>0.23869935483870966</v>
      </c>
      <c r="AU41" s="63">
        <f t="shared" si="53"/>
        <v>0.3084059438851226</v>
      </c>
      <c r="AV41" s="63">
        <f t="shared" si="31"/>
        <v>4.398392369720508E-2</v>
      </c>
      <c r="AW41" s="63">
        <f t="shared" si="32"/>
        <v>2.9760000000000003E-3</v>
      </c>
      <c r="AX41" s="63">
        <f t="shared" si="33"/>
        <v>0.24815999999999999</v>
      </c>
      <c r="AY41" s="63">
        <f t="shared" si="34"/>
        <v>0.25113599999999997</v>
      </c>
      <c r="AZ41" s="63">
        <f t="shared" si="35"/>
        <v>2.2711038232144301</v>
      </c>
      <c r="BA41" s="64">
        <f t="shared" si="36"/>
        <v>11.6</v>
      </c>
      <c r="BB41" s="76">
        <f t="shared" si="54"/>
        <v>0.83627086552307739</v>
      </c>
      <c r="BC41" s="64">
        <f t="shared" si="55"/>
        <v>83.627086552307745</v>
      </c>
      <c r="BD41" s="63">
        <f t="shared" si="37"/>
        <v>1.0455599650297849</v>
      </c>
      <c r="BE41" s="63">
        <f t="shared" si="56"/>
        <v>0.85183740308149769</v>
      </c>
      <c r="BF41" s="63">
        <f t="shared" si="38"/>
        <v>0.54343145919637514</v>
      </c>
      <c r="BG41" s="63">
        <f t="shared" si="39"/>
        <v>0.3084059438851226</v>
      </c>
      <c r="BH41" s="63">
        <f t="shared" si="40"/>
        <v>4.398392369720508E-2</v>
      </c>
      <c r="BI41" s="63">
        <f t="shared" si="57"/>
        <v>0.25113599999999997</v>
      </c>
      <c r="BJ41" s="63">
        <f t="shared" si="58"/>
        <v>1.2295835177398779E-3</v>
      </c>
      <c r="BK41" s="63">
        <f t="shared" si="59"/>
        <v>7.7356947888202743E-2</v>
      </c>
      <c r="BL41" s="63">
        <f t="shared" si="60"/>
        <v>2.2711038232144301</v>
      </c>
    </row>
    <row r="42" spans="3:64" x14ac:dyDescent="0.25">
      <c r="C42" s="61">
        <v>30</v>
      </c>
      <c r="D42" s="61">
        <f t="shared" si="0"/>
        <v>105</v>
      </c>
      <c r="E42" s="61">
        <f t="shared" si="1"/>
        <v>105</v>
      </c>
      <c r="F42" s="61">
        <f t="shared" si="2"/>
        <v>105</v>
      </c>
      <c r="G42" s="73">
        <f t="shared" si="3"/>
        <v>24</v>
      </c>
      <c r="H42" s="64">
        <f t="shared" si="4"/>
        <v>1</v>
      </c>
      <c r="I42" s="63">
        <f t="shared" si="41"/>
        <v>3</v>
      </c>
      <c r="J42" s="65">
        <f t="shared" si="5"/>
        <v>8.6117892021752077E-4</v>
      </c>
      <c r="K42" s="65">
        <f t="shared" si="6"/>
        <v>8.6117892021752077E-4</v>
      </c>
      <c r="L42" s="65">
        <f t="shared" si="7"/>
        <v>5.1791610661465239E-3</v>
      </c>
      <c r="M42" s="65">
        <f t="shared" si="8"/>
        <v>5.0000000000000001E-3</v>
      </c>
      <c r="N42" s="63">
        <f t="shared" si="9"/>
        <v>0.1680467091649622</v>
      </c>
      <c r="O42" s="64">
        <f t="shared" si="10"/>
        <v>2.1549846906973151</v>
      </c>
      <c r="P42" s="64">
        <f t="shared" si="11"/>
        <v>4.0774923453486576</v>
      </c>
      <c r="Q42" s="64">
        <f t="shared" si="12"/>
        <v>1.9225076546513424</v>
      </c>
      <c r="R42" s="64">
        <f t="shared" si="13"/>
        <v>0</v>
      </c>
      <c r="S42" s="64">
        <f t="shared" si="14"/>
        <v>3.0638205862552805</v>
      </c>
      <c r="T42" s="63">
        <f t="shared" si="42"/>
        <v>4.8616767239847931E-2</v>
      </c>
      <c r="U42" s="63">
        <f t="shared" si="15"/>
        <v>1</v>
      </c>
      <c r="V42" s="63">
        <f t="shared" si="43"/>
        <v>1.0486167672398479</v>
      </c>
      <c r="W42" s="64">
        <f t="shared" si="44"/>
        <v>0.62209049563680874</v>
      </c>
      <c r="X42" s="63">
        <f t="shared" si="16"/>
        <v>7.7399316952330072E-2</v>
      </c>
      <c r="Y42" s="63">
        <f t="shared" si="45"/>
        <v>7.7399316952330072E-2</v>
      </c>
      <c r="Z42" s="64">
        <f t="shared" si="17"/>
        <v>1.1455862912832862</v>
      </c>
      <c r="AA42" s="74">
        <f t="shared" si="18"/>
        <v>1.3123679507761942E-3</v>
      </c>
      <c r="AB42" s="75">
        <f t="shared" si="46"/>
        <v>1.3123679507761942E-3</v>
      </c>
      <c r="AC42" s="63">
        <f t="shared" si="19"/>
        <v>1.2559673104869944</v>
      </c>
      <c r="AD42" s="63">
        <f t="shared" si="47"/>
        <v>1.3584700333875107E-3</v>
      </c>
      <c r="AE42" s="63">
        <f t="shared" si="20"/>
        <v>1.793784771180297E-3</v>
      </c>
      <c r="AF42" s="63">
        <f t="shared" si="21"/>
        <v>0.28586300207298915</v>
      </c>
      <c r="AG42" s="63">
        <f t="shared" si="22"/>
        <v>4.0608000000000005E-2</v>
      </c>
      <c r="AH42" s="63">
        <f t="shared" si="23"/>
        <v>0</v>
      </c>
      <c r="AI42" s="63">
        <f t="shared" si="48"/>
        <v>0.22378064516129031</v>
      </c>
      <c r="AJ42" s="63">
        <f t="shared" si="49"/>
        <v>0.55204543200545975</v>
      </c>
      <c r="AK42" s="63">
        <f t="shared" si="24"/>
        <v>2.7945559038512213</v>
      </c>
      <c r="AL42" s="63">
        <f t="shared" si="25"/>
        <v>6.7254135495630829E-3</v>
      </c>
      <c r="AM42" s="63">
        <f t="shared" si="26"/>
        <v>8.8923775046303218E-3</v>
      </c>
      <c r="AN42" s="63">
        <f t="shared" si="27"/>
        <v>6.3628628781489061E-2</v>
      </c>
      <c r="AO42" s="63">
        <f t="shared" si="28"/>
        <v>353.4570328811717</v>
      </c>
      <c r="AP42" s="63">
        <f t="shared" si="50"/>
        <v>6.3628628781489061E-2</v>
      </c>
      <c r="AQ42" s="61">
        <f t="shared" si="29"/>
        <v>0.46248</v>
      </c>
      <c r="AR42" s="61">
        <f t="shared" si="30"/>
        <v>50128320000</v>
      </c>
      <c r="AS42" s="61">
        <f t="shared" si="51"/>
        <v>0.46248</v>
      </c>
      <c r="AT42" s="61">
        <f t="shared" si="52"/>
        <v>0.23869935483870966</v>
      </c>
      <c r="AU42" s="63">
        <f t="shared" si="53"/>
        <v>0.31122036112482904</v>
      </c>
      <c r="AV42" s="63">
        <f t="shared" si="31"/>
        <v>4.6934982923808252E-2</v>
      </c>
      <c r="AW42" s="63">
        <f t="shared" si="32"/>
        <v>2.9760000000000003E-3</v>
      </c>
      <c r="AX42" s="63">
        <f t="shared" si="33"/>
        <v>0.24815999999999999</v>
      </c>
      <c r="AY42" s="63">
        <f t="shared" si="34"/>
        <v>0.25113599999999997</v>
      </c>
      <c r="AZ42" s="63">
        <f t="shared" si="35"/>
        <v>2.288665228197051</v>
      </c>
      <c r="BA42" s="64">
        <f t="shared" si="36"/>
        <v>12</v>
      </c>
      <c r="BB42" s="76">
        <f t="shared" si="54"/>
        <v>0.83982652041699246</v>
      </c>
      <c r="BC42" s="64">
        <f t="shared" si="55"/>
        <v>83.982652041699239</v>
      </c>
      <c r="BD42" s="63">
        <f t="shared" si="37"/>
        <v>1.0486167672398479</v>
      </c>
      <c r="BE42" s="63">
        <f t="shared" si="56"/>
        <v>0.86326579313028873</v>
      </c>
      <c r="BF42" s="63">
        <f t="shared" si="38"/>
        <v>0.55204543200545975</v>
      </c>
      <c r="BG42" s="63">
        <f t="shared" si="39"/>
        <v>0.31122036112482904</v>
      </c>
      <c r="BH42" s="63">
        <f t="shared" si="40"/>
        <v>4.6934982923808252E-2</v>
      </c>
      <c r="BI42" s="63">
        <f t="shared" si="57"/>
        <v>0.25113599999999997</v>
      </c>
      <c r="BJ42" s="63">
        <f t="shared" si="58"/>
        <v>1.3123679507761942E-3</v>
      </c>
      <c r="BK42" s="63">
        <f t="shared" si="59"/>
        <v>7.7399316952330072E-2</v>
      </c>
      <c r="BL42" s="63">
        <f t="shared" si="60"/>
        <v>2.2886652281970505</v>
      </c>
    </row>
    <row r="43" spans="3:64" x14ac:dyDescent="0.25">
      <c r="C43" s="61">
        <v>31</v>
      </c>
      <c r="D43" s="61">
        <f t="shared" si="0"/>
        <v>105</v>
      </c>
      <c r="E43" s="61">
        <f t="shared" si="1"/>
        <v>105</v>
      </c>
      <c r="F43" s="61">
        <f t="shared" si="2"/>
        <v>105</v>
      </c>
      <c r="G43" s="73">
        <f t="shared" si="3"/>
        <v>24</v>
      </c>
      <c r="H43" s="64">
        <f t="shared" si="4"/>
        <v>1</v>
      </c>
      <c r="I43" s="63">
        <f t="shared" si="41"/>
        <v>3.1</v>
      </c>
      <c r="J43" s="65">
        <f t="shared" si="5"/>
        <v>8.6117892021752077E-4</v>
      </c>
      <c r="K43" s="65">
        <f t="shared" si="6"/>
        <v>8.6117892021752077E-4</v>
      </c>
      <c r="L43" s="65">
        <f t="shared" si="7"/>
        <v>5.1791610661465239E-3</v>
      </c>
      <c r="M43" s="65">
        <f t="shared" si="8"/>
        <v>5.0000000000000001E-3</v>
      </c>
      <c r="N43" s="63">
        <f t="shared" si="9"/>
        <v>0.16809271058157202</v>
      </c>
      <c r="O43" s="64">
        <f t="shared" si="10"/>
        <v>2.1555746001875824</v>
      </c>
      <c r="P43" s="64">
        <f t="shared" si="11"/>
        <v>4.1777873000937911</v>
      </c>
      <c r="Q43" s="64">
        <f t="shared" si="12"/>
        <v>2.0222126999062091</v>
      </c>
      <c r="R43" s="64">
        <f t="shared" si="13"/>
        <v>0</v>
      </c>
      <c r="S43" s="64">
        <f t="shared" si="14"/>
        <v>3.1618362525724124</v>
      </c>
      <c r="T43" s="63">
        <f t="shared" si="42"/>
        <v>5.1777152971619479E-2</v>
      </c>
      <c r="U43" s="63">
        <f t="shared" si="15"/>
        <v>1</v>
      </c>
      <c r="V43" s="63">
        <f t="shared" si="43"/>
        <v>1.0517771529716196</v>
      </c>
      <c r="W43" s="64">
        <f t="shared" si="44"/>
        <v>0.6222607878383104</v>
      </c>
      <c r="X43" s="63">
        <f t="shared" si="16"/>
        <v>7.7441697616230959E-2</v>
      </c>
      <c r="Y43" s="63">
        <f t="shared" si="45"/>
        <v>7.7441697616230959E-2</v>
      </c>
      <c r="Z43" s="64">
        <f t="shared" si="17"/>
        <v>1.1823642222759261</v>
      </c>
      <c r="AA43" s="74">
        <f t="shared" si="18"/>
        <v>1.3979851541181555E-3</v>
      </c>
      <c r="AB43" s="75">
        <f t="shared" si="46"/>
        <v>1.3979851541181555E-3</v>
      </c>
      <c r="AC43" s="63">
        <f t="shared" si="19"/>
        <v>1.2963247559969922</v>
      </c>
      <c r="AD43" s="63">
        <f t="shared" si="47"/>
        <v>1.4471748965503529E-3</v>
      </c>
      <c r="AE43" s="63">
        <f t="shared" si="20"/>
        <v>1.9109567046121506E-3</v>
      </c>
      <c r="AF43" s="63">
        <f t="shared" si="21"/>
        <v>0.29436369390208539</v>
      </c>
      <c r="AG43" s="63">
        <f t="shared" si="22"/>
        <v>4.0608000000000005E-2</v>
      </c>
      <c r="AH43" s="63">
        <f t="shared" si="23"/>
        <v>0</v>
      </c>
      <c r="AI43" s="63">
        <f t="shared" si="48"/>
        <v>0.22378064516129031</v>
      </c>
      <c r="AJ43" s="63">
        <f t="shared" si="49"/>
        <v>0.56066329576798779</v>
      </c>
      <c r="AK43" s="63">
        <f t="shared" si="24"/>
        <v>2.8838777045967978</v>
      </c>
      <c r="AL43" s="63">
        <f t="shared" si="25"/>
        <v>7.1622103144048108E-3</v>
      </c>
      <c r="AM43" s="63">
        <f t="shared" si="26"/>
        <v>9.4709401656189948E-3</v>
      </c>
      <c r="AN43" s="63">
        <f t="shared" si="27"/>
        <v>6.5883519751647357E-2</v>
      </c>
      <c r="AO43" s="63">
        <f t="shared" si="28"/>
        <v>365.98295222040105</v>
      </c>
      <c r="AP43" s="63">
        <f t="shared" si="50"/>
        <v>6.5883519751647357E-2</v>
      </c>
      <c r="AQ43" s="61">
        <f t="shared" si="29"/>
        <v>0.46248</v>
      </c>
      <c r="AR43" s="61">
        <f t="shared" si="30"/>
        <v>50128320000</v>
      </c>
      <c r="AS43" s="61">
        <f t="shared" si="51"/>
        <v>0.46248</v>
      </c>
      <c r="AT43" s="61">
        <f t="shared" si="52"/>
        <v>0.23869935483870966</v>
      </c>
      <c r="AU43" s="63">
        <f t="shared" si="53"/>
        <v>0.31405381475597605</v>
      </c>
      <c r="AV43" s="63">
        <f t="shared" si="31"/>
        <v>4.9986042440405783E-2</v>
      </c>
      <c r="AW43" s="63">
        <f t="shared" si="32"/>
        <v>2.9760000000000003E-3</v>
      </c>
      <c r="AX43" s="63">
        <f t="shared" si="33"/>
        <v>0.24815999999999999</v>
      </c>
      <c r="AY43" s="63">
        <f t="shared" si="34"/>
        <v>0.25113599999999997</v>
      </c>
      <c r="AZ43" s="63">
        <f t="shared" si="35"/>
        <v>2.3064559887063383</v>
      </c>
      <c r="BA43" s="64">
        <f t="shared" si="36"/>
        <v>12.4</v>
      </c>
      <c r="BB43" s="76">
        <f t="shared" si="54"/>
        <v>0.84316711038488434</v>
      </c>
      <c r="BC43" s="64">
        <f t="shared" si="55"/>
        <v>84.316711038488435</v>
      </c>
      <c r="BD43" s="63">
        <f t="shared" si="37"/>
        <v>1.0517771529716196</v>
      </c>
      <c r="BE43" s="63">
        <f t="shared" si="56"/>
        <v>0.87471711052396384</v>
      </c>
      <c r="BF43" s="63">
        <f t="shared" si="38"/>
        <v>0.56066329576798779</v>
      </c>
      <c r="BG43" s="63">
        <f t="shared" si="39"/>
        <v>0.31405381475597605</v>
      </c>
      <c r="BH43" s="63">
        <f t="shared" si="40"/>
        <v>4.9986042440405783E-2</v>
      </c>
      <c r="BI43" s="63">
        <f t="shared" si="57"/>
        <v>0.25113599999999997</v>
      </c>
      <c r="BJ43" s="63">
        <f t="shared" si="58"/>
        <v>1.3979851541181555E-3</v>
      </c>
      <c r="BK43" s="63">
        <f t="shared" si="59"/>
        <v>7.7441697616230959E-2</v>
      </c>
      <c r="BL43" s="63">
        <f t="shared" si="60"/>
        <v>2.3064559887063383</v>
      </c>
    </row>
    <row r="44" spans="3:64" x14ac:dyDescent="0.25">
      <c r="C44" s="61">
        <v>32</v>
      </c>
      <c r="D44" s="61">
        <f t="shared" ref="D44:D75" si="61">T.amb+I44*$D$9</f>
        <v>105</v>
      </c>
      <c r="E44" s="61">
        <f t="shared" ref="E44:E75" si="62">T.amb+I44*$E$9</f>
        <v>105</v>
      </c>
      <c r="F44" s="61">
        <f t="shared" ref="F44:F75" si="63">T.amb+I44*$F$9</f>
        <v>105</v>
      </c>
      <c r="G44" s="73">
        <f t="shared" ref="G44:G75" si="64">V.supply_typ</f>
        <v>24</v>
      </c>
      <c r="H44" s="64">
        <f t="shared" ref="H44:H75" si="65">FPWM</f>
        <v>1</v>
      </c>
      <c r="I44" s="63">
        <f t="shared" si="41"/>
        <v>3.2</v>
      </c>
      <c r="J44" s="65">
        <f t="shared" ref="J44:J75" si="66">R.hs25*((D44+275)/300)^2.3</f>
        <v>8.6117892021752077E-4</v>
      </c>
      <c r="K44" s="65">
        <f t="shared" ref="K44:K75" si="67">R.ls25*((E44+275)/300)^2.3</f>
        <v>8.6117892021752077E-4</v>
      </c>
      <c r="L44" s="65">
        <f t="shared" ref="L44:L75" si="68">R.dcr25*((F44+275)/300)^1.2</f>
        <v>5.1791610661465239E-3</v>
      </c>
      <c r="M44" s="65">
        <f t="shared" ref="M44:M75" si="69">R.s</f>
        <v>5.0000000000000001E-3</v>
      </c>
      <c r="N44" s="63">
        <f t="shared" ref="N44:N75" si="70">(V.load+I44*(K44+L44+M44))/(V.supply_typ+I44*(K44-J44))</f>
        <v>0.16813871199818187</v>
      </c>
      <c r="O44" s="64">
        <f t="shared" ref="O44:O75" si="71">(V.supply_typ-I.load*(J44+L44+M44)-V.load)*N44/(f.sw*L.out)</f>
        <v>2.1561645096778497</v>
      </c>
      <c r="P44" s="64">
        <f t="shared" ref="P44:P75" si="72">I44+O44/2</f>
        <v>4.2780822548389246</v>
      </c>
      <c r="Q44" s="64">
        <f t="shared" ref="Q44:Q75" si="73">I44-O44/2</f>
        <v>2.1219177451610753</v>
      </c>
      <c r="R44" s="64">
        <f t="shared" ref="R44:R75" si="74">IF(MIN(V.supply_typ, -Q44/(C.oss_hs+C.oss_ls)*0.00000002)&lt;0, 0, MIN(V.supply_typ, -Q44/(C.oss_hs+C.oss_ls)*0.00000002))</f>
        <v>0</v>
      </c>
      <c r="S44" s="64">
        <f t="shared" ref="S44:S75" si="75">SQRT(I44^2+(O44^2)/12)</f>
        <v>3.2599724614480303</v>
      </c>
      <c r="T44" s="63">
        <f t="shared" si="42"/>
        <v>5.5041122225099437E-2</v>
      </c>
      <c r="U44" s="63">
        <f t="shared" ref="U44:U75" si="76">IF(FPWM=1,P.core,MIN(P.core,P.core*(O44+Q44)/O44))</f>
        <v>1</v>
      </c>
      <c r="V44" s="63">
        <f t="shared" si="43"/>
        <v>1.0550411222250995</v>
      </c>
      <c r="W44" s="64">
        <f t="shared" si="44"/>
        <v>0.62243108003981207</v>
      </c>
      <c r="X44" s="63">
        <f t="shared" ref="X44:X75" si="77">R.esrb*W44^2</f>
        <v>7.7484089879905391E-2</v>
      </c>
      <c r="Y44" s="63">
        <f t="shared" si="45"/>
        <v>7.7484089879905391E-2</v>
      </c>
      <c r="Z44" s="64">
        <f t="shared" ref="Z44:Z75" si="78">SQRT(N44*(1-N44))*SQRT(I44^2+(O44^2)/12)</f>
        <v>1.2191952068208669</v>
      </c>
      <c r="AA44" s="74">
        <f t="shared" ref="AA44:AA75" si="79">R.esr_cin*Z44^2</f>
        <v>1.4864369523349766E-3</v>
      </c>
      <c r="AB44" s="75">
        <f t="shared" si="46"/>
        <v>1.4864369523349766E-3</v>
      </c>
      <c r="AC44" s="63">
        <f t="shared" ref="AC44:AC75" si="80">SQRT(N44)*SQRT(I44^2+(O44^2)/12)</f>
        <v>1.3367426028316656</v>
      </c>
      <c r="AD44" s="63">
        <f t="shared" si="47"/>
        <v>1.5388240660388318E-3</v>
      </c>
      <c r="AE44" s="63">
        <f t="shared" ref="AE44:AE75" si="81">AD44*(1+TC_rdson_hs*(T.amb-25))/(1-AD44*TC_rdson_hs*theta.ja_hs)</f>
        <v>2.0320232448867094E-3</v>
      </c>
      <c r="AF44" s="63">
        <f t="shared" ref="AF44:AF75" si="82">(V.supply_typ*P44/2)*f.sw*T.rise+(V.supply_typ*MAX(Q44,0)/2)*f.sw*T.fall</f>
        <v>0.30286438573118157</v>
      </c>
      <c r="AG44" s="63">
        <f t="shared" ref="AG44:AG75" si="83">0.5*(C.oss_hs+C.oss_ls)*(V.supply_typ-R44)^2*f.sw</f>
        <v>4.0608000000000005E-2</v>
      </c>
      <c r="AH44" s="63">
        <f t="shared" ref="AH44:AH75" si="84">IF(I44&gt;O44/2,0,ABS(Q44)*V.bd_hs*t.d_loff_hon*f.sw)</f>
        <v>0</v>
      </c>
      <c r="AI44" s="63">
        <f t="shared" si="48"/>
        <v>0.22378064516129031</v>
      </c>
      <c r="AJ44" s="63">
        <f t="shared" si="49"/>
        <v>0.56928505413735864</v>
      </c>
      <c r="AK44" s="63">
        <f t="shared" ref="AK44:AK75" si="85">SQRT((1-N44))*SQRT(I44^2+(O44^2)/12)</f>
        <v>2.9733045022624833</v>
      </c>
      <c r="AL44" s="63">
        <f t="shared" ref="AL44:AL75" si="86">K44*AK44^2</f>
        <v>7.6132864012726552E-3</v>
      </c>
      <c r="AM44" s="63">
        <f t="shared" ref="AM44:AM75" si="87">AL44*(1+TC_rdson_ls*(T.amb-25))/(1-AL44*TC_rdson_ls*theta.ja_ls)</f>
        <v>1.0068548425897141E-2</v>
      </c>
      <c r="AN44" s="63">
        <f t="shared" ref="AN44:AN75" si="88">IF(I44&gt;O44/2, Q44*V.bd_ls*t.d_loff_hon*f.sw + P44*V.bd_ls*t.d_hoff_lon*f.sw,P44*V.bd_ls*t.d_hoff_lon*f.sw)</f>
        <v>6.8138410721805653E-2</v>
      </c>
      <c r="AO44" s="63">
        <f t="shared" ref="AO44:AO75" si="89">IF(I44&gt;O44/2, Q44*V.fwd_sch*t.d_loff_hon*f.sw + P44*V.fwd_sch*t.d_hoff_lon*f.sw,P44*V.fwd_sch*t.d_hoff_lon*f.sw)</f>
        <v>378.50887155963039</v>
      </c>
      <c r="AP44" s="63">
        <f t="shared" si="50"/>
        <v>6.8138410721805653E-2</v>
      </c>
      <c r="AQ44" s="61">
        <f t="shared" ref="AQ44:AQ75" si="90">Q.rr_ls*V.supply_typ*f.sw</f>
        <v>0.46248</v>
      </c>
      <c r="AR44" s="61">
        <f t="shared" ref="AR44:AR75" si="91">Q.rr_sch*V.supply_typ*f.sw</f>
        <v>50128320000</v>
      </c>
      <c r="AS44" s="61">
        <f t="shared" si="51"/>
        <v>0.46248</v>
      </c>
      <c r="AT44" s="61">
        <f t="shared" si="52"/>
        <v>0.23869935483870966</v>
      </c>
      <c r="AU44" s="63">
        <f t="shared" si="53"/>
        <v>0.31690631398641245</v>
      </c>
      <c r="AV44" s="63">
        <f t="shared" ref="AV44:AV75" si="92">R.s*S44^2</f>
        <v>5.313710224699765E-2</v>
      </c>
      <c r="AW44" s="63">
        <f t="shared" ref="AW44:AW75" si="93">I.q_IC*V.supply_typ</f>
        <v>2.9760000000000003E-3</v>
      </c>
      <c r="AX44" s="63">
        <f t="shared" ref="AX44:AX75" si="94">IF(ExtVCC=1,  (Q.g_hs+Q.g_ls)*f.sw*V.load, (Q.g_hs+Q.g_ls)*f.sw*V.supply_typ)</f>
        <v>0.24815999999999999</v>
      </c>
      <c r="AY44" s="63">
        <f t="shared" ref="AY44:AY75" si="95">SUM(AW44:AX44)</f>
        <v>0.25113599999999997</v>
      </c>
      <c r="AZ44" s="63">
        <f t="shared" ref="AZ44:AZ75" si="96">V44+Y44+AB44+AJ44+AU44+AV44+AY44</f>
        <v>2.3244761194281085</v>
      </c>
      <c r="BA44" s="64">
        <f t="shared" ref="BA44:BA75" si="97">V.load*I44</f>
        <v>12.8</v>
      </c>
      <c r="BB44" s="76">
        <f t="shared" si="54"/>
        <v>0.84631030515878769</v>
      </c>
      <c r="BC44" s="64">
        <f t="shared" si="55"/>
        <v>84.631030515878763</v>
      </c>
      <c r="BD44" s="63">
        <f t="shared" ref="BD44:BD75" si="98">V44</f>
        <v>1.0550411222250995</v>
      </c>
      <c r="BE44" s="63">
        <f t="shared" si="56"/>
        <v>0.88619136812377108</v>
      </c>
      <c r="BF44" s="63">
        <f t="shared" ref="BF44:BF75" si="99">AJ44</f>
        <v>0.56928505413735864</v>
      </c>
      <c r="BG44" s="63">
        <f t="shared" ref="BG44:BG75" si="100">AU44</f>
        <v>0.31690631398641245</v>
      </c>
      <c r="BH44" s="63">
        <f t="shared" ref="BH44:BH75" si="101">AV44</f>
        <v>5.313710224699765E-2</v>
      </c>
      <c r="BI44" s="63">
        <f t="shared" si="57"/>
        <v>0.25113599999999997</v>
      </c>
      <c r="BJ44" s="63">
        <f t="shared" si="58"/>
        <v>1.4864369523349766E-3</v>
      </c>
      <c r="BK44" s="63">
        <f t="shared" si="59"/>
        <v>7.7484089879905391E-2</v>
      </c>
      <c r="BL44" s="63">
        <f t="shared" si="60"/>
        <v>2.3244761194281089</v>
      </c>
    </row>
    <row r="45" spans="3:64" x14ac:dyDescent="0.25">
      <c r="C45" s="61">
        <v>33</v>
      </c>
      <c r="D45" s="61">
        <f t="shared" si="61"/>
        <v>105</v>
      </c>
      <c r="E45" s="61">
        <f t="shared" si="62"/>
        <v>105</v>
      </c>
      <c r="F45" s="61">
        <f t="shared" si="63"/>
        <v>105</v>
      </c>
      <c r="G45" s="73">
        <f t="shared" si="64"/>
        <v>24</v>
      </c>
      <c r="H45" s="64">
        <f t="shared" si="65"/>
        <v>1</v>
      </c>
      <c r="I45" s="63">
        <f t="shared" ref="I45:I76" si="102">I.load*C45/100</f>
        <v>3.3</v>
      </c>
      <c r="J45" s="65">
        <f t="shared" si="66"/>
        <v>8.6117892021752077E-4</v>
      </c>
      <c r="K45" s="65">
        <f t="shared" si="67"/>
        <v>8.6117892021752077E-4</v>
      </c>
      <c r="L45" s="65">
        <f t="shared" si="68"/>
        <v>5.1791610661465239E-3</v>
      </c>
      <c r="M45" s="65">
        <f t="shared" si="69"/>
        <v>5.0000000000000001E-3</v>
      </c>
      <c r="N45" s="63">
        <f t="shared" si="70"/>
        <v>0.16818471341479171</v>
      </c>
      <c r="O45" s="64">
        <f t="shared" si="71"/>
        <v>2.1567544191681169</v>
      </c>
      <c r="P45" s="64">
        <f t="shared" si="72"/>
        <v>4.3783772095840581</v>
      </c>
      <c r="Q45" s="64">
        <f t="shared" si="73"/>
        <v>2.2216227904159416</v>
      </c>
      <c r="R45" s="64">
        <f t="shared" si="74"/>
        <v>0</v>
      </c>
      <c r="S45" s="64">
        <f t="shared" si="75"/>
        <v>3.3582186451624567</v>
      </c>
      <c r="T45" s="63">
        <f t="shared" si="42"/>
        <v>5.8408675000287777E-2</v>
      </c>
      <c r="U45" s="63">
        <f t="shared" si="76"/>
        <v>1</v>
      </c>
      <c r="V45" s="63">
        <f t="shared" si="43"/>
        <v>1.0584086750002877</v>
      </c>
      <c r="W45" s="64">
        <f t="shared" si="44"/>
        <v>0.62260137224131362</v>
      </c>
      <c r="X45" s="63">
        <f t="shared" si="77"/>
        <v>7.7526493743353353E-2</v>
      </c>
      <c r="Y45" s="63">
        <f t="shared" si="45"/>
        <v>7.7526493743353353E-2</v>
      </c>
      <c r="Z45" s="64">
        <f t="shared" si="78"/>
        <v>1.2560753040673938</v>
      </c>
      <c r="AA45" s="74">
        <f t="shared" si="79"/>
        <v>1.5777251694879958E-3</v>
      </c>
      <c r="AB45" s="75">
        <f t="shared" si="46"/>
        <v>1.5777251694879958E-3</v>
      </c>
      <c r="AC45" s="63">
        <f t="shared" si="80"/>
        <v>1.3772165351710235</v>
      </c>
      <c r="AD45" s="63">
        <f t="shared" si="47"/>
        <v>1.6334199187868568E-3</v>
      </c>
      <c r="AE45" s="63">
        <f t="shared" si="81"/>
        <v>2.156988063080823E-3</v>
      </c>
      <c r="AF45" s="63">
        <f t="shared" si="82"/>
        <v>0.31136507756027787</v>
      </c>
      <c r="AG45" s="63">
        <f t="shared" si="83"/>
        <v>4.0608000000000005E-2</v>
      </c>
      <c r="AH45" s="63">
        <f t="shared" si="84"/>
        <v>0</v>
      </c>
      <c r="AI45" s="63">
        <f t="shared" si="48"/>
        <v>0.22378064516129031</v>
      </c>
      <c r="AJ45" s="63">
        <f t="shared" si="49"/>
        <v>0.57791071078464906</v>
      </c>
      <c r="AK45" s="63">
        <f t="shared" si="85"/>
        <v>3.0628266493499576</v>
      </c>
      <c r="AL45" s="63">
        <f t="shared" si="86"/>
        <v>8.0786394332327018E-3</v>
      </c>
      <c r="AM45" s="63">
        <f t="shared" si="87"/>
        <v>1.0685211901473651E-2</v>
      </c>
      <c r="AN45" s="63">
        <f t="shared" si="88"/>
        <v>7.039330169196395E-2</v>
      </c>
      <c r="AO45" s="63">
        <f t="shared" si="89"/>
        <v>391.03479089885968</v>
      </c>
      <c r="AP45" s="63">
        <f t="shared" si="50"/>
        <v>7.039330169196395E-2</v>
      </c>
      <c r="AQ45" s="61">
        <f t="shared" si="90"/>
        <v>0.46248</v>
      </c>
      <c r="AR45" s="61">
        <f t="shared" si="91"/>
        <v>50128320000</v>
      </c>
      <c r="AS45" s="61">
        <f t="shared" si="51"/>
        <v>0.46248</v>
      </c>
      <c r="AT45" s="61">
        <f t="shared" si="52"/>
        <v>0.23869935483870966</v>
      </c>
      <c r="AU45" s="63">
        <f t="shared" si="53"/>
        <v>0.31977786843214728</v>
      </c>
      <c r="AV45" s="63">
        <f t="shared" si="92"/>
        <v>5.6388162343583827E-2</v>
      </c>
      <c r="AW45" s="63">
        <f t="shared" si="93"/>
        <v>2.9760000000000003E-3</v>
      </c>
      <c r="AX45" s="63">
        <f t="shared" si="94"/>
        <v>0.24815999999999999</v>
      </c>
      <c r="AY45" s="63">
        <f t="shared" si="95"/>
        <v>0.25113599999999997</v>
      </c>
      <c r="AZ45" s="63">
        <f t="shared" si="96"/>
        <v>2.3427256354735091</v>
      </c>
      <c r="BA45" s="64">
        <f t="shared" si="97"/>
        <v>13.2</v>
      </c>
      <c r="BB45" s="76">
        <f t="shared" si="54"/>
        <v>0.84927189153190386</v>
      </c>
      <c r="BC45" s="64">
        <f t="shared" si="55"/>
        <v>84.927189153190383</v>
      </c>
      <c r="BD45" s="63">
        <f t="shared" si="98"/>
        <v>1.0584086750002877</v>
      </c>
      <c r="BE45" s="63">
        <f t="shared" si="56"/>
        <v>0.89768857921679635</v>
      </c>
      <c r="BF45" s="63">
        <f t="shared" si="99"/>
        <v>0.57791071078464906</v>
      </c>
      <c r="BG45" s="63">
        <f t="shared" si="100"/>
        <v>0.31977786843214728</v>
      </c>
      <c r="BH45" s="63">
        <f t="shared" si="101"/>
        <v>5.6388162343583827E-2</v>
      </c>
      <c r="BI45" s="63">
        <f t="shared" si="57"/>
        <v>0.25113599999999997</v>
      </c>
      <c r="BJ45" s="63">
        <f t="shared" si="58"/>
        <v>1.5777251694879958E-3</v>
      </c>
      <c r="BK45" s="63">
        <f t="shared" si="59"/>
        <v>7.7526493743353353E-2</v>
      </c>
      <c r="BL45" s="63">
        <f t="shared" si="60"/>
        <v>2.3427256354735095</v>
      </c>
    </row>
    <row r="46" spans="3:64" x14ac:dyDescent="0.25">
      <c r="C46" s="61">
        <v>34</v>
      </c>
      <c r="D46" s="61">
        <f t="shared" si="61"/>
        <v>105</v>
      </c>
      <c r="E46" s="61">
        <f t="shared" si="62"/>
        <v>105</v>
      </c>
      <c r="F46" s="61">
        <f t="shared" si="63"/>
        <v>105</v>
      </c>
      <c r="G46" s="73">
        <f t="shared" si="64"/>
        <v>24</v>
      </c>
      <c r="H46" s="64">
        <f t="shared" si="65"/>
        <v>1</v>
      </c>
      <c r="I46" s="63">
        <f t="shared" si="102"/>
        <v>3.4</v>
      </c>
      <c r="J46" s="65">
        <f t="shared" si="66"/>
        <v>8.6117892021752077E-4</v>
      </c>
      <c r="K46" s="65">
        <f t="shared" si="67"/>
        <v>8.6117892021752077E-4</v>
      </c>
      <c r="L46" s="65">
        <f t="shared" si="68"/>
        <v>5.1791610661465239E-3</v>
      </c>
      <c r="M46" s="65">
        <f t="shared" si="69"/>
        <v>5.0000000000000001E-3</v>
      </c>
      <c r="N46" s="63">
        <f t="shared" si="70"/>
        <v>0.16823071483140159</v>
      </c>
      <c r="O46" s="64">
        <f t="shared" si="71"/>
        <v>2.1573443286583851</v>
      </c>
      <c r="P46" s="64">
        <f t="shared" si="72"/>
        <v>4.4786721643291925</v>
      </c>
      <c r="Q46" s="64">
        <f t="shared" si="73"/>
        <v>2.3213278356708074</v>
      </c>
      <c r="R46" s="64">
        <f t="shared" si="74"/>
        <v>0</v>
      </c>
      <c r="S46" s="64">
        <f t="shared" si="75"/>
        <v>3.4565654262624443</v>
      </c>
      <c r="T46" s="63">
        <f t="shared" si="42"/>
        <v>6.1879811297184548E-2</v>
      </c>
      <c r="U46" s="63">
        <f t="shared" si="76"/>
        <v>1</v>
      </c>
      <c r="V46" s="63">
        <f t="shared" si="43"/>
        <v>1.0618798112971846</v>
      </c>
      <c r="W46" s="64">
        <f t="shared" si="44"/>
        <v>0.62277166444281562</v>
      </c>
      <c r="X46" s="63">
        <f t="shared" si="77"/>
        <v>7.7568909206574999E-2</v>
      </c>
      <c r="Y46" s="63">
        <f t="shared" si="45"/>
        <v>7.7568909206574999E-2</v>
      </c>
      <c r="Z46" s="64">
        <f t="shared" si="78"/>
        <v>1.2930010166781323</v>
      </c>
      <c r="AA46" s="74">
        <f t="shared" si="79"/>
        <v>1.6718516291306838E-3</v>
      </c>
      <c r="AB46" s="75">
        <f t="shared" si="46"/>
        <v>1.6718516291306838E-3</v>
      </c>
      <c r="AC46" s="63">
        <f t="shared" si="80"/>
        <v>1.4177427230190862</v>
      </c>
      <c r="AD46" s="63">
        <f t="shared" si="47"/>
        <v>1.7309648317283405E-3</v>
      </c>
      <c r="AE46" s="63">
        <f t="shared" si="81"/>
        <v>2.2858548480007863E-3</v>
      </c>
      <c r="AF46" s="63">
        <f t="shared" si="82"/>
        <v>0.31986576938937411</v>
      </c>
      <c r="AG46" s="63">
        <f t="shared" si="83"/>
        <v>4.0608000000000005E-2</v>
      </c>
      <c r="AH46" s="63">
        <f t="shared" si="84"/>
        <v>0</v>
      </c>
      <c r="AI46" s="63">
        <f t="shared" si="48"/>
        <v>0.22378064516129031</v>
      </c>
      <c r="AJ46" s="63">
        <f t="shared" si="49"/>
        <v>0.58654026939866521</v>
      </c>
      <c r="AK46" s="63">
        <f t="shared" si="85"/>
        <v>3.1524355849659007</v>
      </c>
      <c r="AL46" s="63">
        <f t="shared" si="86"/>
        <v>8.5582670333510438E-3</v>
      </c>
      <c r="AM46" s="63">
        <f t="shared" si="87"/>
        <v>1.1320940616974836E-2</v>
      </c>
      <c r="AN46" s="63">
        <f t="shared" si="88"/>
        <v>7.2648192662122246E-2</v>
      </c>
      <c r="AO46" s="63">
        <f t="shared" si="89"/>
        <v>403.56071023808909</v>
      </c>
      <c r="AP46" s="63">
        <f t="shared" si="50"/>
        <v>7.2648192662122246E-2</v>
      </c>
      <c r="AQ46" s="61">
        <f t="shared" si="90"/>
        <v>0.46248</v>
      </c>
      <c r="AR46" s="61">
        <f t="shared" si="91"/>
        <v>50128320000</v>
      </c>
      <c r="AS46" s="61">
        <f t="shared" si="51"/>
        <v>0.46248</v>
      </c>
      <c r="AT46" s="61">
        <f t="shared" si="52"/>
        <v>0.23869935483870966</v>
      </c>
      <c r="AU46" s="63">
        <f t="shared" si="53"/>
        <v>0.32266848811780674</v>
      </c>
      <c r="AV46" s="63">
        <f t="shared" si="92"/>
        <v>5.9739222730164368E-2</v>
      </c>
      <c r="AW46" s="63">
        <f t="shared" si="93"/>
        <v>2.9760000000000003E-3</v>
      </c>
      <c r="AX46" s="63">
        <f t="shared" si="94"/>
        <v>0.24815999999999999</v>
      </c>
      <c r="AY46" s="63">
        <f t="shared" si="95"/>
        <v>0.25113599999999997</v>
      </c>
      <c r="AZ46" s="63">
        <f t="shared" si="96"/>
        <v>2.3612045523795264</v>
      </c>
      <c r="BA46" s="64">
        <f t="shared" si="97"/>
        <v>13.6</v>
      </c>
      <c r="BB46" s="76">
        <f t="shared" si="54"/>
        <v>0.8520660176598317</v>
      </c>
      <c r="BC46" s="64">
        <f t="shared" si="55"/>
        <v>85.206601765983166</v>
      </c>
      <c r="BD46" s="63">
        <f t="shared" si="98"/>
        <v>1.0618798112971846</v>
      </c>
      <c r="BE46" s="63">
        <f t="shared" si="56"/>
        <v>0.90920875751647201</v>
      </c>
      <c r="BF46" s="63">
        <f t="shared" si="99"/>
        <v>0.58654026939866521</v>
      </c>
      <c r="BG46" s="63">
        <f t="shared" si="100"/>
        <v>0.32266848811780674</v>
      </c>
      <c r="BH46" s="63">
        <f t="shared" si="101"/>
        <v>5.9739222730164368E-2</v>
      </c>
      <c r="BI46" s="63">
        <f t="shared" si="57"/>
        <v>0.25113599999999997</v>
      </c>
      <c r="BJ46" s="63">
        <f t="shared" si="58"/>
        <v>1.6718516291306838E-3</v>
      </c>
      <c r="BK46" s="63">
        <f t="shared" si="59"/>
        <v>7.7568909206574999E-2</v>
      </c>
      <c r="BL46" s="63">
        <f t="shared" si="60"/>
        <v>2.3612045523795269</v>
      </c>
    </row>
    <row r="47" spans="3:64" x14ac:dyDescent="0.25">
      <c r="C47" s="61">
        <v>35</v>
      </c>
      <c r="D47" s="61">
        <f t="shared" si="61"/>
        <v>105</v>
      </c>
      <c r="E47" s="61">
        <f t="shared" si="62"/>
        <v>105</v>
      </c>
      <c r="F47" s="61">
        <f t="shared" si="63"/>
        <v>105</v>
      </c>
      <c r="G47" s="73">
        <f t="shared" si="64"/>
        <v>24</v>
      </c>
      <c r="H47" s="64">
        <f t="shared" si="65"/>
        <v>1</v>
      </c>
      <c r="I47" s="63">
        <f t="shared" si="102"/>
        <v>3.5</v>
      </c>
      <c r="J47" s="65">
        <f t="shared" si="66"/>
        <v>8.6117892021752077E-4</v>
      </c>
      <c r="K47" s="65">
        <f t="shared" si="67"/>
        <v>8.6117892021752077E-4</v>
      </c>
      <c r="L47" s="65">
        <f t="shared" si="68"/>
        <v>5.1791610661465239E-3</v>
      </c>
      <c r="M47" s="65">
        <f t="shared" si="69"/>
        <v>5.0000000000000001E-3</v>
      </c>
      <c r="N47" s="63">
        <f t="shared" si="70"/>
        <v>0.16827671624801144</v>
      </c>
      <c r="O47" s="64">
        <f t="shared" si="71"/>
        <v>2.1579342381486519</v>
      </c>
      <c r="P47" s="64">
        <f t="shared" si="72"/>
        <v>4.578967119074326</v>
      </c>
      <c r="Q47" s="64">
        <f t="shared" si="73"/>
        <v>2.421032880925674</v>
      </c>
      <c r="R47" s="64">
        <f t="shared" si="74"/>
        <v>0</v>
      </c>
      <c r="S47" s="64">
        <f t="shared" si="75"/>
        <v>3.555004455882981</v>
      </c>
      <c r="T47" s="63">
        <f t="shared" si="42"/>
        <v>6.5454531115789735E-2</v>
      </c>
      <c r="U47" s="63">
        <f t="shared" si="76"/>
        <v>1</v>
      </c>
      <c r="V47" s="63">
        <f t="shared" si="43"/>
        <v>1.0654545311157897</v>
      </c>
      <c r="W47" s="64">
        <f t="shared" si="44"/>
        <v>0.62294195664431717</v>
      </c>
      <c r="X47" s="63">
        <f t="shared" si="77"/>
        <v>7.7611336269570064E-2</v>
      </c>
      <c r="Y47" s="63">
        <f t="shared" si="45"/>
        <v>7.7611336269570064E-2</v>
      </c>
      <c r="Z47" s="64">
        <f t="shared" si="78"/>
        <v>1.3299692305871718</v>
      </c>
      <c r="AA47" s="74">
        <f t="shared" si="79"/>
        <v>1.7688181543086337E-3</v>
      </c>
      <c r="AB47" s="75">
        <f t="shared" si="46"/>
        <v>1.7688181543086337E-3</v>
      </c>
      <c r="AC47" s="63">
        <f t="shared" si="80"/>
        <v>1.4583177562155161</v>
      </c>
      <c r="AD47" s="63">
        <f t="shared" si="47"/>
        <v>1.8314611817971907E-3</v>
      </c>
      <c r="AE47" s="63">
        <f t="shared" si="81"/>
        <v>2.4186273062343938E-3</v>
      </c>
      <c r="AF47" s="63">
        <f t="shared" si="82"/>
        <v>0.32836646121847041</v>
      </c>
      <c r="AG47" s="63">
        <f t="shared" si="83"/>
        <v>4.0608000000000005E-2</v>
      </c>
      <c r="AH47" s="63">
        <f t="shared" si="84"/>
        <v>0</v>
      </c>
      <c r="AI47" s="63">
        <f t="shared" si="48"/>
        <v>0.22378064516129031</v>
      </c>
      <c r="AJ47" s="63">
        <f t="shared" si="49"/>
        <v>0.59517373368599513</v>
      </c>
      <c r="AK47" s="63">
        <f t="shared" si="85"/>
        <v>3.2421236872232977</v>
      </c>
      <c r="AL47" s="63">
        <f t="shared" si="86"/>
        <v>9.0521668246937737E-3</v>
      </c>
      <c r="AM47" s="63">
        <f t="shared" si="87"/>
        <v>1.1975745006123847E-2</v>
      </c>
      <c r="AN47" s="63">
        <f t="shared" si="88"/>
        <v>7.4903083632280543E-2</v>
      </c>
      <c r="AO47" s="63">
        <f t="shared" si="89"/>
        <v>416.08662957731838</v>
      </c>
      <c r="AP47" s="63">
        <f t="shared" si="50"/>
        <v>7.4903083632280543E-2</v>
      </c>
      <c r="AQ47" s="61">
        <f t="shared" si="90"/>
        <v>0.46248</v>
      </c>
      <c r="AR47" s="61">
        <f t="shared" si="91"/>
        <v>50128320000</v>
      </c>
      <c r="AS47" s="61">
        <f t="shared" si="51"/>
        <v>0.46248</v>
      </c>
      <c r="AT47" s="61">
        <f t="shared" si="52"/>
        <v>0.23869935483870966</v>
      </c>
      <c r="AU47" s="63">
        <f t="shared" si="53"/>
        <v>0.32557818347711404</v>
      </c>
      <c r="AV47" s="63">
        <f t="shared" si="92"/>
        <v>6.3190283406739253E-2</v>
      </c>
      <c r="AW47" s="63">
        <f t="shared" si="93"/>
        <v>2.9760000000000003E-3</v>
      </c>
      <c r="AX47" s="63">
        <f t="shared" si="94"/>
        <v>0.24815999999999999</v>
      </c>
      <c r="AY47" s="63">
        <f t="shared" si="95"/>
        <v>0.25113599999999997</v>
      </c>
      <c r="AZ47" s="63">
        <f t="shared" si="96"/>
        <v>2.3799128861095165</v>
      </c>
      <c r="BA47" s="64">
        <f t="shared" si="97"/>
        <v>14</v>
      </c>
      <c r="BB47" s="76">
        <f t="shared" si="54"/>
        <v>0.85470540028770681</v>
      </c>
      <c r="BC47" s="64">
        <f t="shared" si="55"/>
        <v>85.470540028770685</v>
      </c>
      <c r="BD47" s="63">
        <f t="shared" si="98"/>
        <v>1.0654545311157897</v>
      </c>
      <c r="BE47" s="63">
        <f t="shared" si="56"/>
        <v>0.92075191716310911</v>
      </c>
      <c r="BF47" s="63">
        <f t="shared" si="99"/>
        <v>0.59517373368599513</v>
      </c>
      <c r="BG47" s="63">
        <f t="shared" si="100"/>
        <v>0.32557818347711404</v>
      </c>
      <c r="BH47" s="63">
        <f t="shared" si="101"/>
        <v>6.3190283406739253E-2</v>
      </c>
      <c r="BI47" s="63">
        <f t="shared" si="57"/>
        <v>0.25113599999999997</v>
      </c>
      <c r="BJ47" s="63">
        <f t="shared" si="58"/>
        <v>1.7688181543086337E-3</v>
      </c>
      <c r="BK47" s="63">
        <f t="shared" si="59"/>
        <v>7.7611336269570064E-2</v>
      </c>
      <c r="BL47" s="63">
        <f t="shared" si="60"/>
        <v>2.3799128861095165</v>
      </c>
    </row>
    <row r="48" spans="3:64" x14ac:dyDescent="0.25">
      <c r="C48" s="61">
        <v>36</v>
      </c>
      <c r="D48" s="61">
        <f t="shared" si="61"/>
        <v>105</v>
      </c>
      <c r="E48" s="61">
        <f t="shared" si="62"/>
        <v>105</v>
      </c>
      <c r="F48" s="61">
        <f t="shared" si="63"/>
        <v>105</v>
      </c>
      <c r="G48" s="73">
        <f t="shared" si="64"/>
        <v>24</v>
      </c>
      <c r="H48" s="64">
        <f t="shared" si="65"/>
        <v>1</v>
      </c>
      <c r="I48" s="63">
        <f t="shared" si="102"/>
        <v>3.6</v>
      </c>
      <c r="J48" s="65">
        <f t="shared" si="66"/>
        <v>8.6117892021752077E-4</v>
      </c>
      <c r="K48" s="65">
        <f t="shared" si="67"/>
        <v>8.6117892021752077E-4</v>
      </c>
      <c r="L48" s="65">
        <f t="shared" si="68"/>
        <v>5.1791610661465239E-3</v>
      </c>
      <c r="M48" s="65">
        <f t="shared" si="69"/>
        <v>5.0000000000000001E-3</v>
      </c>
      <c r="N48" s="63">
        <f t="shared" si="70"/>
        <v>0.16832271766462126</v>
      </c>
      <c r="O48" s="64">
        <f t="shared" si="71"/>
        <v>2.1585241476389192</v>
      </c>
      <c r="P48" s="64">
        <f t="shared" si="72"/>
        <v>4.6792620738194595</v>
      </c>
      <c r="Q48" s="64">
        <f t="shared" si="73"/>
        <v>2.5207379261805407</v>
      </c>
      <c r="R48" s="64">
        <f t="shared" si="74"/>
        <v>0</v>
      </c>
      <c r="S48" s="64">
        <f t="shared" si="75"/>
        <v>3.6535282775232076</v>
      </c>
      <c r="T48" s="63">
        <f t="shared" si="42"/>
        <v>6.913283445610334E-2</v>
      </c>
      <c r="U48" s="63">
        <f t="shared" si="76"/>
        <v>1</v>
      </c>
      <c r="V48" s="63">
        <f t="shared" si="43"/>
        <v>1.0691328344561033</v>
      </c>
      <c r="W48" s="64">
        <f t="shared" si="44"/>
        <v>0.62311224884581884</v>
      </c>
      <c r="X48" s="63">
        <f t="shared" si="77"/>
        <v>7.7653774932338743E-2</v>
      </c>
      <c r="Y48" s="63">
        <f t="shared" si="45"/>
        <v>7.7653774932338743E-2</v>
      </c>
      <c r="Z48" s="64">
        <f t="shared" si="78"/>
        <v>1.3669771642421715</v>
      </c>
      <c r="AA48" s="74">
        <f t="shared" si="79"/>
        <v>1.8686265675595688E-3</v>
      </c>
      <c r="AB48" s="75">
        <f t="shared" si="46"/>
        <v>1.8686265675595688E-3</v>
      </c>
      <c r="AC48" s="63">
        <f t="shared" si="80"/>
        <v>1.4989385888358244</v>
      </c>
      <c r="AD48" s="63">
        <f t="shared" si="47"/>
        <v>1.9349113459273181E-3</v>
      </c>
      <c r="AE48" s="63">
        <f t="shared" si="81"/>
        <v>2.5553091622032543E-3</v>
      </c>
      <c r="AF48" s="63">
        <f t="shared" si="82"/>
        <v>0.33686715304756665</v>
      </c>
      <c r="AG48" s="63">
        <f t="shared" si="83"/>
        <v>4.0608000000000005E-2</v>
      </c>
      <c r="AH48" s="63">
        <f t="shared" si="84"/>
        <v>0</v>
      </c>
      <c r="AI48" s="63">
        <f t="shared" si="48"/>
        <v>0.22378064516129031</v>
      </c>
      <c r="AJ48" s="63">
        <f t="shared" si="49"/>
        <v>0.60381110737106014</v>
      </c>
      <c r="AK48" s="63">
        <f t="shared" si="85"/>
        <v>3.3318841488804147</v>
      </c>
      <c r="AL48" s="63">
        <f t="shared" si="86"/>
        <v>9.5603364303269833E-3</v>
      </c>
      <c r="AM48" s="63">
        <f t="shared" si="87"/>
        <v>1.2649635912242078E-2</v>
      </c>
      <c r="AN48" s="63">
        <f t="shared" si="88"/>
        <v>7.7157974602438839E-2</v>
      </c>
      <c r="AO48" s="63">
        <f t="shared" si="89"/>
        <v>428.61254891654778</v>
      </c>
      <c r="AP48" s="63">
        <f t="shared" si="50"/>
        <v>7.7157974602438839E-2</v>
      </c>
      <c r="AQ48" s="61">
        <f t="shared" si="90"/>
        <v>0.46248</v>
      </c>
      <c r="AR48" s="61">
        <f t="shared" si="91"/>
        <v>50128320000</v>
      </c>
      <c r="AS48" s="61">
        <f t="shared" si="51"/>
        <v>0.46248</v>
      </c>
      <c r="AT48" s="61">
        <f t="shared" si="52"/>
        <v>0.23869935483870966</v>
      </c>
      <c r="AU48" s="63">
        <f t="shared" si="53"/>
        <v>0.32850696535339058</v>
      </c>
      <c r="AV48" s="63">
        <f t="shared" si="92"/>
        <v>6.6741344373308489E-2</v>
      </c>
      <c r="AW48" s="63">
        <f t="shared" si="93"/>
        <v>2.9760000000000003E-3</v>
      </c>
      <c r="AX48" s="63">
        <f t="shared" si="94"/>
        <v>0.24815999999999999</v>
      </c>
      <c r="AY48" s="63">
        <f t="shared" si="95"/>
        <v>0.25113599999999997</v>
      </c>
      <c r="AZ48" s="63">
        <f t="shared" si="96"/>
        <v>2.3988506530537608</v>
      </c>
      <c r="BA48" s="64">
        <f t="shared" si="97"/>
        <v>14.4</v>
      </c>
      <c r="BB48" s="76">
        <f t="shared" si="54"/>
        <v>0.85720150130522832</v>
      </c>
      <c r="BC48" s="64">
        <f t="shared" si="55"/>
        <v>85.720150130522825</v>
      </c>
      <c r="BD48" s="63">
        <f t="shared" si="98"/>
        <v>1.0691328344561033</v>
      </c>
      <c r="BE48" s="63">
        <f t="shared" si="56"/>
        <v>0.93231807272445066</v>
      </c>
      <c r="BF48" s="63">
        <f t="shared" si="99"/>
        <v>0.60381110737106014</v>
      </c>
      <c r="BG48" s="63">
        <f t="shared" si="100"/>
        <v>0.32850696535339058</v>
      </c>
      <c r="BH48" s="63">
        <f t="shared" si="101"/>
        <v>6.6741344373308489E-2</v>
      </c>
      <c r="BI48" s="63">
        <f t="shared" si="57"/>
        <v>0.25113599999999997</v>
      </c>
      <c r="BJ48" s="63">
        <f t="shared" si="58"/>
        <v>1.8686265675595688E-3</v>
      </c>
      <c r="BK48" s="63">
        <f t="shared" si="59"/>
        <v>7.7653774932338743E-2</v>
      </c>
      <c r="BL48" s="63">
        <f t="shared" si="60"/>
        <v>2.3988506530537608</v>
      </c>
    </row>
    <row r="49" spans="3:70" x14ac:dyDescent="0.25">
      <c r="C49" s="61">
        <v>37</v>
      </c>
      <c r="D49" s="61">
        <f t="shared" si="61"/>
        <v>105</v>
      </c>
      <c r="E49" s="61">
        <f t="shared" si="62"/>
        <v>105</v>
      </c>
      <c r="F49" s="61">
        <f t="shared" si="63"/>
        <v>105</v>
      </c>
      <c r="G49" s="73">
        <f t="shared" si="64"/>
        <v>24</v>
      </c>
      <c r="H49" s="64">
        <f t="shared" si="65"/>
        <v>1</v>
      </c>
      <c r="I49" s="63">
        <f t="shared" si="102"/>
        <v>3.7</v>
      </c>
      <c r="J49" s="65">
        <f t="shared" si="66"/>
        <v>8.6117892021752077E-4</v>
      </c>
      <c r="K49" s="65">
        <f t="shared" si="67"/>
        <v>8.6117892021752077E-4</v>
      </c>
      <c r="L49" s="65">
        <f t="shared" si="68"/>
        <v>5.1791610661465239E-3</v>
      </c>
      <c r="M49" s="65">
        <f t="shared" si="69"/>
        <v>5.0000000000000001E-3</v>
      </c>
      <c r="N49" s="63">
        <f t="shared" si="70"/>
        <v>0.16836871908123111</v>
      </c>
      <c r="O49" s="64">
        <f t="shared" si="71"/>
        <v>2.1591140571291865</v>
      </c>
      <c r="P49" s="64">
        <f t="shared" si="72"/>
        <v>4.779557028564593</v>
      </c>
      <c r="Q49" s="64">
        <f t="shared" si="73"/>
        <v>2.6204429714354069</v>
      </c>
      <c r="R49" s="64">
        <f t="shared" si="74"/>
        <v>0</v>
      </c>
      <c r="S49" s="64">
        <f t="shared" si="75"/>
        <v>3.7521302117563038</v>
      </c>
      <c r="T49" s="63">
        <f t="shared" si="42"/>
        <v>7.2914721318125306E-2</v>
      </c>
      <c r="U49" s="63">
        <f t="shared" si="76"/>
        <v>1</v>
      </c>
      <c r="V49" s="63">
        <f t="shared" si="43"/>
        <v>1.0729147213181254</v>
      </c>
      <c r="W49" s="64">
        <f t="shared" si="44"/>
        <v>0.6232825410473205</v>
      </c>
      <c r="X49" s="63">
        <f t="shared" si="77"/>
        <v>7.7696225194880952E-2</v>
      </c>
      <c r="Y49" s="63">
        <f t="shared" si="45"/>
        <v>7.7696225194880952E-2</v>
      </c>
      <c r="Z49" s="64">
        <f t="shared" si="78"/>
        <v>1.4040223256463336</v>
      </c>
      <c r="AA49" s="74">
        <f t="shared" si="79"/>
        <v>1.971278690913339E-3</v>
      </c>
      <c r="AB49" s="75">
        <f t="shared" si="46"/>
        <v>1.971278690913339E-3</v>
      </c>
      <c r="AC49" s="63">
        <f t="shared" si="80"/>
        <v>1.5396024921354208</v>
      </c>
      <c r="AD49" s="63">
        <f t="shared" si="47"/>
        <v>2.0413177010526317E-3</v>
      </c>
      <c r="AE49" s="63">
        <f t="shared" si="81"/>
        <v>2.6959041582153434E-3</v>
      </c>
      <c r="AF49" s="63">
        <f t="shared" si="82"/>
        <v>0.34536784487666289</v>
      </c>
      <c r="AG49" s="63">
        <f t="shared" si="83"/>
        <v>4.0608000000000005E-2</v>
      </c>
      <c r="AH49" s="63">
        <f t="shared" si="84"/>
        <v>0</v>
      </c>
      <c r="AI49" s="63">
        <f t="shared" si="48"/>
        <v>0.22378064516129031</v>
      </c>
      <c r="AJ49" s="63">
        <f t="shared" si="49"/>
        <v>0.61245239419616859</v>
      </c>
      <c r="AK49" s="63">
        <f t="shared" si="85"/>
        <v>3.4217108720908618</v>
      </c>
      <c r="AL49" s="63">
        <f t="shared" si="86"/>
        <v>1.0082773473316752E-2</v>
      </c>
      <c r="AM49" s="63">
        <f t="shared" si="87"/>
        <v>1.3342624588772601E-2</v>
      </c>
      <c r="AN49" s="63">
        <f t="shared" si="88"/>
        <v>7.9412865572597136E-2</v>
      </c>
      <c r="AO49" s="63">
        <f t="shared" si="89"/>
        <v>441.13846825577707</v>
      </c>
      <c r="AP49" s="63">
        <f t="shared" si="50"/>
        <v>7.9412865572597136E-2</v>
      </c>
      <c r="AQ49" s="61">
        <f t="shared" si="90"/>
        <v>0.46248</v>
      </c>
      <c r="AR49" s="61">
        <f t="shared" si="91"/>
        <v>50128320000</v>
      </c>
      <c r="AS49" s="61">
        <f t="shared" si="51"/>
        <v>0.46248</v>
      </c>
      <c r="AT49" s="61">
        <f t="shared" si="52"/>
        <v>0.23869935483870966</v>
      </c>
      <c r="AU49" s="63">
        <f t="shared" si="53"/>
        <v>0.33145484500007938</v>
      </c>
      <c r="AV49" s="63">
        <f t="shared" si="92"/>
        <v>7.0392405629872021E-2</v>
      </c>
      <c r="AW49" s="63">
        <f t="shared" si="93"/>
        <v>2.9760000000000003E-3</v>
      </c>
      <c r="AX49" s="63">
        <f t="shared" si="94"/>
        <v>0.24815999999999999</v>
      </c>
      <c r="AY49" s="63">
        <f t="shared" si="95"/>
        <v>0.25113599999999997</v>
      </c>
      <c r="AZ49" s="63">
        <f t="shared" si="96"/>
        <v>2.4180178700300394</v>
      </c>
      <c r="BA49" s="64">
        <f t="shared" si="97"/>
        <v>14.8</v>
      </c>
      <c r="BB49" s="76">
        <f t="shared" si="54"/>
        <v>0.85956467879854626</v>
      </c>
      <c r="BC49" s="64">
        <f t="shared" si="55"/>
        <v>85.956467879854628</v>
      </c>
      <c r="BD49" s="63">
        <f t="shared" si="98"/>
        <v>1.0729147213181254</v>
      </c>
      <c r="BE49" s="63">
        <f t="shared" si="56"/>
        <v>0.94390723919624797</v>
      </c>
      <c r="BF49" s="63">
        <f t="shared" si="99"/>
        <v>0.61245239419616859</v>
      </c>
      <c r="BG49" s="63">
        <f t="shared" si="100"/>
        <v>0.33145484500007938</v>
      </c>
      <c r="BH49" s="63">
        <f t="shared" si="101"/>
        <v>7.0392405629872021E-2</v>
      </c>
      <c r="BI49" s="63">
        <f t="shared" si="57"/>
        <v>0.25113599999999997</v>
      </c>
      <c r="BJ49" s="63">
        <f t="shared" si="58"/>
        <v>1.971278690913339E-3</v>
      </c>
      <c r="BK49" s="63">
        <f t="shared" si="59"/>
        <v>7.7696225194880952E-2</v>
      </c>
      <c r="BL49" s="63">
        <f t="shared" si="60"/>
        <v>2.418017870030039</v>
      </c>
    </row>
    <row r="50" spans="3:70" x14ac:dyDescent="0.25">
      <c r="C50" s="61">
        <v>38</v>
      </c>
      <c r="D50" s="61">
        <f t="shared" si="61"/>
        <v>105</v>
      </c>
      <c r="E50" s="61">
        <f t="shared" si="62"/>
        <v>105</v>
      </c>
      <c r="F50" s="61">
        <f t="shared" si="63"/>
        <v>105</v>
      </c>
      <c r="G50" s="73">
        <f t="shared" si="64"/>
        <v>24</v>
      </c>
      <c r="H50" s="64">
        <f t="shared" si="65"/>
        <v>1</v>
      </c>
      <c r="I50" s="63">
        <f t="shared" si="102"/>
        <v>3.8</v>
      </c>
      <c r="J50" s="65">
        <f t="shared" si="66"/>
        <v>8.6117892021752077E-4</v>
      </c>
      <c r="K50" s="65">
        <f t="shared" si="67"/>
        <v>8.6117892021752077E-4</v>
      </c>
      <c r="L50" s="65">
        <f t="shared" si="68"/>
        <v>5.1791610661465239E-3</v>
      </c>
      <c r="M50" s="65">
        <f t="shared" si="69"/>
        <v>5.0000000000000001E-3</v>
      </c>
      <c r="N50" s="63">
        <f t="shared" si="70"/>
        <v>0.16841472049784098</v>
      </c>
      <c r="O50" s="64">
        <f t="shared" si="71"/>
        <v>2.1597039666194542</v>
      </c>
      <c r="P50" s="64">
        <f t="shared" si="72"/>
        <v>4.8798519833097274</v>
      </c>
      <c r="Q50" s="64">
        <f t="shared" si="73"/>
        <v>2.7201480166902727</v>
      </c>
      <c r="R50" s="64">
        <f t="shared" si="74"/>
        <v>0</v>
      </c>
      <c r="S50" s="64">
        <f t="shared" si="75"/>
        <v>3.8508042582408657</v>
      </c>
      <c r="T50" s="63">
        <f t="shared" si="42"/>
        <v>7.6800191701855716E-2</v>
      </c>
      <c r="U50" s="63">
        <f t="shared" si="76"/>
        <v>1</v>
      </c>
      <c r="V50" s="63">
        <f t="shared" si="43"/>
        <v>1.0768001917018557</v>
      </c>
      <c r="W50" s="64">
        <f t="shared" si="44"/>
        <v>0.62345283324882228</v>
      </c>
      <c r="X50" s="63">
        <f t="shared" si="77"/>
        <v>7.7738687057196776E-2</v>
      </c>
      <c r="Y50" s="63">
        <f t="shared" si="45"/>
        <v>7.7738687057196776E-2</v>
      </c>
      <c r="Z50" s="64">
        <f t="shared" si="78"/>
        <v>1.44110247584685</v>
      </c>
      <c r="AA50" s="74">
        <f t="shared" si="79"/>
        <v>2.0767763458919212E-3</v>
      </c>
      <c r="AB50" s="75">
        <f t="shared" si="46"/>
        <v>2.0767763458919212E-3</v>
      </c>
      <c r="AC50" s="63">
        <f t="shared" si="80"/>
        <v>1.5803070145550384</v>
      </c>
      <c r="AD50" s="63">
        <f t="shared" si="47"/>
        <v>2.1506826241070444E-3</v>
      </c>
      <c r="AE50" s="63">
        <f t="shared" si="81"/>
        <v>2.8404160545178127E-3</v>
      </c>
      <c r="AF50" s="63">
        <f t="shared" si="82"/>
        <v>0.35386853670575918</v>
      </c>
      <c r="AG50" s="63">
        <f t="shared" si="83"/>
        <v>4.0608000000000005E-2</v>
      </c>
      <c r="AH50" s="63">
        <f t="shared" si="84"/>
        <v>0</v>
      </c>
      <c r="AI50" s="63">
        <f t="shared" si="48"/>
        <v>0.22378064516129031</v>
      </c>
      <c r="AJ50" s="63">
        <f t="shared" si="49"/>
        <v>0.62109759792156738</v>
      </c>
      <c r="AK50" s="63">
        <f t="shared" si="85"/>
        <v>3.5115983789485559</v>
      </c>
      <c r="AL50" s="63">
        <f t="shared" si="86"/>
        <v>1.0619475576729178E-2</v>
      </c>
      <c r="AM50" s="63">
        <f t="shared" si="87"/>
        <v>1.4054722699825743E-2</v>
      </c>
      <c r="AN50" s="63">
        <f t="shared" si="88"/>
        <v>8.1667756542755432E-2</v>
      </c>
      <c r="AO50" s="63">
        <f t="shared" si="89"/>
        <v>453.66438759500647</v>
      </c>
      <c r="AP50" s="63">
        <f t="shared" si="50"/>
        <v>8.1667756542755432E-2</v>
      </c>
      <c r="AQ50" s="61">
        <f t="shared" si="90"/>
        <v>0.46248</v>
      </c>
      <c r="AR50" s="61">
        <f t="shared" si="91"/>
        <v>50128320000</v>
      </c>
      <c r="AS50" s="61">
        <f t="shared" si="51"/>
        <v>0.46248</v>
      </c>
      <c r="AT50" s="61">
        <f t="shared" si="52"/>
        <v>0.23869935483870966</v>
      </c>
      <c r="AU50" s="63">
        <f t="shared" si="53"/>
        <v>0.33442183408129084</v>
      </c>
      <c r="AV50" s="63">
        <f t="shared" si="92"/>
        <v>7.4143467176429931E-2</v>
      </c>
      <c r="AW50" s="63">
        <f t="shared" si="93"/>
        <v>2.9760000000000003E-3</v>
      </c>
      <c r="AX50" s="63">
        <f t="shared" si="94"/>
        <v>0.24815999999999999</v>
      </c>
      <c r="AY50" s="63">
        <f t="shared" si="95"/>
        <v>0.25113599999999997</v>
      </c>
      <c r="AZ50" s="63">
        <f t="shared" si="96"/>
        <v>2.4374145542842323</v>
      </c>
      <c r="BA50" s="64">
        <f t="shared" si="97"/>
        <v>15.2</v>
      </c>
      <c r="BB50" s="76">
        <f t="shared" si="54"/>
        <v>0.86180431679584413</v>
      </c>
      <c r="BC50" s="64">
        <f t="shared" si="55"/>
        <v>86.180431679584416</v>
      </c>
      <c r="BD50" s="63">
        <f t="shared" si="98"/>
        <v>1.0768001917018557</v>
      </c>
      <c r="BE50" s="63">
        <f t="shared" si="56"/>
        <v>0.95551943200285816</v>
      </c>
      <c r="BF50" s="63">
        <f t="shared" si="99"/>
        <v>0.62109759792156738</v>
      </c>
      <c r="BG50" s="63">
        <f t="shared" si="100"/>
        <v>0.33442183408129084</v>
      </c>
      <c r="BH50" s="63">
        <f t="shared" si="101"/>
        <v>7.4143467176429931E-2</v>
      </c>
      <c r="BI50" s="63">
        <f t="shared" si="57"/>
        <v>0.25113599999999997</v>
      </c>
      <c r="BJ50" s="63">
        <f t="shared" si="58"/>
        <v>2.0767763458919212E-3</v>
      </c>
      <c r="BK50" s="63">
        <f t="shared" si="59"/>
        <v>7.7738687057196776E-2</v>
      </c>
      <c r="BL50" s="63">
        <f t="shared" si="60"/>
        <v>2.4374145542842323</v>
      </c>
    </row>
    <row r="51" spans="3:70" x14ac:dyDescent="0.25">
      <c r="C51" s="61">
        <v>39</v>
      </c>
      <c r="D51" s="61">
        <f t="shared" si="61"/>
        <v>105</v>
      </c>
      <c r="E51" s="61">
        <f t="shared" si="62"/>
        <v>105</v>
      </c>
      <c r="F51" s="61">
        <f t="shared" si="63"/>
        <v>105</v>
      </c>
      <c r="G51" s="73">
        <f t="shared" si="64"/>
        <v>24</v>
      </c>
      <c r="H51" s="64">
        <f t="shared" si="65"/>
        <v>1</v>
      </c>
      <c r="I51" s="63">
        <f t="shared" si="102"/>
        <v>3.9</v>
      </c>
      <c r="J51" s="65">
        <f t="shared" si="66"/>
        <v>8.6117892021752077E-4</v>
      </c>
      <c r="K51" s="65">
        <f t="shared" si="67"/>
        <v>8.6117892021752077E-4</v>
      </c>
      <c r="L51" s="65">
        <f t="shared" si="68"/>
        <v>5.1791610661465239E-3</v>
      </c>
      <c r="M51" s="65">
        <f t="shared" si="69"/>
        <v>5.0000000000000001E-3</v>
      </c>
      <c r="N51" s="63">
        <f t="shared" si="70"/>
        <v>0.16846072191445083</v>
      </c>
      <c r="O51" s="64">
        <f t="shared" si="71"/>
        <v>2.1602938761097219</v>
      </c>
      <c r="P51" s="64">
        <f t="shared" si="72"/>
        <v>4.9801469380548609</v>
      </c>
      <c r="Q51" s="64">
        <f t="shared" si="73"/>
        <v>2.819853061945139</v>
      </c>
      <c r="R51" s="64">
        <f t="shared" si="74"/>
        <v>0</v>
      </c>
      <c r="S51" s="64">
        <f t="shared" si="75"/>
        <v>3.9495450120990432</v>
      </c>
      <c r="T51" s="63">
        <f t="shared" si="42"/>
        <v>8.078924560729453E-2</v>
      </c>
      <c r="U51" s="63">
        <f t="shared" si="76"/>
        <v>1</v>
      </c>
      <c r="V51" s="63">
        <f t="shared" si="43"/>
        <v>1.0807892456072945</v>
      </c>
      <c r="W51" s="64">
        <f t="shared" si="44"/>
        <v>0.62362312545032406</v>
      </c>
      <c r="X51" s="63">
        <f t="shared" si="77"/>
        <v>7.778116051928613E-2</v>
      </c>
      <c r="Y51" s="63">
        <f t="shared" si="45"/>
        <v>7.778116051928613E-2</v>
      </c>
      <c r="Z51" s="64">
        <f t="shared" si="78"/>
        <v>1.4782155977763933</v>
      </c>
      <c r="AA51" s="74">
        <f t="shared" si="79"/>
        <v>2.18512135350942E-3</v>
      </c>
      <c r="AB51" s="75">
        <f t="shared" si="46"/>
        <v>2.18512135350942E-3</v>
      </c>
      <c r="AC51" s="63">
        <f t="shared" si="80"/>
        <v>1.6210499475898055</v>
      </c>
      <c r="AD51" s="63">
        <f t="shared" si="47"/>
        <v>2.2630084920244637E-3</v>
      </c>
      <c r="AE51" s="63">
        <f t="shared" si="81"/>
        <v>2.9888486293500318E-3</v>
      </c>
      <c r="AF51" s="63">
        <f t="shared" si="82"/>
        <v>0.36236922853485543</v>
      </c>
      <c r="AG51" s="63">
        <f t="shared" si="83"/>
        <v>4.0608000000000005E-2</v>
      </c>
      <c r="AH51" s="63">
        <f t="shared" si="84"/>
        <v>0</v>
      </c>
      <c r="AI51" s="63">
        <f t="shared" si="48"/>
        <v>0.22378064516129031</v>
      </c>
      <c r="AJ51" s="63">
        <f t="shared" si="49"/>
        <v>0.62974672232549578</v>
      </c>
      <c r="AK51" s="63">
        <f t="shared" si="85"/>
        <v>3.6015417351483685</v>
      </c>
      <c r="AL51" s="63">
        <f t="shared" si="86"/>
        <v>1.1170440363630352E-2</v>
      </c>
      <c r="AM51" s="63">
        <f t="shared" si="87"/>
        <v>1.4785942320746731E-2</v>
      </c>
      <c r="AN51" s="63">
        <f t="shared" si="88"/>
        <v>8.3922647512913728E-2</v>
      </c>
      <c r="AO51" s="63">
        <f t="shared" si="89"/>
        <v>466.19030693423576</v>
      </c>
      <c r="AP51" s="63">
        <f t="shared" si="50"/>
        <v>8.3922647512913728E-2</v>
      </c>
      <c r="AQ51" s="61">
        <f t="shared" si="90"/>
        <v>0.46248</v>
      </c>
      <c r="AR51" s="61">
        <f t="shared" si="91"/>
        <v>50128320000</v>
      </c>
      <c r="AS51" s="61">
        <f t="shared" si="51"/>
        <v>0.46248</v>
      </c>
      <c r="AT51" s="61">
        <f t="shared" si="52"/>
        <v>0.23869935483870966</v>
      </c>
      <c r="AU51" s="63">
        <f t="shared" si="53"/>
        <v>0.33740794467237012</v>
      </c>
      <c r="AV51" s="63">
        <f t="shared" si="92"/>
        <v>7.799452901298215E-2</v>
      </c>
      <c r="AW51" s="63">
        <f t="shared" si="93"/>
        <v>2.9760000000000003E-3</v>
      </c>
      <c r="AX51" s="63">
        <f t="shared" si="94"/>
        <v>0.24815999999999999</v>
      </c>
      <c r="AY51" s="63">
        <f t="shared" si="95"/>
        <v>0.25113599999999997</v>
      </c>
      <c r="AZ51" s="63">
        <f t="shared" si="96"/>
        <v>2.4570407234909379</v>
      </c>
      <c r="BA51" s="64">
        <f t="shared" si="97"/>
        <v>15.6</v>
      </c>
      <c r="BB51" s="76">
        <f t="shared" si="54"/>
        <v>0.8639289371322898</v>
      </c>
      <c r="BC51" s="64">
        <f t="shared" si="55"/>
        <v>86.392893713228986</v>
      </c>
      <c r="BD51" s="63">
        <f t="shared" si="98"/>
        <v>1.0807892456072945</v>
      </c>
      <c r="BE51" s="63">
        <f t="shared" si="56"/>
        <v>0.9671546669978659</v>
      </c>
      <c r="BF51" s="63">
        <f t="shared" si="99"/>
        <v>0.62974672232549578</v>
      </c>
      <c r="BG51" s="63">
        <f t="shared" si="100"/>
        <v>0.33740794467237012</v>
      </c>
      <c r="BH51" s="63">
        <f t="shared" si="101"/>
        <v>7.799452901298215E-2</v>
      </c>
      <c r="BI51" s="63">
        <f t="shared" si="57"/>
        <v>0.25113599999999997</v>
      </c>
      <c r="BJ51" s="63">
        <f t="shared" si="58"/>
        <v>2.18512135350942E-3</v>
      </c>
      <c r="BK51" s="63">
        <f t="shared" si="59"/>
        <v>7.778116051928613E-2</v>
      </c>
      <c r="BL51" s="63">
        <f t="shared" si="60"/>
        <v>2.4570407234909379</v>
      </c>
    </row>
    <row r="52" spans="3:70" s="81" customFormat="1" x14ac:dyDescent="0.25">
      <c r="C52" s="81">
        <v>40</v>
      </c>
      <c r="D52" s="61">
        <f t="shared" si="61"/>
        <v>105</v>
      </c>
      <c r="E52" s="61">
        <f t="shared" si="62"/>
        <v>105</v>
      </c>
      <c r="F52" s="61">
        <f t="shared" si="63"/>
        <v>105</v>
      </c>
      <c r="G52" s="89">
        <f t="shared" si="64"/>
        <v>24</v>
      </c>
      <c r="H52" s="85">
        <f t="shared" si="65"/>
        <v>1</v>
      </c>
      <c r="I52" s="86">
        <f t="shared" si="102"/>
        <v>4</v>
      </c>
      <c r="J52" s="90">
        <f t="shared" si="66"/>
        <v>8.6117892021752077E-4</v>
      </c>
      <c r="K52" s="90">
        <f t="shared" si="67"/>
        <v>8.6117892021752077E-4</v>
      </c>
      <c r="L52" s="90">
        <f t="shared" si="68"/>
        <v>5.1791610661465239E-3</v>
      </c>
      <c r="M52" s="90">
        <f t="shared" si="69"/>
        <v>5.0000000000000001E-3</v>
      </c>
      <c r="N52" s="86">
        <f t="shared" si="70"/>
        <v>0.16850672333106068</v>
      </c>
      <c r="O52" s="85">
        <f t="shared" si="71"/>
        <v>2.1608837855999892</v>
      </c>
      <c r="P52" s="85">
        <f t="shared" si="72"/>
        <v>5.0804418927999944</v>
      </c>
      <c r="Q52" s="85">
        <f t="shared" si="73"/>
        <v>2.9195581072000056</v>
      </c>
      <c r="R52" s="85">
        <f t="shared" si="74"/>
        <v>0</v>
      </c>
      <c r="S52" s="85">
        <f t="shared" si="75"/>
        <v>4.0483475922783292</v>
      </c>
      <c r="T52" s="86">
        <f t="shared" si="42"/>
        <v>8.4881883034441746E-2</v>
      </c>
      <c r="U52" s="86">
        <f t="shared" si="76"/>
        <v>1</v>
      </c>
      <c r="V52" s="86">
        <f t="shared" si="43"/>
        <v>1.0848818830344418</v>
      </c>
      <c r="W52" s="85">
        <f t="shared" si="44"/>
        <v>0.62379341765182572</v>
      </c>
      <c r="X52" s="86">
        <f t="shared" si="77"/>
        <v>7.7823645581149015E-2</v>
      </c>
      <c r="Y52" s="86">
        <f t="shared" si="45"/>
        <v>7.7823645581149015E-2</v>
      </c>
      <c r="Z52" s="85">
        <f t="shared" si="78"/>
        <v>1.5153598695597243</v>
      </c>
      <c r="AA52" s="88">
        <f t="shared" si="79"/>
        <v>2.2963155342720647E-3</v>
      </c>
      <c r="AB52" s="87">
        <f t="shared" si="46"/>
        <v>2.2963155342720647E-3</v>
      </c>
      <c r="AC52" s="86">
        <f t="shared" si="80"/>
        <v>1.6618292965493648</v>
      </c>
      <c r="AD52" s="86">
        <f t="shared" si="47"/>
        <v>2.3782976817387992E-3</v>
      </c>
      <c r="AE52" s="86">
        <f t="shared" si="81"/>
        <v>3.1412056789969023E-3</v>
      </c>
      <c r="AF52" s="86">
        <f t="shared" si="82"/>
        <v>0.37086992036395167</v>
      </c>
      <c r="AG52" s="86">
        <f t="shared" si="83"/>
        <v>4.0608000000000005E-2</v>
      </c>
      <c r="AH52" s="86">
        <f t="shared" si="84"/>
        <v>0</v>
      </c>
      <c r="AI52" s="63">
        <f t="shared" si="48"/>
        <v>0.22378064516129031</v>
      </c>
      <c r="AJ52" s="63">
        <f t="shared" si="49"/>
        <v>0.63839977120423885</v>
      </c>
      <c r="AK52" s="86">
        <f t="shared" si="85"/>
        <v>3.6915364845868703</v>
      </c>
      <c r="AL52" s="86">
        <f t="shared" si="86"/>
        <v>1.1735665457086359E-2</v>
      </c>
      <c r="AM52" s="86">
        <f t="shared" si="87"/>
        <v>1.5536295938705572E-2</v>
      </c>
      <c r="AN52" s="86">
        <f t="shared" si="88"/>
        <v>8.6177538483072053E-2</v>
      </c>
      <c r="AO52" s="86">
        <f t="shared" si="89"/>
        <v>478.71622627346517</v>
      </c>
      <c r="AP52" s="86">
        <f t="shared" si="50"/>
        <v>8.6177538483072053E-2</v>
      </c>
      <c r="AQ52" s="81">
        <f t="shared" si="90"/>
        <v>0.46248</v>
      </c>
      <c r="AR52" s="81">
        <f t="shared" si="91"/>
        <v>50128320000</v>
      </c>
      <c r="AS52" s="81">
        <f t="shared" si="51"/>
        <v>0.46248</v>
      </c>
      <c r="AT52" s="61">
        <f t="shared" si="52"/>
        <v>0.23869935483870966</v>
      </c>
      <c r="AU52" s="63">
        <f t="shared" si="53"/>
        <v>0.3404131892604873</v>
      </c>
      <c r="AV52" s="86">
        <f t="shared" si="92"/>
        <v>8.194559113952872E-2</v>
      </c>
      <c r="AW52" s="86">
        <f t="shared" si="93"/>
        <v>2.9760000000000003E-3</v>
      </c>
      <c r="AX52" s="86">
        <f t="shared" si="94"/>
        <v>0.24815999999999999</v>
      </c>
      <c r="AY52" s="86">
        <f t="shared" si="95"/>
        <v>0.25113599999999997</v>
      </c>
      <c r="AZ52" s="86">
        <f t="shared" si="96"/>
        <v>2.4768963957541175</v>
      </c>
      <c r="BA52" s="85">
        <f t="shared" si="97"/>
        <v>16</v>
      </c>
      <c r="BB52" s="91">
        <f t="shared" si="54"/>
        <v>0.86594629624468245</v>
      </c>
      <c r="BC52" s="85">
        <f t="shared" si="55"/>
        <v>86.59462962446824</v>
      </c>
      <c r="BD52" s="86">
        <f t="shared" si="98"/>
        <v>1.0848818830344418</v>
      </c>
      <c r="BE52" s="86">
        <f t="shared" si="56"/>
        <v>0.97881296046472621</v>
      </c>
      <c r="BF52" s="86">
        <f t="shared" si="99"/>
        <v>0.63839977120423885</v>
      </c>
      <c r="BG52" s="86">
        <f t="shared" si="100"/>
        <v>0.3404131892604873</v>
      </c>
      <c r="BH52" s="86">
        <f t="shared" si="101"/>
        <v>8.194559113952872E-2</v>
      </c>
      <c r="BI52" s="86">
        <f t="shared" si="57"/>
        <v>0.25113599999999997</v>
      </c>
      <c r="BJ52" s="86">
        <f t="shared" si="58"/>
        <v>2.2963155342720647E-3</v>
      </c>
      <c r="BK52" s="86">
        <f t="shared" si="59"/>
        <v>7.7823645581149015E-2</v>
      </c>
      <c r="BL52" s="86">
        <f t="shared" si="60"/>
        <v>2.476896395754117</v>
      </c>
    </row>
    <row r="53" spans="3:70" x14ac:dyDescent="0.25">
      <c r="C53" s="61">
        <v>41</v>
      </c>
      <c r="D53" s="61">
        <f t="shared" si="61"/>
        <v>105</v>
      </c>
      <c r="E53" s="61">
        <f t="shared" si="62"/>
        <v>105</v>
      </c>
      <c r="F53" s="61">
        <f t="shared" si="63"/>
        <v>105</v>
      </c>
      <c r="G53" s="73">
        <f t="shared" si="64"/>
        <v>24</v>
      </c>
      <c r="H53" s="64">
        <f t="shared" si="65"/>
        <v>1</v>
      </c>
      <c r="I53" s="63">
        <f t="shared" si="102"/>
        <v>4.0999999999999996</v>
      </c>
      <c r="J53" s="65">
        <f t="shared" si="66"/>
        <v>8.6117892021752077E-4</v>
      </c>
      <c r="K53" s="65">
        <f t="shared" si="67"/>
        <v>8.6117892021752077E-4</v>
      </c>
      <c r="L53" s="65">
        <f t="shared" si="68"/>
        <v>5.1791610661465239E-3</v>
      </c>
      <c r="M53" s="65">
        <f t="shared" si="69"/>
        <v>5.0000000000000001E-3</v>
      </c>
      <c r="N53" s="63">
        <f t="shared" si="70"/>
        <v>0.16855272474767055</v>
      </c>
      <c r="O53" s="64">
        <f t="shared" si="71"/>
        <v>2.1614736950902569</v>
      </c>
      <c r="P53" s="64">
        <f t="shared" si="72"/>
        <v>5.1807368475451279</v>
      </c>
      <c r="Q53" s="64">
        <f t="shared" si="73"/>
        <v>3.0192631524548714</v>
      </c>
      <c r="R53" s="64">
        <f t="shared" si="74"/>
        <v>0</v>
      </c>
      <c r="S53" s="64">
        <f t="shared" si="75"/>
        <v>4.1472075799523136</v>
      </c>
      <c r="T53" s="63">
        <f t="shared" si="42"/>
        <v>8.9078103983297366E-2</v>
      </c>
      <c r="U53" s="63">
        <f t="shared" si="76"/>
        <v>1</v>
      </c>
      <c r="V53" s="63">
        <f t="shared" si="43"/>
        <v>1.0890781039832973</v>
      </c>
      <c r="W53" s="64">
        <f t="shared" si="44"/>
        <v>0.6239637098533275</v>
      </c>
      <c r="X53" s="63">
        <f t="shared" si="77"/>
        <v>7.7866142242785499E-2</v>
      </c>
      <c r="Y53" s="63">
        <f t="shared" si="45"/>
        <v>7.7866142242785499E-2</v>
      </c>
      <c r="Z53" s="64">
        <f t="shared" si="78"/>
        <v>1.5525336415608575</v>
      </c>
      <c r="AA53" s="74">
        <f t="shared" si="79"/>
        <v>2.4103607081782173E-3</v>
      </c>
      <c r="AB53" s="75">
        <f t="shared" si="46"/>
        <v>2.4103607081782173E-3</v>
      </c>
      <c r="AC53" s="63">
        <f t="shared" si="80"/>
        <v>1.702643255415355</v>
      </c>
      <c r="AD53" s="63">
        <f t="shared" si="47"/>
        <v>2.4965525701839634E-3</v>
      </c>
      <c r="AE53" s="63">
        <f t="shared" si="81"/>
        <v>3.2974910178424186E-3</v>
      </c>
      <c r="AF53" s="63">
        <f t="shared" si="82"/>
        <v>0.37937061219304791</v>
      </c>
      <c r="AG53" s="63">
        <f t="shared" si="83"/>
        <v>4.0608000000000005E-2</v>
      </c>
      <c r="AH53" s="63">
        <f t="shared" si="84"/>
        <v>0</v>
      </c>
      <c r="AI53" s="63">
        <f t="shared" si="48"/>
        <v>0.22378064516129031</v>
      </c>
      <c r="AJ53" s="63">
        <f t="shared" si="49"/>
        <v>0.64705674837218063</v>
      </c>
      <c r="AK53" s="63">
        <f t="shared" si="85"/>
        <v>3.7815785931278127</v>
      </c>
      <c r="AL53" s="63">
        <f t="shared" si="86"/>
        <v>1.2315148480163287E-2</v>
      </c>
      <c r="AM53" s="63">
        <f t="shared" si="87"/>
        <v>1.6305796453309176E-2</v>
      </c>
      <c r="AN53" s="63">
        <f t="shared" si="88"/>
        <v>8.8432429453230321E-2</v>
      </c>
      <c r="AO53" s="63">
        <f t="shared" si="89"/>
        <v>491.24214561269446</v>
      </c>
      <c r="AP53" s="63">
        <f t="shared" si="50"/>
        <v>8.8432429453230321E-2</v>
      </c>
      <c r="AQ53" s="61">
        <f t="shared" si="90"/>
        <v>0.46248</v>
      </c>
      <c r="AR53" s="61">
        <f t="shared" si="91"/>
        <v>50128320000</v>
      </c>
      <c r="AS53" s="61">
        <f t="shared" si="51"/>
        <v>0.46248</v>
      </c>
      <c r="AT53" s="61">
        <f t="shared" si="52"/>
        <v>0.23869935483870966</v>
      </c>
      <c r="AU53" s="63">
        <f t="shared" si="53"/>
        <v>0.34343758074524916</v>
      </c>
      <c r="AV53" s="63">
        <f t="shared" si="92"/>
        <v>8.5996653556069627E-2</v>
      </c>
      <c r="AW53" s="63">
        <f t="shared" si="93"/>
        <v>2.9760000000000003E-3</v>
      </c>
      <c r="AX53" s="63">
        <f t="shared" si="94"/>
        <v>0.24815999999999999</v>
      </c>
      <c r="AY53" s="63">
        <f t="shared" si="95"/>
        <v>0.25113599999999997</v>
      </c>
      <c r="AZ53" s="63">
        <f t="shared" si="96"/>
        <v>2.4969815896077598</v>
      </c>
      <c r="BA53" s="64">
        <f t="shared" si="97"/>
        <v>16.399999999999999</v>
      </c>
      <c r="BB53" s="76">
        <f t="shared" si="54"/>
        <v>0.86786346921240831</v>
      </c>
      <c r="BC53" s="64">
        <f t="shared" si="55"/>
        <v>86.786346921240835</v>
      </c>
      <c r="BD53" s="63">
        <f t="shared" si="98"/>
        <v>1.0890781039832973</v>
      </c>
      <c r="BE53" s="63">
        <f t="shared" si="56"/>
        <v>0.99049432911742974</v>
      </c>
      <c r="BF53" s="63">
        <f t="shared" si="99"/>
        <v>0.64705674837218063</v>
      </c>
      <c r="BG53" s="63">
        <f t="shared" si="100"/>
        <v>0.34343758074524916</v>
      </c>
      <c r="BH53" s="63">
        <f t="shared" si="101"/>
        <v>8.5996653556069627E-2</v>
      </c>
      <c r="BI53" s="63">
        <f t="shared" si="57"/>
        <v>0.25113599999999997</v>
      </c>
      <c r="BJ53" s="63">
        <f t="shared" si="58"/>
        <v>2.4103607081782173E-3</v>
      </c>
      <c r="BK53" s="63">
        <f t="shared" si="59"/>
        <v>7.7866142242785499E-2</v>
      </c>
      <c r="BL53" s="63">
        <f t="shared" si="60"/>
        <v>2.4969815896077598</v>
      </c>
    </row>
    <row r="54" spans="3:70" x14ac:dyDescent="0.25">
      <c r="C54" s="61">
        <v>42</v>
      </c>
      <c r="D54" s="61">
        <f t="shared" si="61"/>
        <v>105</v>
      </c>
      <c r="E54" s="61">
        <f t="shared" si="62"/>
        <v>105</v>
      </c>
      <c r="F54" s="61">
        <f t="shared" si="63"/>
        <v>105</v>
      </c>
      <c r="G54" s="73">
        <f t="shared" si="64"/>
        <v>24</v>
      </c>
      <c r="H54" s="64">
        <f t="shared" si="65"/>
        <v>1</v>
      </c>
      <c r="I54" s="63">
        <f t="shared" si="102"/>
        <v>4.2</v>
      </c>
      <c r="J54" s="65">
        <f t="shared" si="66"/>
        <v>8.6117892021752077E-4</v>
      </c>
      <c r="K54" s="65">
        <f t="shared" si="67"/>
        <v>8.6117892021752077E-4</v>
      </c>
      <c r="L54" s="65">
        <f t="shared" si="68"/>
        <v>5.1791610661465239E-3</v>
      </c>
      <c r="M54" s="65">
        <f t="shared" si="69"/>
        <v>5.0000000000000001E-3</v>
      </c>
      <c r="N54" s="63">
        <f t="shared" si="70"/>
        <v>0.16859872616428037</v>
      </c>
      <c r="O54" s="64">
        <f t="shared" si="71"/>
        <v>2.1620636045805237</v>
      </c>
      <c r="P54" s="64">
        <f t="shared" si="72"/>
        <v>5.2810318022902623</v>
      </c>
      <c r="Q54" s="64">
        <f t="shared" si="73"/>
        <v>3.1189681977097381</v>
      </c>
      <c r="R54" s="64">
        <f t="shared" si="74"/>
        <v>0</v>
      </c>
      <c r="S54" s="64">
        <f t="shared" si="75"/>
        <v>4.2461209653660337</v>
      </c>
      <c r="T54" s="63">
        <f t="shared" si="42"/>
        <v>9.3377908453861402E-2</v>
      </c>
      <c r="U54" s="63">
        <f t="shared" si="76"/>
        <v>1</v>
      </c>
      <c r="V54" s="63">
        <f t="shared" si="43"/>
        <v>1.0933779084538613</v>
      </c>
      <c r="W54" s="64">
        <f t="shared" si="44"/>
        <v>0.62413400205482905</v>
      </c>
      <c r="X54" s="63">
        <f t="shared" si="77"/>
        <v>7.7908650504195487E-2</v>
      </c>
      <c r="Y54" s="63">
        <f t="shared" si="45"/>
        <v>7.7908650504195487E-2</v>
      </c>
      <c r="Z54" s="64">
        <f t="shared" si="78"/>
        <v>1.5897354165767215</v>
      </c>
      <c r="AA54" s="74">
        <f t="shared" si="79"/>
        <v>2.5272586947183624E-3</v>
      </c>
      <c r="AB54" s="75">
        <f t="shared" si="46"/>
        <v>2.5272586947183624E-3</v>
      </c>
      <c r="AC54" s="63">
        <f t="shared" si="80"/>
        <v>1.7434901851455411</v>
      </c>
      <c r="AD54" s="63">
        <f t="shared" si="47"/>
        <v>2.6177755342938641E-3</v>
      </c>
      <c r="AE54" s="63">
        <f t="shared" si="81"/>
        <v>3.4577084784234661E-3</v>
      </c>
      <c r="AF54" s="63">
        <f t="shared" si="82"/>
        <v>0.38787130402214426</v>
      </c>
      <c r="AG54" s="63">
        <f t="shared" si="83"/>
        <v>4.0608000000000005E-2</v>
      </c>
      <c r="AH54" s="63">
        <f t="shared" si="84"/>
        <v>0</v>
      </c>
      <c r="AI54" s="63">
        <f t="shared" si="48"/>
        <v>0.22378064516129031</v>
      </c>
      <c r="AJ54" s="63">
        <f t="shared" si="49"/>
        <v>0.65571765766185808</v>
      </c>
      <c r="AK54" s="63">
        <f t="shared" si="85"/>
        <v>3.8716644000768126</v>
      </c>
      <c r="AL54" s="63">
        <f t="shared" si="86"/>
        <v>1.2908887055927239E-2</v>
      </c>
      <c r="AM54" s="63">
        <f t="shared" si="87"/>
        <v>1.709445717723582E-2</v>
      </c>
      <c r="AN54" s="63">
        <f t="shared" si="88"/>
        <v>9.0687320423388632E-2</v>
      </c>
      <c r="AO54" s="63">
        <f t="shared" si="89"/>
        <v>503.7680649519238</v>
      </c>
      <c r="AP54" s="63">
        <f t="shared" si="50"/>
        <v>9.0687320423388632E-2</v>
      </c>
      <c r="AQ54" s="61">
        <f t="shared" si="90"/>
        <v>0.46248</v>
      </c>
      <c r="AR54" s="61">
        <f t="shared" si="91"/>
        <v>50128320000</v>
      </c>
      <c r="AS54" s="61">
        <f t="shared" si="51"/>
        <v>0.46248</v>
      </c>
      <c r="AT54" s="61">
        <f t="shared" si="52"/>
        <v>0.23869935483870966</v>
      </c>
      <c r="AU54" s="63">
        <f t="shared" si="53"/>
        <v>0.34648113243933409</v>
      </c>
      <c r="AV54" s="63">
        <f t="shared" si="92"/>
        <v>9.0147716262604885E-2</v>
      </c>
      <c r="AW54" s="63">
        <f t="shared" si="93"/>
        <v>2.9760000000000003E-3</v>
      </c>
      <c r="AX54" s="63">
        <f t="shared" si="94"/>
        <v>0.24815999999999999</v>
      </c>
      <c r="AY54" s="63">
        <f t="shared" si="95"/>
        <v>0.25113599999999997</v>
      </c>
      <c r="AZ54" s="63">
        <f t="shared" si="96"/>
        <v>2.5172963240165718</v>
      </c>
      <c r="BA54" s="64">
        <f t="shared" si="97"/>
        <v>16.8</v>
      </c>
      <c r="BB54" s="76">
        <f t="shared" si="54"/>
        <v>0.86968692296308048</v>
      </c>
      <c r="BC54" s="64">
        <f t="shared" si="55"/>
        <v>86.968692296308049</v>
      </c>
      <c r="BD54" s="63">
        <f t="shared" si="98"/>
        <v>1.0933779084538613</v>
      </c>
      <c r="BE54" s="63">
        <f t="shared" si="56"/>
        <v>1.0021987901011922</v>
      </c>
      <c r="BF54" s="63">
        <f t="shared" si="99"/>
        <v>0.65571765766185808</v>
      </c>
      <c r="BG54" s="63">
        <f t="shared" si="100"/>
        <v>0.34648113243933409</v>
      </c>
      <c r="BH54" s="63">
        <f t="shared" si="101"/>
        <v>9.0147716262604885E-2</v>
      </c>
      <c r="BI54" s="63">
        <f t="shared" si="57"/>
        <v>0.25113599999999997</v>
      </c>
      <c r="BJ54" s="63">
        <f t="shared" si="58"/>
        <v>2.5272586947183624E-3</v>
      </c>
      <c r="BK54" s="63">
        <f t="shared" si="59"/>
        <v>7.7908650504195487E-2</v>
      </c>
      <c r="BL54" s="63">
        <f t="shared" si="60"/>
        <v>2.5172963240165718</v>
      </c>
    </row>
    <row r="55" spans="3:70" x14ac:dyDescent="0.25">
      <c r="C55" s="61">
        <v>43</v>
      </c>
      <c r="D55" s="61">
        <f t="shared" si="61"/>
        <v>105</v>
      </c>
      <c r="E55" s="61">
        <f t="shared" si="62"/>
        <v>105</v>
      </c>
      <c r="F55" s="61">
        <f t="shared" si="63"/>
        <v>105</v>
      </c>
      <c r="G55" s="73">
        <f t="shared" si="64"/>
        <v>24</v>
      </c>
      <c r="H55" s="64">
        <f t="shared" si="65"/>
        <v>1</v>
      </c>
      <c r="I55" s="63">
        <f t="shared" si="102"/>
        <v>4.3</v>
      </c>
      <c r="J55" s="65">
        <f t="shared" si="66"/>
        <v>8.6117892021752077E-4</v>
      </c>
      <c r="K55" s="65">
        <f t="shared" si="67"/>
        <v>8.6117892021752077E-4</v>
      </c>
      <c r="L55" s="65">
        <f t="shared" si="68"/>
        <v>5.1791610661465239E-3</v>
      </c>
      <c r="M55" s="65">
        <f t="shared" si="69"/>
        <v>5.0000000000000001E-3</v>
      </c>
      <c r="N55" s="63">
        <f t="shared" si="70"/>
        <v>0.16864472758089022</v>
      </c>
      <c r="O55" s="64">
        <f t="shared" si="71"/>
        <v>2.162653514070791</v>
      </c>
      <c r="P55" s="64">
        <f t="shared" si="72"/>
        <v>5.3813267570353958</v>
      </c>
      <c r="Q55" s="64">
        <f t="shared" si="73"/>
        <v>3.2186732429646043</v>
      </c>
      <c r="R55" s="64">
        <f t="shared" si="74"/>
        <v>0</v>
      </c>
      <c r="S55" s="64">
        <f t="shared" si="75"/>
        <v>4.345084101812863</v>
      </c>
      <c r="T55" s="63">
        <f t="shared" si="42"/>
        <v>9.7781296446133842E-2</v>
      </c>
      <c r="U55" s="63">
        <f t="shared" si="76"/>
        <v>1</v>
      </c>
      <c r="V55" s="63">
        <f t="shared" si="43"/>
        <v>1.0977812964461338</v>
      </c>
      <c r="W55" s="64">
        <f t="shared" si="44"/>
        <v>0.62430429425633072</v>
      </c>
      <c r="X55" s="63">
        <f t="shared" si="77"/>
        <v>7.7951170365379033E-2</v>
      </c>
      <c r="Y55" s="63">
        <f t="shared" si="45"/>
        <v>7.7951170365379033E-2</v>
      </c>
      <c r="Z55" s="64">
        <f t="shared" si="78"/>
        <v>1.6269638326880878</v>
      </c>
      <c r="AA55" s="74">
        <f t="shared" si="79"/>
        <v>2.647011312875112E-3</v>
      </c>
      <c r="AB55" s="75">
        <f t="shared" si="46"/>
        <v>2.647011312875112E-3</v>
      </c>
      <c r="AC55" s="63">
        <f t="shared" si="80"/>
        <v>1.7843685948886974</v>
      </c>
      <c r="AD55" s="63">
        <f t="shared" si="47"/>
        <v>2.7419689510024118E-3</v>
      </c>
      <c r="AE55" s="63">
        <f t="shared" si="81"/>
        <v>3.6218619114838984E-3</v>
      </c>
      <c r="AF55" s="63">
        <f t="shared" si="82"/>
        <v>0.39637199585124044</v>
      </c>
      <c r="AG55" s="63">
        <f t="shared" si="83"/>
        <v>4.0608000000000005E-2</v>
      </c>
      <c r="AH55" s="63">
        <f t="shared" si="84"/>
        <v>0</v>
      </c>
      <c r="AI55" s="63">
        <f t="shared" si="48"/>
        <v>0.22378064516129031</v>
      </c>
      <c r="AJ55" s="63">
        <f t="shared" si="49"/>
        <v>0.66438250292401468</v>
      </c>
      <c r="AK55" s="63">
        <f t="shared" si="85"/>
        <v>3.9617905761665178</v>
      </c>
      <c r="AL55" s="63">
        <f t="shared" si="86"/>
        <v>1.3516878807444292E-2</v>
      </c>
      <c r="AM55" s="63">
        <f t="shared" si="87"/>
        <v>1.7902291836891886E-2</v>
      </c>
      <c r="AN55" s="63">
        <f t="shared" si="88"/>
        <v>9.2942211393546928E-2</v>
      </c>
      <c r="AO55" s="63">
        <f t="shared" si="89"/>
        <v>516.29398429115315</v>
      </c>
      <c r="AP55" s="63">
        <f t="shared" si="50"/>
        <v>9.2942211393546928E-2</v>
      </c>
      <c r="AQ55" s="61">
        <f t="shared" si="90"/>
        <v>0.46248</v>
      </c>
      <c r="AR55" s="61">
        <f t="shared" si="91"/>
        <v>50128320000</v>
      </c>
      <c r="AS55" s="61">
        <f t="shared" si="51"/>
        <v>0.46248</v>
      </c>
      <c r="AT55" s="61">
        <f t="shared" si="52"/>
        <v>0.23869935483870966</v>
      </c>
      <c r="AU55" s="63">
        <f t="shared" si="53"/>
        <v>0.34954385806914845</v>
      </c>
      <c r="AV55" s="63">
        <f t="shared" si="92"/>
        <v>9.4398779259134466E-2</v>
      </c>
      <c r="AW55" s="63">
        <f t="shared" si="93"/>
        <v>2.9760000000000003E-3</v>
      </c>
      <c r="AX55" s="63">
        <f t="shared" si="94"/>
        <v>0.24815999999999999</v>
      </c>
      <c r="AY55" s="63">
        <f t="shared" si="95"/>
        <v>0.25113599999999997</v>
      </c>
      <c r="AZ55" s="63">
        <f t="shared" si="96"/>
        <v>2.5378406183766855</v>
      </c>
      <c r="BA55" s="64">
        <f t="shared" si="97"/>
        <v>17.2</v>
      </c>
      <c r="BB55" s="76">
        <f t="shared" si="54"/>
        <v>0.87142258023839458</v>
      </c>
      <c r="BC55" s="64">
        <f t="shared" si="55"/>
        <v>87.14225802383946</v>
      </c>
      <c r="BD55" s="63">
        <f t="shared" si="98"/>
        <v>1.0977812964461338</v>
      </c>
      <c r="BE55" s="63">
        <f t="shared" si="56"/>
        <v>1.013926360993163</v>
      </c>
      <c r="BF55" s="63">
        <f t="shared" si="99"/>
        <v>0.66438250292401468</v>
      </c>
      <c r="BG55" s="63">
        <f t="shared" si="100"/>
        <v>0.34954385806914845</v>
      </c>
      <c r="BH55" s="63">
        <f t="shared" si="101"/>
        <v>9.4398779259134466E-2</v>
      </c>
      <c r="BI55" s="63">
        <f t="shared" si="57"/>
        <v>0.25113599999999997</v>
      </c>
      <c r="BJ55" s="63">
        <f t="shared" si="58"/>
        <v>2.647011312875112E-3</v>
      </c>
      <c r="BK55" s="63">
        <f t="shared" si="59"/>
        <v>7.7951170365379033E-2</v>
      </c>
      <c r="BL55" s="63">
        <f t="shared" si="60"/>
        <v>2.5378406183766855</v>
      </c>
    </row>
    <row r="56" spans="3:70" x14ac:dyDescent="0.25">
      <c r="C56" s="61">
        <v>44</v>
      </c>
      <c r="D56" s="61">
        <f t="shared" si="61"/>
        <v>105</v>
      </c>
      <c r="E56" s="61">
        <f t="shared" si="62"/>
        <v>105</v>
      </c>
      <c r="F56" s="61">
        <f t="shared" si="63"/>
        <v>105</v>
      </c>
      <c r="G56" s="73">
        <f t="shared" si="64"/>
        <v>24</v>
      </c>
      <c r="H56" s="64">
        <f t="shared" si="65"/>
        <v>1</v>
      </c>
      <c r="I56" s="63">
        <f t="shared" si="102"/>
        <v>4.4000000000000004</v>
      </c>
      <c r="J56" s="65">
        <f t="shared" si="66"/>
        <v>8.6117892021752077E-4</v>
      </c>
      <c r="K56" s="65">
        <f t="shared" si="67"/>
        <v>8.6117892021752077E-4</v>
      </c>
      <c r="L56" s="65">
        <f t="shared" si="68"/>
        <v>5.1791610661465239E-3</v>
      </c>
      <c r="M56" s="65">
        <f t="shared" si="69"/>
        <v>5.0000000000000001E-3</v>
      </c>
      <c r="N56" s="63">
        <f t="shared" si="70"/>
        <v>0.16869072899750007</v>
      </c>
      <c r="O56" s="64">
        <f t="shared" si="71"/>
        <v>2.1632434235610583</v>
      </c>
      <c r="P56" s="64">
        <f t="shared" si="72"/>
        <v>5.4816217117805293</v>
      </c>
      <c r="Q56" s="64">
        <f t="shared" si="73"/>
        <v>3.3183782882194715</v>
      </c>
      <c r="R56" s="64">
        <f t="shared" si="74"/>
        <v>0</v>
      </c>
      <c r="S56" s="64">
        <f t="shared" si="75"/>
        <v>4.4440936656568892</v>
      </c>
      <c r="T56" s="63">
        <f t="shared" si="42"/>
        <v>0.10228826796011474</v>
      </c>
      <c r="U56" s="63">
        <f t="shared" si="76"/>
        <v>1</v>
      </c>
      <c r="V56" s="63">
        <f t="shared" si="43"/>
        <v>1.1022882679601147</v>
      </c>
      <c r="W56" s="64">
        <f t="shared" si="44"/>
        <v>0.62447458645783238</v>
      </c>
      <c r="X56" s="63">
        <f t="shared" si="77"/>
        <v>7.7993701826336165E-2</v>
      </c>
      <c r="Y56" s="63">
        <f t="shared" si="45"/>
        <v>7.7993701826336165E-2</v>
      </c>
      <c r="Z56" s="64">
        <f t="shared" si="78"/>
        <v>1.6642176483631006</v>
      </c>
      <c r="AA56" s="74">
        <f t="shared" si="79"/>
        <v>2.7696203811232089E-3</v>
      </c>
      <c r="AB56" s="75">
        <f t="shared" si="46"/>
        <v>2.7696203811232089E-3</v>
      </c>
      <c r="AC56" s="63">
        <f t="shared" si="80"/>
        <v>1.8252771256669749</v>
      </c>
      <c r="AD56" s="63">
        <f t="shared" si="47"/>
        <v>2.8691351972435185E-3</v>
      </c>
      <c r="AE56" s="63">
        <f t="shared" si="81"/>
        <v>3.789955186028857E-3</v>
      </c>
      <c r="AF56" s="63">
        <f t="shared" si="82"/>
        <v>0.40487268768033668</v>
      </c>
      <c r="AG56" s="63">
        <f t="shared" si="83"/>
        <v>4.0608000000000005E-2</v>
      </c>
      <c r="AH56" s="63">
        <f t="shared" si="84"/>
        <v>0</v>
      </c>
      <c r="AI56" s="63">
        <f t="shared" si="48"/>
        <v>0.22378064516129031</v>
      </c>
      <c r="AJ56" s="63">
        <f t="shared" si="49"/>
        <v>0.67305128802765579</v>
      </c>
      <c r="AK56" s="63">
        <f t="shared" si="85"/>
        <v>4.0519540870607846</v>
      </c>
      <c r="AL56" s="63">
        <f t="shared" si="86"/>
        <v>1.4139121357780549E-2</v>
      </c>
      <c r="AM56" s="63">
        <f t="shared" si="87"/>
        <v>1.8729314573091179E-2</v>
      </c>
      <c r="AN56" s="63">
        <f t="shared" si="88"/>
        <v>9.5197102363705238E-2</v>
      </c>
      <c r="AO56" s="63">
        <f t="shared" si="89"/>
        <v>528.81990363038256</v>
      </c>
      <c r="AP56" s="63">
        <f t="shared" si="50"/>
        <v>9.5197102363705238E-2</v>
      </c>
      <c r="AQ56" s="61">
        <f t="shared" si="90"/>
        <v>0.46248</v>
      </c>
      <c r="AR56" s="61">
        <f t="shared" si="91"/>
        <v>50128320000</v>
      </c>
      <c r="AS56" s="61">
        <f t="shared" si="51"/>
        <v>0.46248</v>
      </c>
      <c r="AT56" s="61">
        <f t="shared" si="52"/>
        <v>0.23869935483870966</v>
      </c>
      <c r="AU56" s="63">
        <f t="shared" si="53"/>
        <v>0.35262577177550608</v>
      </c>
      <c r="AV56" s="63">
        <f t="shared" si="92"/>
        <v>9.8749842545658439E-2</v>
      </c>
      <c r="AW56" s="63">
        <f t="shared" si="93"/>
        <v>2.9760000000000003E-3</v>
      </c>
      <c r="AX56" s="63">
        <f t="shared" si="94"/>
        <v>0.24815999999999999</v>
      </c>
      <c r="AY56" s="63">
        <f t="shared" si="95"/>
        <v>0.25113599999999997</v>
      </c>
      <c r="AZ56" s="63">
        <f t="shared" si="96"/>
        <v>2.5586144925163938</v>
      </c>
      <c r="BA56" s="64">
        <f t="shared" si="97"/>
        <v>17.600000000000001</v>
      </c>
      <c r="BB56" s="76">
        <f t="shared" si="54"/>
        <v>0.87307587565275158</v>
      </c>
      <c r="BC56" s="64">
        <f t="shared" si="55"/>
        <v>87.307587565275156</v>
      </c>
      <c r="BD56" s="63">
        <f t="shared" si="98"/>
        <v>1.1022882679601147</v>
      </c>
      <c r="BE56" s="63">
        <f t="shared" si="56"/>
        <v>1.0256770598031619</v>
      </c>
      <c r="BF56" s="63">
        <f t="shared" si="99"/>
        <v>0.67305128802765579</v>
      </c>
      <c r="BG56" s="63">
        <f t="shared" si="100"/>
        <v>0.35262577177550608</v>
      </c>
      <c r="BH56" s="63">
        <f t="shared" si="101"/>
        <v>9.8749842545658439E-2</v>
      </c>
      <c r="BI56" s="63">
        <f t="shared" si="57"/>
        <v>0.25113599999999997</v>
      </c>
      <c r="BJ56" s="63">
        <f t="shared" si="58"/>
        <v>2.7696203811232089E-3</v>
      </c>
      <c r="BK56" s="63">
        <f t="shared" si="59"/>
        <v>7.7993701826336165E-2</v>
      </c>
      <c r="BL56" s="63">
        <f t="shared" si="60"/>
        <v>2.5586144925163943</v>
      </c>
    </row>
    <row r="57" spans="3:70" x14ac:dyDescent="0.25">
      <c r="C57" s="61">
        <v>45</v>
      </c>
      <c r="D57" s="61">
        <f t="shared" si="61"/>
        <v>105</v>
      </c>
      <c r="E57" s="61">
        <f t="shared" si="62"/>
        <v>105</v>
      </c>
      <c r="F57" s="61">
        <f t="shared" si="63"/>
        <v>105</v>
      </c>
      <c r="G57" s="73">
        <f t="shared" si="64"/>
        <v>24</v>
      </c>
      <c r="H57" s="64">
        <f t="shared" si="65"/>
        <v>1</v>
      </c>
      <c r="I57" s="63">
        <f t="shared" si="102"/>
        <v>4.5</v>
      </c>
      <c r="J57" s="65">
        <f t="shared" si="66"/>
        <v>8.6117892021752077E-4</v>
      </c>
      <c r="K57" s="65">
        <f t="shared" si="67"/>
        <v>8.6117892021752077E-4</v>
      </c>
      <c r="L57" s="65">
        <f t="shared" si="68"/>
        <v>5.1791610661465239E-3</v>
      </c>
      <c r="M57" s="65">
        <f t="shared" si="69"/>
        <v>5.0000000000000001E-3</v>
      </c>
      <c r="N57" s="63">
        <f t="shared" si="70"/>
        <v>0.16873673041410994</v>
      </c>
      <c r="O57" s="64">
        <f t="shared" si="71"/>
        <v>2.163833333051326</v>
      </c>
      <c r="P57" s="64">
        <f t="shared" si="72"/>
        <v>5.5819166665256628</v>
      </c>
      <c r="Q57" s="64">
        <f t="shared" si="73"/>
        <v>3.4180833334743372</v>
      </c>
      <c r="R57" s="64">
        <f t="shared" si="74"/>
        <v>0</v>
      </c>
      <c r="S57" s="64">
        <f t="shared" si="75"/>
        <v>4.5431466214987308</v>
      </c>
      <c r="T57" s="63">
        <f t="shared" si="42"/>
        <v>0.10689882299580396</v>
      </c>
      <c r="U57" s="63">
        <f t="shared" si="76"/>
        <v>1</v>
      </c>
      <c r="V57" s="63">
        <f t="shared" si="43"/>
        <v>1.1068988229958039</v>
      </c>
      <c r="W57" s="64">
        <f t="shared" si="44"/>
        <v>0.62464487865933416</v>
      </c>
      <c r="X57" s="63">
        <f t="shared" si="77"/>
        <v>7.8036244887066869E-2</v>
      </c>
      <c r="Y57" s="63">
        <f t="shared" si="45"/>
        <v>7.8036244887066869E-2</v>
      </c>
      <c r="Z57" s="64">
        <f t="shared" si="78"/>
        <v>1.7014957294773083</v>
      </c>
      <c r="AA57" s="74">
        <f t="shared" si="79"/>
        <v>2.8950877174295179E-3</v>
      </c>
      <c r="AB57" s="75">
        <f t="shared" si="46"/>
        <v>2.8950877174295179E-3</v>
      </c>
      <c r="AC57" s="63">
        <f t="shared" si="80"/>
        <v>1.8662145361575977</v>
      </c>
      <c r="AD57" s="63">
        <f t="shared" si="47"/>
        <v>2.9992766499510903E-3</v>
      </c>
      <c r="AE57" s="63">
        <f t="shared" si="81"/>
        <v>3.9619921893793413E-3</v>
      </c>
      <c r="AF57" s="63">
        <f t="shared" si="82"/>
        <v>0.41337337950943298</v>
      </c>
      <c r="AG57" s="63">
        <f t="shared" si="83"/>
        <v>4.0608000000000005E-2</v>
      </c>
      <c r="AH57" s="63">
        <f t="shared" si="84"/>
        <v>0</v>
      </c>
      <c r="AI57" s="63">
        <f t="shared" si="48"/>
        <v>0.22378064516129031</v>
      </c>
      <c r="AJ57" s="63">
        <f t="shared" si="49"/>
        <v>0.68172401686010264</v>
      </c>
      <c r="AK57" s="63">
        <f t="shared" si="85"/>
        <v>4.1421521615543551</v>
      </c>
      <c r="AL57" s="63">
        <f t="shared" si="86"/>
        <v>1.4775612330002076E-2</v>
      </c>
      <c r="AM57" s="63">
        <f t="shared" si="87"/>
        <v>1.9575539941756551E-2</v>
      </c>
      <c r="AN57" s="63">
        <f t="shared" si="88"/>
        <v>9.7451993333863521E-2</v>
      </c>
      <c r="AO57" s="63">
        <f t="shared" si="89"/>
        <v>541.34582296961185</v>
      </c>
      <c r="AP57" s="63">
        <f t="shared" si="50"/>
        <v>9.7451993333863521E-2</v>
      </c>
      <c r="AQ57" s="61">
        <f t="shared" si="90"/>
        <v>0.46248</v>
      </c>
      <c r="AR57" s="61">
        <f t="shared" si="91"/>
        <v>50128320000</v>
      </c>
      <c r="AS57" s="61">
        <f t="shared" si="51"/>
        <v>0.46248</v>
      </c>
      <c r="AT57" s="61">
        <f t="shared" si="52"/>
        <v>0.23869935483870966</v>
      </c>
      <c r="AU57" s="63">
        <f t="shared" si="53"/>
        <v>0.35572688811432973</v>
      </c>
      <c r="AV57" s="63">
        <f t="shared" si="92"/>
        <v>0.10320090612217665</v>
      </c>
      <c r="AW57" s="63">
        <f t="shared" si="93"/>
        <v>2.9760000000000003E-3</v>
      </c>
      <c r="AX57" s="63">
        <f t="shared" si="94"/>
        <v>0.24815999999999999</v>
      </c>
      <c r="AY57" s="63">
        <f t="shared" si="95"/>
        <v>0.25113599999999997</v>
      </c>
      <c r="AZ57" s="63">
        <f t="shared" si="96"/>
        <v>2.579617966696909</v>
      </c>
      <c r="BA57" s="64">
        <f t="shared" si="97"/>
        <v>18</v>
      </c>
      <c r="BB57" s="76">
        <f t="shared" si="54"/>
        <v>0.87465180496200701</v>
      </c>
      <c r="BC57" s="64">
        <f t="shared" si="55"/>
        <v>87.465180496200702</v>
      </c>
      <c r="BD57" s="63">
        <f t="shared" si="98"/>
        <v>1.1068988229958039</v>
      </c>
      <c r="BE57" s="63">
        <f t="shared" si="56"/>
        <v>1.0374509049744325</v>
      </c>
      <c r="BF57" s="63">
        <f t="shared" si="99"/>
        <v>0.68172401686010264</v>
      </c>
      <c r="BG57" s="63">
        <f t="shared" si="100"/>
        <v>0.35572688811432973</v>
      </c>
      <c r="BH57" s="63">
        <f t="shared" si="101"/>
        <v>0.10320090612217665</v>
      </c>
      <c r="BI57" s="63">
        <f t="shared" si="57"/>
        <v>0.25113599999999997</v>
      </c>
      <c r="BJ57" s="63">
        <f t="shared" si="58"/>
        <v>2.8950877174295179E-3</v>
      </c>
      <c r="BK57" s="63">
        <f t="shared" si="59"/>
        <v>7.8036244887066869E-2</v>
      </c>
      <c r="BL57" s="63">
        <f t="shared" si="60"/>
        <v>2.579617966696909</v>
      </c>
    </row>
    <row r="58" spans="3:70" x14ac:dyDescent="0.25">
      <c r="C58" s="61">
        <v>46</v>
      </c>
      <c r="D58" s="61">
        <f t="shared" si="61"/>
        <v>105</v>
      </c>
      <c r="E58" s="61">
        <f t="shared" si="62"/>
        <v>105</v>
      </c>
      <c r="F58" s="61">
        <f t="shared" si="63"/>
        <v>105</v>
      </c>
      <c r="G58" s="73">
        <f t="shared" si="64"/>
        <v>24</v>
      </c>
      <c r="H58" s="64">
        <f t="shared" si="65"/>
        <v>1</v>
      </c>
      <c r="I58" s="63">
        <f t="shared" si="102"/>
        <v>4.5999999999999996</v>
      </c>
      <c r="J58" s="65">
        <f t="shared" si="66"/>
        <v>8.6117892021752077E-4</v>
      </c>
      <c r="K58" s="65">
        <f t="shared" si="67"/>
        <v>8.6117892021752077E-4</v>
      </c>
      <c r="L58" s="65">
        <f t="shared" si="68"/>
        <v>5.1791610661465239E-3</v>
      </c>
      <c r="M58" s="65">
        <f t="shared" si="69"/>
        <v>5.0000000000000001E-3</v>
      </c>
      <c r="N58" s="63">
        <f t="shared" si="70"/>
        <v>0.16878273183071979</v>
      </c>
      <c r="O58" s="64">
        <f t="shared" si="71"/>
        <v>2.1644232425415937</v>
      </c>
      <c r="P58" s="64">
        <f t="shared" si="72"/>
        <v>5.6822116212707963</v>
      </c>
      <c r="Q58" s="64">
        <f t="shared" si="73"/>
        <v>3.517788378729203</v>
      </c>
      <c r="R58" s="64">
        <f t="shared" si="74"/>
        <v>0</v>
      </c>
      <c r="S58" s="64">
        <f t="shared" si="75"/>
        <v>4.6422401917326352</v>
      </c>
      <c r="T58" s="63">
        <f t="shared" si="42"/>
        <v>0.11161296155320162</v>
      </c>
      <c r="U58" s="63">
        <f t="shared" si="76"/>
        <v>1</v>
      </c>
      <c r="V58" s="63">
        <f t="shared" si="43"/>
        <v>1.1116129615532016</v>
      </c>
      <c r="W58" s="64">
        <f t="shared" si="44"/>
        <v>0.62481517086083593</v>
      </c>
      <c r="X58" s="63">
        <f t="shared" si="77"/>
        <v>7.8078799547571132E-2</v>
      </c>
      <c r="Y58" s="63">
        <f t="shared" si="45"/>
        <v>7.8078799547571132E-2</v>
      </c>
      <c r="Z58" s="64">
        <f t="shared" si="78"/>
        <v>1.7387970379699398</v>
      </c>
      <c r="AA58" s="74">
        <f t="shared" si="79"/>
        <v>3.0234151392530364E-3</v>
      </c>
      <c r="AB58" s="75">
        <f t="shared" si="46"/>
        <v>3.0234151392530364E-3</v>
      </c>
      <c r="AC58" s="63">
        <f t="shared" si="80"/>
        <v>1.907179690266898</v>
      </c>
      <c r="AD58" s="63">
        <f t="shared" si="47"/>
        <v>3.1323956860590408E-3</v>
      </c>
      <c r="AE58" s="63">
        <f t="shared" si="81"/>
        <v>4.1379768272270636E-3</v>
      </c>
      <c r="AF58" s="63">
        <f t="shared" si="82"/>
        <v>0.42187407133852917</v>
      </c>
      <c r="AG58" s="63">
        <f t="shared" si="83"/>
        <v>4.0608000000000005E-2</v>
      </c>
      <c r="AH58" s="63">
        <f t="shared" si="84"/>
        <v>0</v>
      </c>
      <c r="AI58" s="63">
        <f t="shared" si="48"/>
        <v>0.22378064516129031</v>
      </c>
      <c r="AJ58" s="63">
        <f t="shared" si="49"/>
        <v>0.69040069332704657</v>
      </c>
      <c r="AK58" s="63">
        <f t="shared" si="85"/>
        <v>4.2323822637813935</v>
      </c>
      <c r="AL58" s="63">
        <f t="shared" si="86"/>
        <v>1.5426349347174986E-2</v>
      </c>
      <c r="AM58" s="63">
        <f t="shared" si="87"/>
        <v>2.0440982914644336E-2</v>
      </c>
      <c r="AN58" s="63">
        <f t="shared" si="88"/>
        <v>9.9706884304021803E-2</v>
      </c>
      <c r="AO58" s="63">
        <f t="shared" si="89"/>
        <v>553.87174230884102</v>
      </c>
      <c r="AP58" s="63">
        <f t="shared" si="50"/>
        <v>9.9706884304021803E-2</v>
      </c>
      <c r="AQ58" s="61">
        <f t="shared" si="90"/>
        <v>0.46248</v>
      </c>
      <c r="AR58" s="61">
        <f t="shared" si="91"/>
        <v>50128320000</v>
      </c>
      <c r="AS58" s="61">
        <f t="shared" si="51"/>
        <v>0.46248</v>
      </c>
      <c r="AT58" s="61">
        <f t="shared" si="52"/>
        <v>0.23869935483870966</v>
      </c>
      <c r="AU58" s="63">
        <f t="shared" si="53"/>
        <v>0.35884722205737579</v>
      </c>
      <c r="AV58" s="63">
        <f t="shared" si="92"/>
        <v>0.10775196998868927</v>
      </c>
      <c r="AW58" s="63">
        <f t="shared" si="93"/>
        <v>2.9760000000000003E-3</v>
      </c>
      <c r="AX58" s="63">
        <f t="shared" si="94"/>
        <v>0.24815999999999999</v>
      </c>
      <c r="AY58" s="63">
        <f t="shared" si="95"/>
        <v>0.25113599999999997</v>
      </c>
      <c r="AZ58" s="63">
        <f t="shared" si="96"/>
        <v>2.6008510616131373</v>
      </c>
      <c r="BA58" s="64">
        <f t="shared" si="97"/>
        <v>18.399999999999999</v>
      </c>
      <c r="BB58" s="76">
        <f t="shared" si="54"/>
        <v>0.87615496848281738</v>
      </c>
      <c r="BC58" s="64">
        <f t="shared" si="55"/>
        <v>87.615496848281737</v>
      </c>
      <c r="BD58" s="63">
        <f t="shared" si="98"/>
        <v>1.1116129615532016</v>
      </c>
      <c r="BE58" s="63">
        <f t="shared" si="56"/>
        <v>1.0492479153844223</v>
      </c>
      <c r="BF58" s="63">
        <f t="shared" si="99"/>
        <v>0.69040069332704657</v>
      </c>
      <c r="BG58" s="63">
        <f t="shared" si="100"/>
        <v>0.35884722205737579</v>
      </c>
      <c r="BH58" s="63">
        <f t="shared" si="101"/>
        <v>0.10775196998868927</v>
      </c>
      <c r="BI58" s="63">
        <f t="shared" si="57"/>
        <v>0.25113599999999997</v>
      </c>
      <c r="BJ58" s="63">
        <f t="shared" si="58"/>
        <v>3.0234151392530364E-3</v>
      </c>
      <c r="BK58" s="63">
        <f t="shared" si="59"/>
        <v>7.8078799547571132E-2</v>
      </c>
      <c r="BL58" s="63">
        <f t="shared" si="60"/>
        <v>2.6008510616131373</v>
      </c>
    </row>
    <row r="59" spans="3:70" x14ac:dyDescent="0.25">
      <c r="C59" s="61">
        <v>47</v>
      </c>
      <c r="D59" s="61">
        <f t="shared" si="61"/>
        <v>105</v>
      </c>
      <c r="E59" s="61">
        <f t="shared" si="62"/>
        <v>105</v>
      </c>
      <c r="F59" s="61">
        <f t="shared" si="63"/>
        <v>105</v>
      </c>
      <c r="G59" s="73">
        <f t="shared" si="64"/>
        <v>24</v>
      </c>
      <c r="H59" s="64">
        <f t="shared" si="65"/>
        <v>1</v>
      </c>
      <c r="I59" s="63">
        <f t="shared" si="102"/>
        <v>4.7</v>
      </c>
      <c r="J59" s="65">
        <f t="shared" si="66"/>
        <v>8.6117892021752077E-4</v>
      </c>
      <c r="K59" s="65">
        <f t="shared" si="67"/>
        <v>8.6117892021752077E-4</v>
      </c>
      <c r="L59" s="65">
        <f t="shared" si="68"/>
        <v>5.1791610661465239E-3</v>
      </c>
      <c r="M59" s="65">
        <f t="shared" si="69"/>
        <v>5.0000000000000001E-3</v>
      </c>
      <c r="N59" s="63">
        <f t="shared" si="70"/>
        <v>0.16882873324732961</v>
      </c>
      <c r="O59" s="64">
        <f t="shared" si="71"/>
        <v>2.1650131520318605</v>
      </c>
      <c r="P59" s="64">
        <f t="shared" si="72"/>
        <v>5.7825065760159307</v>
      </c>
      <c r="Q59" s="64">
        <f t="shared" si="73"/>
        <v>3.6174934239840697</v>
      </c>
      <c r="R59" s="64">
        <f t="shared" si="74"/>
        <v>0</v>
      </c>
      <c r="S59" s="64">
        <f t="shared" si="75"/>
        <v>4.741371829865197</v>
      </c>
      <c r="T59" s="63">
        <f t="shared" si="42"/>
        <v>0.11643068363230773</v>
      </c>
      <c r="U59" s="63">
        <f t="shared" si="76"/>
        <v>1</v>
      </c>
      <c r="V59" s="63">
        <f t="shared" si="43"/>
        <v>1.1164306836323077</v>
      </c>
      <c r="W59" s="64">
        <f t="shared" si="44"/>
        <v>0.62498546306233749</v>
      </c>
      <c r="X59" s="63">
        <f t="shared" si="77"/>
        <v>7.8121365807848897E-2</v>
      </c>
      <c r="Y59" s="63">
        <f t="shared" si="45"/>
        <v>7.8121365807848897E-2</v>
      </c>
      <c r="Z59" s="64">
        <f t="shared" si="78"/>
        <v>1.7761206219018137</v>
      </c>
      <c r="AA59" s="74">
        <f t="shared" si="79"/>
        <v>3.1546044635448857E-3</v>
      </c>
      <c r="AB59" s="75">
        <f t="shared" si="46"/>
        <v>3.1546044635448857E-3</v>
      </c>
      <c r="AC59" s="63">
        <f t="shared" si="80"/>
        <v>1.9481715462396949</v>
      </c>
      <c r="AD59" s="63">
        <f t="shared" si="47"/>
        <v>3.2684946825012797E-3</v>
      </c>
      <c r="AE59" s="63">
        <f t="shared" si="81"/>
        <v>4.3179130236895335E-3</v>
      </c>
      <c r="AF59" s="63">
        <f t="shared" si="82"/>
        <v>0.43037476316762552</v>
      </c>
      <c r="AG59" s="63">
        <f t="shared" si="83"/>
        <v>4.0608000000000005E-2</v>
      </c>
      <c r="AH59" s="63">
        <f t="shared" si="84"/>
        <v>0</v>
      </c>
      <c r="AI59" s="63">
        <f t="shared" si="48"/>
        <v>0.22378064516129031</v>
      </c>
      <c r="AJ59" s="63">
        <f t="shared" si="49"/>
        <v>0.69908132135260548</v>
      </c>
      <c r="AK59" s="63">
        <f t="shared" si="85"/>
        <v>4.3226420688580358</v>
      </c>
      <c r="AL59" s="63">
        <f t="shared" si="86"/>
        <v>1.6091330032365361E-2</v>
      </c>
      <c r="AM59" s="63">
        <f t="shared" si="87"/>
        <v>2.1325658880091185E-2</v>
      </c>
      <c r="AN59" s="63">
        <f t="shared" si="88"/>
        <v>0.10196177527418013</v>
      </c>
      <c r="AO59" s="63">
        <f t="shared" si="89"/>
        <v>566.39766164807054</v>
      </c>
      <c r="AP59" s="63">
        <f t="shared" si="50"/>
        <v>0.10196177527418013</v>
      </c>
      <c r="AQ59" s="61">
        <f t="shared" si="90"/>
        <v>0.46248</v>
      </c>
      <c r="AR59" s="61">
        <f t="shared" si="91"/>
        <v>50128320000</v>
      </c>
      <c r="AS59" s="61">
        <f t="shared" si="51"/>
        <v>0.46248</v>
      </c>
      <c r="AT59" s="61">
        <f t="shared" si="52"/>
        <v>0.23869935483870966</v>
      </c>
      <c r="AU59" s="63">
        <f t="shared" si="53"/>
        <v>0.36198678899298098</v>
      </c>
      <c r="AV59" s="63">
        <f t="shared" si="92"/>
        <v>0.11240303414519623</v>
      </c>
      <c r="AW59" s="63">
        <f t="shared" si="93"/>
        <v>2.9760000000000003E-3</v>
      </c>
      <c r="AX59" s="63">
        <f t="shared" si="94"/>
        <v>0.24815999999999999</v>
      </c>
      <c r="AY59" s="63">
        <f t="shared" si="95"/>
        <v>0.25113599999999997</v>
      </c>
      <c r="AZ59" s="63">
        <f t="shared" si="96"/>
        <v>2.622313798394484</v>
      </c>
      <c r="BA59" s="64">
        <f t="shared" si="97"/>
        <v>18.8</v>
      </c>
      <c r="BB59" s="76">
        <f t="shared" si="54"/>
        <v>0.87758960945707853</v>
      </c>
      <c r="BC59" s="64">
        <f t="shared" si="55"/>
        <v>87.758960945707855</v>
      </c>
      <c r="BD59" s="63">
        <f t="shared" si="98"/>
        <v>1.1164306836323077</v>
      </c>
      <c r="BE59" s="63">
        <f t="shared" si="56"/>
        <v>1.0610681103455866</v>
      </c>
      <c r="BF59" s="63">
        <f t="shared" si="99"/>
        <v>0.69908132135260548</v>
      </c>
      <c r="BG59" s="63">
        <f t="shared" si="100"/>
        <v>0.36198678899298098</v>
      </c>
      <c r="BH59" s="63">
        <f t="shared" si="101"/>
        <v>0.11240303414519623</v>
      </c>
      <c r="BI59" s="63">
        <f t="shared" si="57"/>
        <v>0.25113599999999997</v>
      </c>
      <c r="BJ59" s="63">
        <f t="shared" si="58"/>
        <v>3.1546044635448857E-3</v>
      </c>
      <c r="BK59" s="63">
        <f t="shared" si="59"/>
        <v>7.8121365807848897E-2</v>
      </c>
      <c r="BL59" s="63">
        <f t="shared" si="60"/>
        <v>2.6223137983944835</v>
      </c>
      <c r="BQ59" s="77"/>
      <c r="BR59" s="78"/>
    </row>
    <row r="60" spans="3:70" x14ac:dyDescent="0.25">
      <c r="C60" s="61">
        <v>48</v>
      </c>
      <c r="D60" s="61">
        <f t="shared" si="61"/>
        <v>105</v>
      </c>
      <c r="E60" s="61">
        <f t="shared" si="62"/>
        <v>105</v>
      </c>
      <c r="F60" s="61">
        <f t="shared" si="63"/>
        <v>105</v>
      </c>
      <c r="G60" s="73">
        <f t="shared" si="64"/>
        <v>24</v>
      </c>
      <c r="H60" s="64">
        <f t="shared" si="65"/>
        <v>1</v>
      </c>
      <c r="I60" s="63">
        <f t="shared" si="102"/>
        <v>4.8</v>
      </c>
      <c r="J60" s="65">
        <f t="shared" si="66"/>
        <v>8.6117892021752077E-4</v>
      </c>
      <c r="K60" s="65">
        <f t="shared" si="67"/>
        <v>8.6117892021752077E-4</v>
      </c>
      <c r="L60" s="65">
        <f t="shared" si="68"/>
        <v>5.1791610661465239E-3</v>
      </c>
      <c r="M60" s="65">
        <f t="shared" si="69"/>
        <v>5.0000000000000001E-3</v>
      </c>
      <c r="N60" s="63">
        <f t="shared" si="70"/>
        <v>0.16887473466393946</v>
      </c>
      <c r="O60" s="64">
        <f t="shared" si="71"/>
        <v>2.1656030615221282</v>
      </c>
      <c r="P60" s="64">
        <f t="shared" si="72"/>
        <v>5.8828015307610642</v>
      </c>
      <c r="Q60" s="64">
        <f t="shared" si="73"/>
        <v>3.7171984692389355</v>
      </c>
      <c r="R60" s="64">
        <f t="shared" si="74"/>
        <v>0</v>
      </c>
      <c r="S60" s="64">
        <f t="shared" si="75"/>
        <v>4.8405391970667377</v>
      </c>
      <c r="T60" s="63">
        <f t="shared" si="42"/>
        <v>0.1213519892331222</v>
      </c>
      <c r="U60" s="63">
        <f t="shared" si="76"/>
        <v>1</v>
      </c>
      <c r="V60" s="63">
        <f t="shared" si="43"/>
        <v>1.1213519892331223</v>
      </c>
      <c r="W60" s="64">
        <f t="shared" si="44"/>
        <v>0.62515575526383926</v>
      </c>
      <c r="X60" s="63">
        <f t="shared" si="77"/>
        <v>7.8163943667900262E-2</v>
      </c>
      <c r="Y60" s="63">
        <f t="shared" si="45"/>
        <v>7.8163943667900262E-2</v>
      </c>
      <c r="Z60" s="64">
        <f t="shared" si="78"/>
        <v>1.8134656067177874</v>
      </c>
      <c r="AA60" s="74">
        <f t="shared" si="79"/>
        <v>3.288657506748313E-3</v>
      </c>
      <c r="AB60" s="75">
        <f t="shared" si="46"/>
        <v>3.288657506748313E-3</v>
      </c>
      <c r="AC60" s="63">
        <f t="shared" si="80"/>
        <v>1.9891891470881253</v>
      </c>
      <c r="AD60" s="63">
        <f t="shared" si="47"/>
        <v>3.4075760162117141E-3</v>
      </c>
      <c r="AE60" s="63">
        <f t="shared" si="81"/>
        <v>4.5018047213654143E-3</v>
      </c>
      <c r="AF60" s="63">
        <f t="shared" si="82"/>
        <v>0.43887545499672176</v>
      </c>
      <c r="AG60" s="63">
        <f t="shared" si="83"/>
        <v>4.0608000000000005E-2</v>
      </c>
      <c r="AH60" s="63">
        <f t="shared" si="84"/>
        <v>0</v>
      </c>
      <c r="AI60" s="63">
        <f t="shared" si="48"/>
        <v>0.22378064516129031</v>
      </c>
      <c r="AJ60" s="63">
        <f t="shared" si="49"/>
        <v>0.70776590487937741</v>
      </c>
      <c r="AK60" s="63">
        <f t="shared" si="85"/>
        <v>4.4129294414760718</v>
      </c>
      <c r="AL60" s="63">
        <f t="shared" si="86"/>
        <v>1.6770552008639288E-2</v>
      </c>
      <c r="AM60" s="63">
        <f t="shared" si="87"/>
        <v>2.2229583643783721E-2</v>
      </c>
      <c r="AN60" s="63">
        <f t="shared" si="88"/>
        <v>0.10421666624433841</v>
      </c>
      <c r="AO60" s="63">
        <f t="shared" si="89"/>
        <v>578.92358098729983</v>
      </c>
      <c r="AP60" s="63">
        <f t="shared" si="50"/>
        <v>0.10421666624433841</v>
      </c>
      <c r="AQ60" s="61">
        <f t="shared" si="90"/>
        <v>0.46248</v>
      </c>
      <c r="AR60" s="61">
        <f t="shared" si="91"/>
        <v>50128320000</v>
      </c>
      <c r="AS60" s="61">
        <f t="shared" si="51"/>
        <v>0.46248</v>
      </c>
      <c r="AT60" s="61">
        <f t="shared" si="52"/>
        <v>0.23869935483870966</v>
      </c>
      <c r="AU60" s="63">
        <f t="shared" si="53"/>
        <v>0.36514560472683177</v>
      </c>
      <c r="AV60" s="63">
        <f t="shared" si="92"/>
        <v>0.11715409859169749</v>
      </c>
      <c r="AW60" s="63">
        <f t="shared" si="93"/>
        <v>2.9760000000000003E-3</v>
      </c>
      <c r="AX60" s="63">
        <f t="shared" si="94"/>
        <v>0.24815999999999999</v>
      </c>
      <c r="AY60" s="63">
        <f t="shared" si="95"/>
        <v>0.25113599999999997</v>
      </c>
      <c r="AZ60" s="63">
        <f t="shared" si="96"/>
        <v>2.6440061986056778</v>
      </c>
      <c r="BA60" s="64">
        <f t="shared" si="97"/>
        <v>19.2</v>
      </c>
      <c r="BB60" s="76">
        <f t="shared" si="54"/>
        <v>0.87895964803496318</v>
      </c>
      <c r="BC60" s="64">
        <f t="shared" si="55"/>
        <v>87.895964803496312</v>
      </c>
      <c r="BD60" s="63">
        <f t="shared" si="98"/>
        <v>1.1213519892331223</v>
      </c>
      <c r="BE60" s="63">
        <f t="shared" si="56"/>
        <v>1.0729115096062092</v>
      </c>
      <c r="BF60" s="63">
        <f t="shared" si="99"/>
        <v>0.70776590487937741</v>
      </c>
      <c r="BG60" s="63">
        <f t="shared" si="100"/>
        <v>0.36514560472683177</v>
      </c>
      <c r="BH60" s="63">
        <f t="shared" si="101"/>
        <v>0.11715409859169749</v>
      </c>
      <c r="BI60" s="63">
        <f t="shared" si="57"/>
        <v>0.25113599999999997</v>
      </c>
      <c r="BJ60" s="63">
        <f t="shared" si="58"/>
        <v>3.288657506748313E-3</v>
      </c>
      <c r="BK60" s="63">
        <f t="shared" si="59"/>
        <v>7.8163943667900262E-2</v>
      </c>
      <c r="BL60" s="63">
        <f t="shared" si="60"/>
        <v>2.6440061986056773</v>
      </c>
      <c r="BQ60" s="77"/>
      <c r="BR60" s="78"/>
    </row>
    <row r="61" spans="3:70" x14ac:dyDescent="0.25">
      <c r="C61" s="61">
        <v>49</v>
      </c>
      <c r="D61" s="61">
        <f t="shared" si="61"/>
        <v>105</v>
      </c>
      <c r="E61" s="61">
        <f t="shared" si="62"/>
        <v>105</v>
      </c>
      <c r="F61" s="61">
        <f t="shared" si="63"/>
        <v>105</v>
      </c>
      <c r="G61" s="73">
        <f t="shared" si="64"/>
        <v>24</v>
      </c>
      <c r="H61" s="64">
        <f t="shared" si="65"/>
        <v>1</v>
      </c>
      <c r="I61" s="63">
        <f t="shared" si="102"/>
        <v>4.9000000000000004</v>
      </c>
      <c r="J61" s="65">
        <f t="shared" si="66"/>
        <v>8.6117892021752077E-4</v>
      </c>
      <c r="K61" s="65">
        <f t="shared" si="67"/>
        <v>8.6117892021752077E-4</v>
      </c>
      <c r="L61" s="65">
        <f t="shared" si="68"/>
        <v>5.1791610661465239E-3</v>
      </c>
      <c r="M61" s="65">
        <f t="shared" si="69"/>
        <v>5.0000000000000001E-3</v>
      </c>
      <c r="N61" s="63">
        <f t="shared" si="70"/>
        <v>0.16892073608054933</v>
      </c>
      <c r="O61" s="64">
        <f t="shared" si="71"/>
        <v>2.1661929710123959</v>
      </c>
      <c r="P61" s="64">
        <f t="shared" si="72"/>
        <v>5.9830964855061985</v>
      </c>
      <c r="Q61" s="64">
        <f t="shared" si="73"/>
        <v>3.8169035144938022</v>
      </c>
      <c r="R61" s="64">
        <f t="shared" si="74"/>
        <v>0</v>
      </c>
      <c r="S61" s="64">
        <f t="shared" si="75"/>
        <v>4.9397401415093318</v>
      </c>
      <c r="T61" s="63">
        <f t="shared" si="42"/>
        <v>0.12637687835564515</v>
      </c>
      <c r="U61" s="63">
        <f t="shared" si="76"/>
        <v>1</v>
      </c>
      <c r="V61" s="63">
        <f t="shared" si="43"/>
        <v>1.1263768783556452</v>
      </c>
      <c r="W61" s="64">
        <f t="shared" si="44"/>
        <v>0.62532604746534104</v>
      </c>
      <c r="X61" s="63">
        <f t="shared" si="77"/>
        <v>7.8206533127725186E-2</v>
      </c>
      <c r="Y61" s="63">
        <f t="shared" si="45"/>
        <v>7.8206533127725186E-2</v>
      </c>
      <c r="Z61" s="64">
        <f t="shared" si="78"/>
        <v>1.8508311875475576</v>
      </c>
      <c r="AA61" s="74">
        <f t="shared" si="79"/>
        <v>3.4255760847987024E-3</v>
      </c>
      <c r="AB61" s="75">
        <f t="shared" si="46"/>
        <v>3.4255760847987024E-3</v>
      </c>
      <c r="AC61" s="63">
        <f t="shared" si="80"/>
        <v>2.0302316121578858</v>
      </c>
      <c r="AD61" s="63">
        <f t="shared" si="47"/>
        <v>3.5496420641242601E-3</v>
      </c>
      <c r="AE61" s="63">
        <f t="shared" si="81"/>
        <v>4.6896558813901701E-3</v>
      </c>
      <c r="AF61" s="63">
        <f t="shared" si="82"/>
        <v>0.44737614682581806</v>
      </c>
      <c r="AG61" s="63">
        <f t="shared" si="83"/>
        <v>4.0608000000000005E-2</v>
      </c>
      <c r="AH61" s="63">
        <f t="shared" si="84"/>
        <v>0</v>
      </c>
      <c r="AI61" s="63">
        <f t="shared" si="48"/>
        <v>0.22378064516129031</v>
      </c>
      <c r="AJ61" s="63">
        <f t="shared" si="49"/>
        <v>0.71645444786849843</v>
      </c>
      <c r="AK61" s="63">
        <f t="shared" si="85"/>
        <v>4.5032424170405738</v>
      </c>
      <c r="AL61" s="63">
        <f t="shared" si="86"/>
        <v>1.7464012899062874E-2</v>
      </c>
      <c r="AM61" s="63">
        <f t="shared" si="87"/>
        <v>2.3152773429551039E-2</v>
      </c>
      <c r="AN61" s="63">
        <f t="shared" si="88"/>
        <v>0.10647155721449671</v>
      </c>
      <c r="AO61" s="63">
        <f t="shared" si="89"/>
        <v>591.44950032652923</v>
      </c>
      <c r="AP61" s="63">
        <f t="shared" si="50"/>
        <v>0.10647155721449671</v>
      </c>
      <c r="AQ61" s="61">
        <f t="shared" si="90"/>
        <v>0.46248</v>
      </c>
      <c r="AR61" s="61">
        <f t="shared" si="91"/>
        <v>50128320000</v>
      </c>
      <c r="AS61" s="61">
        <f t="shared" si="51"/>
        <v>0.46248</v>
      </c>
      <c r="AT61" s="61">
        <f t="shared" si="52"/>
        <v>0.23869935483870966</v>
      </c>
      <c r="AU61" s="63">
        <f t="shared" si="53"/>
        <v>0.3683236854827574</v>
      </c>
      <c r="AV61" s="63">
        <f t="shared" si="92"/>
        <v>0.12200516332819318</v>
      </c>
      <c r="AW61" s="63">
        <f t="shared" si="93"/>
        <v>2.9760000000000003E-3</v>
      </c>
      <c r="AX61" s="63">
        <f t="shared" si="94"/>
        <v>0.24815999999999999</v>
      </c>
      <c r="AY61" s="63">
        <f t="shared" si="95"/>
        <v>0.25113599999999997</v>
      </c>
      <c r="AZ61" s="63">
        <f t="shared" si="96"/>
        <v>2.6659282842476184</v>
      </c>
      <c r="BA61" s="64">
        <f t="shared" si="97"/>
        <v>19.600000000000001</v>
      </c>
      <c r="BB61" s="76">
        <f t="shared" si="54"/>
        <v>0.88026871144942687</v>
      </c>
      <c r="BC61" s="64">
        <f t="shared" si="55"/>
        <v>88.026871144942689</v>
      </c>
      <c r="BD61" s="63">
        <f t="shared" si="98"/>
        <v>1.1263768783556452</v>
      </c>
      <c r="BE61" s="63">
        <f t="shared" si="56"/>
        <v>1.0847781333512558</v>
      </c>
      <c r="BF61" s="63">
        <f t="shared" si="99"/>
        <v>0.71645444786849843</v>
      </c>
      <c r="BG61" s="63">
        <f t="shared" si="100"/>
        <v>0.3683236854827574</v>
      </c>
      <c r="BH61" s="63">
        <f t="shared" si="101"/>
        <v>0.12200516332819318</v>
      </c>
      <c r="BI61" s="63">
        <f t="shared" si="57"/>
        <v>0.25113599999999997</v>
      </c>
      <c r="BJ61" s="63">
        <f t="shared" si="58"/>
        <v>3.4255760847987024E-3</v>
      </c>
      <c r="BK61" s="63">
        <f t="shared" si="59"/>
        <v>7.8206533127725186E-2</v>
      </c>
      <c r="BL61" s="63">
        <f t="shared" si="60"/>
        <v>2.665928284247618</v>
      </c>
      <c r="BQ61" s="77"/>
      <c r="BR61" s="78"/>
    </row>
    <row r="62" spans="3:70" x14ac:dyDescent="0.25">
      <c r="C62" s="61">
        <v>50</v>
      </c>
      <c r="D62" s="61">
        <f t="shared" si="61"/>
        <v>105</v>
      </c>
      <c r="E62" s="61">
        <f t="shared" si="62"/>
        <v>105</v>
      </c>
      <c r="F62" s="61">
        <f t="shared" si="63"/>
        <v>105</v>
      </c>
      <c r="G62" s="73">
        <f t="shared" si="64"/>
        <v>24</v>
      </c>
      <c r="H62" s="64">
        <f t="shared" si="65"/>
        <v>1</v>
      </c>
      <c r="I62" s="63">
        <f t="shared" si="102"/>
        <v>5</v>
      </c>
      <c r="J62" s="65">
        <f t="shared" si="66"/>
        <v>8.6117892021752077E-4</v>
      </c>
      <c r="K62" s="65">
        <f t="shared" si="67"/>
        <v>8.6117892021752077E-4</v>
      </c>
      <c r="L62" s="65">
        <f t="shared" si="68"/>
        <v>5.1791610661465239E-3</v>
      </c>
      <c r="M62" s="65">
        <f t="shared" si="69"/>
        <v>5.0000000000000001E-3</v>
      </c>
      <c r="N62" s="63">
        <f t="shared" si="70"/>
        <v>0.16896673749715918</v>
      </c>
      <c r="O62" s="64">
        <f t="shared" si="71"/>
        <v>2.1667828805026628</v>
      </c>
      <c r="P62" s="64">
        <f t="shared" si="72"/>
        <v>6.0833914402513312</v>
      </c>
      <c r="Q62" s="64">
        <f t="shared" si="73"/>
        <v>3.9166085597486688</v>
      </c>
      <c r="R62" s="64">
        <f t="shared" si="74"/>
        <v>0</v>
      </c>
      <c r="S62" s="64">
        <f t="shared" si="75"/>
        <v>5.0389726801141341</v>
      </c>
      <c r="T62" s="63">
        <f t="shared" si="42"/>
        <v>0.13150535099987642</v>
      </c>
      <c r="U62" s="63">
        <f t="shared" si="76"/>
        <v>1</v>
      </c>
      <c r="V62" s="63">
        <f t="shared" si="43"/>
        <v>1.1315053509998765</v>
      </c>
      <c r="W62" s="64">
        <f t="shared" si="44"/>
        <v>0.62549633966684259</v>
      </c>
      <c r="X62" s="63">
        <f t="shared" si="77"/>
        <v>7.8249134187323627E-2</v>
      </c>
      <c r="Y62" s="63">
        <f t="shared" si="45"/>
        <v>7.8249134187323627E-2</v>
      </c>
      <c r="Z62" s="64">
        <f t="shared" si="78"/>
        <v>1.8882166224042063</v>
      </c>
      <c r="AA62" s="74">
        <f t="shared" si="79"/>
        <v>3.565362013123549E-3</v>
      </c>
      <c r="AB62" s="75">
        <f t="shared" si="46"/>
        <v>3.565362013123549E-3</v>
      </c>
      <c r="AC62" s="63">
        <f t="shared" si="80"/>
        <v>2.0712981296778663</v>
      </c>
      <c r="AD62" s="63">
        <f t="shared" si="47"/>
        <v>3.6946952031728184E-3</v>
      </c>
      <c r="AE62" s="63">
        <f t="shared" si="81"/>
        <v>4.8814704834919077E-3</v>
      </c>
      <c r="AF62" s="63">
        <f t="shared" si="82"/>
        <v>0.45587683865491424</v>
      </c>
      <c r="AG62" s="63">
        <f t="shared" si="83"/>
        <v>4.0608000000000005E-2</v>
      </c>
      <c r="AH62" s="63">
        <f t="shared" si="84"/>
        <v>0</v>
      </c>
      <c r="AI62" s="63">
        <f t="shared" si="48"/>
        <v>0.22378064516129031</v>
      </c>
      <c r="AJ62" s="63">
        <f t="shared" si="49"/>
        <v>0.72514695429969644</v>
      </c>
      <c r="AK62" s="63">
        <f t="shared" si="85"/>
        <v>4.5935791850070018</v>
      </c>
      <c r="AL62" s="63">
        <f t="shared" si="86"/>
        <v>1.8171710326702176E-2</v>
      </c>
      <c r="AM62" s="63">
        <f t="shared" si="87"/>
        <v>2.4095244880179841E-2</v>
      </c>
      <c r="AN62" s="63">
        <f t="shared" si="88"/>
        <v>0.108726448184655</v>
      </c>
      <c r="AO62" s="63">
        <f t="shared" si="89"/>
        <v>603.97541966575864</v>
      </c>
      <c r="AP62" s="63">
        <f t="shared" si="50"/>
        <v>0.108726448184655</v>
      </c>
      <c r="AQ62" s="61">
        <f t="shared" si="90"/>
        <v>0.46248</v>
      </c>
      <c r="AR62" s="61">
        <f t="shared" si="91"/>
        <v>50128320000</v>
      </c>
      <c r="AS62" s="61">
        <f t="shared" si="51"/>
        <v>0.46248</v>
      </c>
      <c r="AT62" s="61">
        <f t="shared" si="52"/>
        <v>0.23869935483870966</v>
      </c>
      <c r="AU62" s="63">
        <f t="shared" si="53"/>
        <v>0.37152104790354451</v>
      </c>
      <c r="AV62" s="63">
        <f t="shared" si="92"/>
        <v>0.12695622835468309</v>
      </c>
      <c r="AW62" s="63">
        <f t="shared" si="93"/>
        <v>2.9760000000000003E-3</v>
      </c>
      <c r="AX62" s="63">
        <f t="shared" si="94"/>
        <v>0.24815999999999999</v>
      </c>
      <c r="AY62" s="63">
        <f t="shared" si="95"/>
        <v>0.25113599999999997</v>
      </c>
      <c r="AZ62" s="63">
        <f t="shared" si="96"/>
        <v>2.6880800777582476</v>
      </c>
      <c r="BA62" s="64">
        <f t="shared" si="97"/>
        <v>20</v>
      </c>
      <c r="BB62" s="76">
        <f t="shared" si="54"/>
        <v>0.88152016087101848</v>
      </c>
      <c r="BC62" s="64">
        <f t="shared" si="55"/>
        <v>88.152016087101842</v>
      </c>
      <c r="BD62" s="63">
        <f t="shared" si="98"/>
        <v>1.1315053509998765</v>
      </c>
      <c r="BE62" s="63">
        <f t="shared" si="56"/>
        <v>1.0966680022032409</v>
      </c>
      <c r="BF62" s="63">
        <f t="shared" si="99"/>
        <v>0.72514695429969644</v>
      </c>
      <c r="BG62" s="63">
        <f t="shared" si="100"/>
        <v>0.37152104790354451</v>
      </c>
      <c r="BH62" s="63">
        <f t="shared" si="101"/>
        <v>0.12695622835468309</v>
      </c>
      <c r="BI62" s="63">
        <f t="shared" si="57"/>
        <v>0.25113599999999997</v>
      </c>
      <c r="BJ62" s="63">
        <f t="shared" si="58"/>
        <v>3.565362013123549E-3</v>
      </c>
      <c r="BK62" s="63">
        <f t="shared" si="59"/>
        <v>7.8249134187323627E-2</v>
      </c>
      <c r="BL62" s="63">
        <f t="shared" si="60"/>
        <v>2.6880800777582472</v>
      </c>
      <c r="BQ62" s="77"/>
      <c r="BR62" s="78"/>
    </row>
    <row r="63" spans="3:70" x14ac:dyDescent="0.25">
      <c r="C63" s="61">
        <v>51</v>
      </c>
      <c r="D63" s="61">
        <f t="shared" si="61"/>
        <v>105</v>
      </c>
      <c r="E63" s="61">
        <f t="shared" si="62"/>
        <v>105</v>
      </c>
      <c r="F63" s="61">
        <f t="shared" si="63"/>
        <v>105</v>
      </c>
      <c r="G63" s="73">
        <f t="shared" si="64"/>
        <v>24</v>
      </c>
      <c r="H63" s="64">
        <f t="shared" si="65"/>
        <v>1</v>
      </c>
      <c r="I63" s="63">
        <f t="shared" si="102"/>
        <v>5.0999999999999996</v>
      </c>
      <c r="J63" s="65">
        <f t="shared" si="66"/>
        <v>8.6117892021752077E-4</v>
      </c>
      <c r="K63" s="65">
        <f t="shared" si="67"/>
        <v>8.6117892021752077E-4</v>
      </c>
      <c r="L63" s="65">
        <f t="shared" si="68"/>
        <v>5.1791610661465239E-3</v>
      </c>
      <c r="M63" s="65">
        <f t="shared" si="69"/>
        <v>5.0000000000000001E-3</v>
      </c>
      <c r="N63" s="63">
        <f t="shared" si="70"/>
        <v>0.16901273891376903</v>
      </c>
      <c r="O63" s="64">
        <f t="shared" si="71"/>
        <v>2.1673727899929305</v>
      </c>
      <c r="P63" s="64">
        <f t="shared" si="72"/>
        <v>6.1836863949964647</v>
      </c>
      <c r="Q63" s="64">
        <f t="shared" si="73"/>
        <v>4.0163136050035346</v>
      </c>
      <c r="R63" s="64">
        <f t="shared" si="74"/>
        <v>0</v>
      </c>
      <c r="S63" s="64">
        <f t="shared" si="75"/>
        <v>5.1382349823877727</v>
      </c>
      <c r="T63" s="63">
        <f t="shared" si="42"/>
        <v>0.13673740716581609</v>
      </c>
      <c r="U63" s="63">
        <f t="shared" si="76"/>
        <v>1</v>
      </c>
      <c r="V63" s="63">
        <f t="shared" si="43"/>
        <v>1.1367374071658161</v>
      </c>
      <c r="W63" s="64">
        <f t="shared" si="44"/>
        <v>0.62566663186834437</v>
      </c>
      <c r="X63" s="63">
        <f t="shared" si="77"/>
        <v>7.8291746846695681E-2</v>
      </c>
      <c r="Y63" s="63">
        <f t="shared" si="45"/>
        <v>7.8291746846695681E-2</v>
      </c>
      <c r="Z63" s="64">
        <f t="shared" si="78"/>
        <v>1.9256212261611803</v>
      </c>
      <c r="AA63" s="74">
        <f t="shared" si="79"/>
        <v>3.7080171066424875E-3</v>
      </c>
      <c r="AB63" s="75">
        <f t="shared" si="46"/>
        <v>3.7080171066424875E-3</v>
      </c>
      <c r="AC63" s="63">
        <f t="shared" si="80"/>
        <v>2.1123879501624812</v>
      </c>
      <c r="AD63" s="63">
        <f t="shared" si="47"/>
        <v>3.8427378102913056E-3</v>
      </c>
      <c r="AE63" s="63">
        <f t="shared" si="81"/>
        <v>5.0772525260475753E-3</v>
      </c>
      <c r="AF63" s="63">
        <f t="shared" si="82"/>
        <v>0.46437753048401048</v>
      </c>
      <c r="AG63" s="63">
        <f t="shared" si="83"/>
        <v>4.0608000000000005E-2</v>
      </c>
      <c r="AH63" s="63">
        <f t="shared" si="84"/>
        <v>0</v>
      </c>
      <c r="AI63" s="63">
        <f t="shared" si="48"/>
        <v>0.22378064516129031</v>
      </c>
      <c r="AJ63" s="63">
        <f t="shared" si="49"/>
        <v>0.7338434281713484</v>
      </c>
      <c r="AK63" s="63">
        <f t="shared" si="85"/>
        <v>4.683938074125428</v>
      </c>
      <c r="AL63" s="63">
        <f t="shared" si="86"/>
        <v>1.8893641914623307E-2</v>
      </c>
      <c r="AM63" s="63">
        <f t="shared" si="87"/>
        <v>2.5057015058252835E-2</v>
      </c>
      <c r="AN63" s="63">
        <f t="shared" si="88"/>
        <v>0.11098133915481329</v>
      </c>
      <c r="AO63" s="63">
        <f t="shared" si="89"/>
        <v>616.50133900498793</v>
      </c>
      <c r="AP63" s="63">
        <f t="shared" si="50"/>
        <v>0.11098133915481329</v>
      </c>
      <c r="AQ63" s="61">
        <f t="shared" si="90"/>
        <v>0.46248</v>
      </c>
      <c r="AR63" s="61">
        <f t="shared" si="91"/>
        <v>50128320000</v>
      </c>
      <c r="AS63" s="61">
        <f t="shared" si="51"/>
        <v>0.46248</v>
      </c>
      <c r="AT63" s="61">
        <f t="shared" si="52"/>
        <v>0.23869935483870966</v>
      </c>
      <c r="AU63" s="63">
        <f t="shared" si="53"/>
        <v>0.37473770905177578</v>
      </c>
      <c r="AV63" s="63">
        <f t="shared" si="92"/>
        <v>0.13200729367116737</v>
      </c>
      <c r="AW63" s="63">
        <f t="shared" si="93"/>
        <v>2.9760000000000003E-3</v>
      </c>
      <c r="AX63" s="63">
        <f t="shared" si="94"/>
        <v>0.24815999999999999</v>
      </c>
      <c r="AY63" s="63">
        <f t="shared" si="95"/>
        <v>0.25113599999999997</v>
      </c>
      <c r="AZ63" s="63">
        <f t="shared" si="96"/>
        <v>2.7104616020134458</v>
      </c>
      <c r="BA63" s="64">
        <f t="shared" si="97"/>
        <v>20.399999999999999</v>
      </c>
      <c r="BB63" s="76">
        <f t="shared" si="54"/>
        <v>0.88271711536141262</v>
      </c>
      <c r="BC63" s="64">
        <f t="shared" si="55"/>
        <v>88.271711536141268</v>
      </c>
      <c r="BD63" s="63">
        <f t="shared" si="98"/>
        <v>1.1367374071658161</v>
      </c>
      <c r="BE63" s="63">
        <f t="shared" si="56"/>
        <v>1.1085811372231242</v>
      </c>
      <c r="BF63" s="63">
        <f t="shared" si="99"/>
        <v>0.7338434281713484</v>
      </c>
      <c r="BG63" s="63">
        <f t="shared" si="100"/>
        <v>0.37473770905177578</v>
      </c>
      <c r="BH63" s="63">
        <f t="shared" si="101"/>
        <v>0.13200729367116737</v>
      </c>
      <c r="BI63" s="63">
        <f t="shared" si="57"/>
        <v>0.25113599999999997</v>
      </c>
      <c r="BJ63" s="63">
        <f t="shared" si="58"/>
        <v>3.7080171066424875E-3</v>
      </c>
      <c r="BK63" s="63">
        <f t="shared" si="59"/>
        <v>7.8291746846695681E-2</v>
      </c>
      <c r="BL63" s="63">
        <f t="shared" si="60"/>
        <v>2.7104616020134453</v>
      </c>
      <c r="BQ63" s="77"/>
      <c r="BR63" s="78"/>
    </row>
    <row r="64" spans="3:70" x14ac:dyDescent="0.25">
      <c r="C64" s="61">
        <v>52</v>
      </c>
      <c r="D64" s="61">
        <f t="shared" si="61"/>
        <v>105</v>
      </c>
      <c r="E64" s="61">
        <f t="shared" si="62"/>
        <v>105</v>
      </c>
      <c r="F64" s="61">
        <f t="shared" si="63"/>
        <v>105</v>
      </c>
      <c r="G64" s="73">
        <f t="shared" si="64"/>
        <v>24</v>
      </c>
      <c r="H64" s="64">
        <f t="shared" si="65"/>
        <v>1</v>
      </c>
      <c r="I64" s="63">
        <f t="shared" si="102"/>
        <v>5.2</v>
      </c>
      <c r="J64" s="65">
        <f t="shared" si="66"/>
        <v>8.6117892021752077E-4</v>
      </c>
      <c r="K64" s="65">
        <f t="shared" si="67"/>
        <v>8.6117892021752077E-4</v>
      </c>
      <c r="L64" s="65">
        <f t="shared" si="68"/>
        <v>5.1791610661465239E-3</v>
      </c>
      <c r="M64" s="65">
        <f t="shared" si="69"/>
        <v>5.0000000000000001E-3</v>
      </c>
      <c r="N64" s="63">
        <f t="shared" si="70"/>
        <v>0.1690587403303789</v>
      </c>
      <c r="O64" s="64">
        <f t="shared" si="71"/>
        <v>2.1679626994831982</v>
      </c>
      <c r="P64" s="64">
        <f t="shared" si="72"/>
        <v>6.2839813497415991</v>
      </c>
      <c r="Q64" s="64">
        <f t="shared" si="73"/>
        <v>4.1160186502584013</v>
      </c>
      <c r="R64" s="64">
        <f t="shared" si="74"/>
        <v>0</v>
      </c>
      <c r="S64" s="64">
        <f t="shared" si="75"/>
        <v>5.2375253560750625</v>
      </c>
      <c r="T64" s="63">
        <f t="shared" si="42"/>
        <v>0.14207304685346425</v>
      </c>
      <c r="U64" s="63">
        <f t="shared" si="76"/>
        <v>1</v>
      </c>
      <c r="V64" s="63">
        <f t="shared" si="43"/>
        <v>1.1420730468534643</v>
      </c>
      <c r="W64" s="64">
        <f t="shared" si="44"/>
        <v>0.62583692406984615</v>
      </c>
      <c r="X64" s="63">
        <f t="shared" si="77"/>
        <v>7.833437110584128E-2</v>
      </c>
      <c r="Y64" s="63">
        <f t="shared" si="45"/>
        <v>7.833437110584128E-2</v>
      </c>
      <c r="Z64" s="64">
        <f t="shared" si="78"/>
        <v>1.9630443652060643</v>
      </c>
      <c r="AA64" s="74">
        <f t="shared" si="79"/>
        <v>3.8535431797672801E-3</v>
      </c>
      <c r="AB64" s="75">
        <f t="shared" si="46"/>
        <v>3.8535431797672801E-3</v>
      </c>
      <c r="AC64" s="63">
        <f t="shared" si="80"/>
        <v>2.153500380555359</v>
      </c>
      <c r="AD64" s="63">
        <f t="shared" si="47"/>
        <v>3.993772262413633E-3</v>
      </c>
      <c r="AE64" s="63">
        <f t="shared" si="81"/>
        <v>5.277006026139351E-3</v>
      </c>
      <c r="AF64" s="63">
        <f t="shared" si="82"/>
        <v>0.47287822231310678</v>
      </c>
      <c r="AG64" s="63">
        <f t="shared" si="83"/>
        <v>4.0608000000000005E-2</v>
      </c>
      <c r="AH64" s="63">
        <f t="shared" si="84"/>
        <v>0</v>
      </c>
      <c r="AI64" s="63">
        <f t="shared" si="48"/>
        <v>0.22378064516129031</v>
      </c>
      <c r="AJ64" s="63">
        <f t="shared" si="49"/>
        <v>0.74254387350053652</v>
      </c>
      <c r="AK64" s="63">
        <f t="shared" si="85"/>
        <v>4.7743175393428885</v>
      </c>
      <c r="AL64" s="63">
        <f t="shared" si="86"/>
        <v>1.9629805285892369E-2</v>
      </c>
      <c r="AM64" s="63">
        <f t="shared" si="87"/>
        <v>2.6038101447009871E-2</v>
      </c>
      <c r="AN64" s="63">
        <f t="shared" si="88"/>
        <v>0.11323623012497161</v>
      </c>
      <c r="AO64" s="63">
        <f t="shared" si="89"/>
        <v>629.02725834421722</v>
      </c>
      <c r="AP64" s="63">
        <f t="shared" si="50"/>
        <v>0.11323623012497161</v>
      </c>
      <c r="AQ64" s="61">
        <f t="shared" si="90"/>
        <v>0.46248</v>
      </c>
      <c r="AR64" s="61">
        <f t="shared" si="91"/>
        <v>50128320000</v>
      </c>
      <c r="AS64" s="61">
        <f t="shared" si="51"/>
        <v>0.46248</v>
      </c>
      <c r="AT64" s="61">
        <f t="shared" si="52"/>
        <v>0.23869935483870966</v>
      </c>
      <c r="AU64" s="63">
        <f t="shared" si="53"/>
        <v>0.37797368641069118</v>
      </c>
      <c r="AV64" s="63">
        <f t="shared" si="92"/>
        <v>0.13715835927764605</v>
      </c>
      <c r="AW64" s="63">
        <f t="shared" si="93"/>
        <v>2.9760000000000003E-3</v>
      </c>
      <c r="AX64" s="63">
        <f t="shared" si="94"/>
        <v>0.24815999999999999</v>
      </c>
      <c r="AY64" s="63">
        <f t="shared" si="95"/>
        <v>0.25113599999999997</v>
      </c>
      <c r="AZ64" s="63">
        <f t="shared" si="96"/>
        <v>2.7330728803279465</v>
      </c>
      <c r="BA64" s="64">
        <f t="shared" si="97"/>
        <v>20.8</v>
      </c>
      <c r="BB64" s="76">
        <f t="shared" si="54"/>
        <v>0.88386247328488032</v>
      </c>
      <c r="BC64" s="64">
        <f t="shared" si="55"/>
        <v>88.386247328488025</v>
      </c>
      <c r="BD64" s="63">
        <f t="shared" si="98"/>
        <v>1.1420730468534643</v>
      </c>
      <c r="BE64" s="63">
        <f t="shared" si="56"/>
        <v>1.1205175599112276</v>
      </c>
      <c r="BF64" s="63">
        <f t="shared" si="99"/>
        <v>0.74254387350053652</v>
      </c>
      <c r="BG64" s="63">
        <f t="shared" si="100"/>
        <v>0.37797368641069118</v>
      </c>
      <c r="BH64" s="63">
        <f t="shared" si="101"/>
        <v>0.13715835927764605</v>
      </c>
      <c r="BI64" s="63">
        <f t="shared" si="57"/>
        <v>0.25113599999999997</v>
      </c>
      <c r="BJ64" s="63">
        <f t="shared" si="58"/>
        <v>3.8535431797672801E-3</v>
      </c>
      <c r="BK64" s="63">
        <f t="shared" si="59"/>
        <v>7.833437110584128E-2</v>
      </c>
      <c r="BL64" s="63">
        <f t="shared" si="60"/>
        <v>2.7330728803279465</v>
      </c>
      <c r="BQ64" s="77"/>
      <c r="BR64" s="78"/>
    </row>
    <row r="65" spans="3:70" x14ac:dyDescent="0.25">
      <c r="C65" s="61">
        <v>53</v>
      </c>
      <c r="D65" s="61">
        <f t="shared" si="61"/>
        <v>105</v>
      </c>
      <c r="E65" s="61">
        <f t="shared" si="62"/>
        <v>105</v>
      </c>
      <c r="F65" s="61">
        <f t="shared" si="63"/>
        <v>105</v>
      </c>
      <c r="G65" s="73">
        <f t="shared" si="64"/>
        <v>24</v>
      </c>
      <c r="H65" s="64">
        <f t="shared" si="65"/>
        <v>1</v>
      </c>
      <c r="I65" s="63">
        <f t="shared" si="102"/>
        <v>5.3</v>
      </c>
      <c r="J65" s="65">
        <f t="shared" si="66"/>
        <v>8.6117892021752077E-4</v>
      </c>
      <c r="K65" s="65">
        <f t="shared" si="67"/>
        <v>8.6117892021752077E-4</v>
      </c>
      <c r="L65" s="65">
        <f t="shared" si="68"/>
        <v>5.1791610661465239E-3</v>
      </c>
      <c r="M65" s="65">
        <f t="shared" si="69"/>
        <v>5.0000000000000001E-3</v>
      </c>
      <c r="N65" s="63">
        <f t="shared" si="70"/>
        <v>0.16910474174698872</v>
      </c>
      <c r="O65" s="64">
        <f t="shared" si="71"/>
        <v>2.168552608973465</v>
      </c>
      <c r="P65" s="64">
        <f t="shared" si="72"/>
        <v>6.3842763044867326</v>
      </c>
      <c r="Q65" s="64">
        <f t="shared" si="73"/>
        <v>4.2157236955132671</v>
      </c>
      <c r="R65" s="64">
        <f t="shared" si="74"/>
        <v>0</v>
      </c>
      <c r="S65" s="64">
        <f t="shared" si="75"/>
        <v>5.3368422343951485</v>
      </c>
      <c r="T65" s="63">
        <f t="shared" si="42"/>
        <v>0.14751227006282075</v>
      </c>
      <c r="U65" s="63">
        <f t="shared" si="76"/>
        <v>1</v>
      </c>
      <c r="V65" s="63">
        <f t="shared" si="43"/>
        <v>1.1475122700628209</v>
      </c>
      <c r="W65" s="64">
        <f t="shared" si="44"/>
        <v>0.6260072162713477</v>
      </c>
      <c r="X65" s="63">
        <f t="shared" si="77"/>
        <v>7.8377006964760382E-2</v>
      </c>
      <c r="Y65" s="63">
        <f t="shared" si="45"/>
        <v>7.8377006964760382E-2</v>
      </c>
      <c r="Z65" s="64">
        <f t="shared" si="78"/>
        <v>2.0004854526843734</v>
      </c>
      <c r="AA65" s="74">
        <f t="shared" si="79"/>
        <v>4.0019420464018022E-3</v>
      </c>
      <c r="AB65" s="75">
        <f t="shared" si="46"/>
        <v>4.0019420464018022E-3</v>
      </c>
      <c r="AC65" s="63">
        <f t="shared" si="80"/>
        <v>2.1946347790193479</v>
      </c>
      <c r="AD65" s="63">
        <f t="shared" si="47"/>
        <v>4.1478009364737051E-3</v>
      </c>
      <c r="AE65" s="63">
        <f t="shared" si="81"/>
        <v>5.4807350196113234E-3</v>
      </c>
      <c r="AF65" s="63">
        <f t="shared" si="82"/>
        <v>0.48137891414220296</v>
      </c>
      <c r="AG65" s="63">
        <f t="shared" si="83"/>
        <v>4.0608000000000005E-2</v>
      </c>
      <c r="AH65" s="63">
        <f t="shared" si="84"/>
        <v>0</v>
      </c>
      <c r="AI65" s="63">
        <f t="shared" si="48"/>
        <v>0.22378064516129031</v>
      </c>
      <c r="AJ65" s="63">
        <f t="shared" si="49"/>
        <v>0.75124829432310469</v>
      </c>
      <c r="AK65" s="63">
        <f t="shared" si="85"/>
        <v>4.8647161501512599</v>
      </c>
      <c r="AL65" s="63">
        <f t="shared" si="86"/>
        <v>2.0380198063575418E-2</v>
      </c>
      <c r="AM65" s="63">
        <f t="shared" si="87"/>
        <v>2.7038521951232238E-2</v>
      </c>
      <c r="AN65" s="63">
        <f t="shared" si="88"/>
        <v>0.11549112109512989</v>
      </c>
      <c r="AO65" s="63">
        <f t="shared" si="89"/>
        <v>641.55317768344651</v>
      </c>
      <c r="AP65" s="63">
        <f t="shared" si="50"/>
        <v>0.11549112109512989</v>
      </c>
      <c r="AQ65" s="61">
        <f t="shared" si="90"/>
        <v>0.46248</v>
      </c>
      <c r="AR65" s="61">
        <f t="shared" si="91"/>
        <v>50128320000</v>
      </c>
      <c r="AS65" s="61">
        <f t="shared" si="51"/>
        <v>0.46248</v>
      </c>
      <c r="AT65" s="61">
        <f t="shared" si="52"/>
        <v>0.23869935483870966</v>
      </c>
      <c r="AU65" s="63">
        <f t="shared" si="53"/>
        <v>0.38122899788507181</v>
      </c>
      <c r="AV65" s="63">
        <f t="shared" si="92"/>
        <v>0.142409425174119</v>
      </c>
      <c r="AW65" s="63">
        <f t="shared" si="93"/>
        <v>2.9760000000000003E-3</v>
      </c>
      <c r="AX65" s="63">
        <f t="shared" si="94"/>
        <v>0.24815999999999999</v>
      </c>
      <c r="AY65" s="63">
        <f t="shared" si="95"/>
        <v>0.25113599999999997</v>
      </c>
      <c r="AZ65" s="63">
        <f t="shared" si="96"/>
        <v>2.7559139364562784</v>
      </c>
      <c r="BA65" s="64">
        <f t="shared" si="97"/>
        <v>21.2</v>
      </c>
      <c r="BB65" s="76">
        <f t="shared" si="54"/>
        <v>0.88495893148696325</v>
      </c>
      <c r="BC65" s="64">
        <f t="shared" si="55"/>
        <v>88.495893148696325</v>
      </c>
      <c r="BD65" s="63">
        <f t="shared" si="98"/>
        <v>1.1475122700628209</v>
      </c>
      <c r="BE65" s="63">
        <f t="shared" si="56"/>
        <v>1.1324772922081765</v>
      </c>
      <c r="BF65" s="63">
        <f t="shared" si="99"/>
        <v>0.75124829432310469</v>
      </c>
      <c r="BG65" s="63">
        <f t="shared" si="100"/>
        <v>0.38122899788507181</v>
      </c>
      <c r="BH65" s="63">
        <f t="shared" si="101"/>
        <v>0.142409425174119</v>
      </c>
      <c r="BI65" s="63">
        <f t="shared" si="57"/>
        <v>0.25113599999999997</v>
      </c>
      <c r="BJ65" s="63">
        <f t="shared" si="58"/>
        <v>4.0019420464018022E-3</v>
      </c>
      <c r="BK65" s="63">
        <f t="shared" si="59"/>
        <v>7.8377006964760382E-2</v>
      </c>
      <c r="BL65" s="63">
        <f t="shared" si="60"/>
        <v>2.7559139364562784</v>
      </c>
      <c r="BQ65" s="77"/>
      <c r="BR65" s="78"/>
    </row>
    <row r="66" spans="3:70" x14ac:dyDescent="0.25">
      <c r="C66" s="61">
        <v>54</v>
      </c>
      <c r="D66" s="61">
        <f t="shared" si="61"/>
        <v>105</v>
      </c>
      <c r="E66" s="61">
        <f t="shared" si="62"/>
        <v>105</v>
      </c>
      <c r="F66" s="61">
        <f t="shared" si="63"/>
        <v>105</v>
      </c>
      <c r="G66" s="73">
        <f t="shared" si="64"/>
        <v>24</v>
      </c>
      <c r="H66" s="64">
        <f t="shared" si="65"/>
        <v>1</v>
      </c>
      <c r="I66" s="63">
        <f t="shared" si="102"/>
        <v>5.4</v>
      </c>
      <c r="J66" s="65">
        <f t="shared" si="66"/>
        <v>8.6117892021752077E-4</v>
      </c>
      <c r="K66" s="65">
        <f t="shared" si="67"/>
        <v>8.6117892021752077E-4</v>
      </c>
      <c r="L66" s="65">
        <f t="shared" si="68"/>
        <v>5.1791610661465239E-3</v>
      </c>
      <c r="M66" s="65">
        <f t="shared" si="69"/>
        <v>5.0000000000000001E-3</v>
      </c>
      <c r="N66" s="63">
        <f t="shared" si="70"/>
        <v>0.16915074316359857</v>
      </c>
      <c r="O66" s="64">
        <f t="shared" si="71"/>
        <v>2.1691425184637327</v>
      </c>
      <c r="P66" s="64">
        <f t="shared" si="72"/>
        <v>6.4845712592318669</v>
      </c>
      <c r="Q66" s="64">
        <f t="shared" si="73"/>
        <v>4.3154287407681338</v>
      </c>
      <c r="R66" s="64">
        <f t="shared" si="74"/>
        <v>0</v>
      </c>
      <c r="S66" s="64">
        <f t="shared" si="75"/>
        <v>5.4361841646615749</v>
      </c>
      <c r="T66" s="63">
        <f t="shared" si="42"/>
        <v>0.15305507679388572</v>
      </c>
      <c r="U66" s="63">
        <f t="shared" si="76"/>
        <v>1</v>
      </c>
      <c r="V66" s="63">
        <f t="shared" si="43"/>
        <v>1.1530550767938856</v>
      </c>
      <c r="W66" s="64">
        <f t="shared" si="44"/>
        <v>0.62617750847284948</v>
      </c>
      <c r="X66" s="63">
        <f t="shared" si="77"/>
        <v>7.8419654423453111E-2</v>
      </c>
      <c r="Y66" s="63">
        <f t="shared" si="45"/>
        <v>7.8419654423453111E-2</v>
      </c>
      <c r="Z66" s="64">
        <f t="shared" si="78"/>
        <v>2.037943944259037</v>
      </c>
      <c r="AA66" s="74">
        <f t="shared" si="79"/>
        <v>4.1532155199420807E-3</v>
      </c>
      <c r="AB66" s="75">
        <f t="shared" si="46"/>
        <v>4.1532155199420807E-3</v>
      </c>
      <c r="AC66" s="63">
        <f t="shared" si="80"/>
        <v>2.2357905502914024</v>
      </c>
      <c r="AD66" s="63">
        <f t="shared" si="47"/>
        <v>4.3048262094054351E-3</v>
      </c>
      <c r="AE66" s="63">
        <f t="shared" si="81"/>
        <v>5.6884435611264748E-3</v>
      </c>
      <c r="AF66" s="63">
        <f t="shared" si="82"/>
        <v>0.48987960597129926</v>
      </c>
      <c r="AG66" s="63">
        <f t="shared" si="83"/>
        <v>4.0608000000000005E-2</v>
      </c>
      <c r="AH66" s="63">
        <f t="shared" si="84"/>
        <v>0</v>
      </c>
      <c r="AI66" s="63">
        <f t="shared" si="48"/>
        <v>0.22378064516129031</v>
      </c>
      <c r="AJ66" s="63">
        <f t="shared" si="49"/>
        <v>0.75995669469371618</v>
      </c>
      <c r="AK66" s="63">
        <f t="shared" si="85"/>
        <v>4.9551325801985291</v>
      </c>
      <c r="AL66" s="63">
        <f t="shared" si="86"/>
        <v>2.1144817870738571E-2</v>
      </c>
      <c r="AM66" s="63">
        <f t="shared" si="87"/>
        <v>2.8058294898150361E-2</v>
      </c>
      <c r="AN66" s="63">
        <f t="shared" si="88"/>
        <v>0.1177460120652882</v>
      </c>
      <c r="AO66" s="63">
        <f t="shared" si="89"/>
        <v>654.07909702267602</v>
      </c>
      <c r="AP66" s="63">
        <f t="shared" si="50"/>
        <v>0.1177460120652882</v>
      </c>
      <c r="AQ66" s="61">
        <f t="shared" si="90"/>
        <v>0.46248</v>
      </c>
      <c r="AR66" s="61">
        <f t="shared" si="91"/>
        <v>50128320000</v>
      </c>
      <c r="AS66" s="61">
        <f t="shared" si="51"/>
        <v>0.46248</v>
      </c>
      <c r="AT66" s="61">
        <f t="shared" si="52"/>
        <v>0.23869935483870966</v>
      </c>
      <c r="AU66" s="63">
        <f t="shared" si="53"/>
        <v>0.38450366180214823</v>
      </c>
      <c r="AV66" s="63">
        <f t="shared" si="92"/>
        <v>0.14776049136058633</v>
      </c>
      <c r="AW66" s="63">
        <f t="shared" si="93"/>
        <v>2.9760000000000003E-3</v>
      </c>
      <c r="AX66" s="63">
        <f t="shared" si="94"/>
        <v>0.24815999999999999</v>
      </c>
      <c r="AY66" s="63">
        <f t="shared" si="95"/>
        <v>0.25113599999999997</v>
      </c>
      <c r="AZ66" s="63">
        <f t="shared" si="96"/>
        <v>2.7789847945937312</v>
      </c>
      <c r="BA66" s="64">
        <f t="shared" si="97"/>
        <v>21.6</v>
      </c>
      <c r="BB66" s="76">
        <f t="shared" si="54"/>
        <v>0.88600900250735637</v>
      </c>
      <c r="BC66" s="64">
        <f t="shared" si="55"/>
        <v>88.600900250735634</v>
      </c>
      <c r="BD66" s="63">
        <f t="shared" si="98"/>
        <v>1.1530550767938856</v>
      </c>
      <c r="BE66" s="63">
        <f t="shared" si="56"/>
        <v>1.1444603564958644</v>
      </c>
      <c r="BF66" s="63">
        <f t="shared" si="99"/>
        <v>0.75995669469371618</v>
      </c>
      <c r="BG66" s="63">
        <f t="shared" si="100"/>
        <v>0.38450366180214823</v>
      </c>
      <c r="BH66" s="63">
        <f t="shared" si="101"/>
        <v>0.14776049136058633</v>
      </c>
      <c r="BI66" s="63">
        <f t="shared" si="57"/>
        <v>0.25113599999999997</v>
      </c>
      <c r="BJ66" s="63">
        <f t="shared" si="58"/>
        <v>4.1532155199420807E-3</v>
      </c>
      <c r="BK66" s="63">
        <f t="shared" si="59"/>
        <v>7.8419654423453111E-2</v>
      </c>
      <c r="BL66" s="63">
        <f t="shared" si="60"/>
        <v>2.7789847945937312</v>
      </c>
      <c r="BQ66" s="77"/>
      <c r="BR66" s="78"/>
    </row>
    <row r="67" spans="3:70" x14ac:dyDescent="0.25">
      <c r="C67" s="61">
        <v>55</v>
      </c>
      <c r="D67" s="61">
        <f t="shared" si="61"/>
        <v>105</v>
      </c>
      <c r="E67" s="61">
        <f t="shared" si="62"/>
        <v>105</v>
      </c>
      <c r="F67" s="61">
        <f t="shared" si="63"/>
        <v>105</v>
      </c>
      <c r="G67" s="73">
        <f t="shared" si="64"/>
        <v>24</v>
      </c>
      <c r="H67" s="64">
        <f t="shared" si="65"/>
        <v>1</v>
      </c>
      <c r="I67" s="63">
        <f t="shared" si="102"/>
        <v>5.5</v>
      </c>
      <c r="J67" s="65">
        <f t="shared" si="66"/>
        <v>8.6117892021752077E-4</v>
      </c>
      <c r="K67" s="65">
        <f t="shared" si="67"/>
        <v>8.6117892021752077E-4</v>
      </c>
      <c r="L67" s="65">
        <f t="shared" si="68"/>
        <v>5.1791610661465239E-3</v>
      </c>
      <c r="M67" s="65">
        <f t="shared" si="69"/>
        <v>5.0000000000000001E-3</v>
      </c>
      <c r="N67" s="63">
        <f t="shared" si="70"/>
        <v>0.16919674458020842</v>
      </c>
      <c r="O67" s="64">
        <f t="shared" si="71"/>
        <v>2.169732427954</v>
      </c>
      <c r="P67" s="64">
        <f t="shared" si="72"/>
        <v>6.5848662139769996</v>
      </c>
      <c r="Q67" s="64">
        <f t="shared" si="73"/>
        <v>4.4151337860230004</v>
      </c>
      <c r="R67" s="64">
        <f t="shared" si="74"/>
        <v>0</v>
      </c>
      <c r="S67" s="64">
        <f t="shared" si="75"/>
        <v>5.5355497981148716</v>
      </c>
      <c r="T67" s="63">
        <f t="shared" si="42"/>
        <v>0.15870146704665905</v>
      </c>
      <c r="U67" s="63">
        <f t="shared" si="76"/>
        <v>1</v>
      </c>
      <c r="V67" s="63">
        <f t="shared" si="43"/>
        <v>1.1587014670466591</v>
      </c>
      <c r="W67" s="64">
        <f t="shared" si="44"/>
        <v>0.62634780067435114</v>
      </c>
      <c r="X67" s="63">
        <f t="shared" si="77"/>
        <v>7.8462313481919344E-2</v>
      </c>
      <c r="Y67" s="63">
        <f t="shared" si="45"/>
        <v>7.8462313481919344E-2</v>
      </c>
      <c r="Z67" s="64">
        <f t="shared" si="78"/>
        <v>2.0754193343216798</v>
      </c>
      <c r="AA67" s="74">
        <f t="shared" si="79"/>
        <v>4.3073654132762445E-3</v>
      </c>
      <c r="AB67" s="75">
        <f t="shared" si="46"/>
        <v>4.3073654132762445E-3</v>
      </c>
      <c r="AC67" s="63">
        <f t="shared" si="80"/>
        <v>2.2769671415323867</v>
      </c>
      <c r="AD67" s="63">
        <f t="shared" si="47"/>
        <v>4.4648504581427349E-3</v>
      </c>
      <c r="AE67" s="63">
        <f t="shared" si="81"/>
        <v>5.9001357242238787E-3</v>
      </c>
      <c r="AF67" s="63">
        <f t="shared" si="82"/>
        <v>0.4983802978003955</v>
      </c>
      <c r="AG67" s="63">
        <f t="shared" si="83"/>
        <v>4.0608000000000005E-2</v>
      </c>
      <c r="AH67" s="63">
        <f t="shared" si="84"/>
        <v>0</v>
      </c>
      <c r="AI67" s="63">
        <f t="shared" si="48"/>
        <v>0.22378064516129031</v>
      </c>
      <c r="AJ67" s="63">
        <f t="shared" si="49"/>
        <v>0.76866907868590961</v>
      </c>
      <c r="AK67" s="63">
        <f t="shared" si="85"/>
        <v>5.04556559800697</v>
      </c>
      <c r="AL67" s="63">
        <f t="shared" si="86"/>
        <v>2.1923662330447912E-2</v>
      </c>
      <c r="AM67" s="63">
        <f t="shared" si="87"/>
        <v>2.9097439038374459E-2</v>
      </c>
      <c r="AN67" s="63">
        <f t="shared" si="88"/>
        <v>0.1200009030354465</v>
      </c>
      <c r="AO67" s="63">
        <f t="shared" si="89"/>
        <v>666.60501636190531</v>
      </c>
      <c r="AP67" s="63">
        <f t="shared" si="50"/>
        <v>0.1200009030354465</v>
      </c>
      <c r="AQ67" s="61">
        <f t="shared" si="90"/>
        <v>0.46248</v>
      </c>
      <c r="AR67" s="61">
        <f t="shared" si="91"/>
        <v>50128320000</v>
      </c>
      <c r="AS67" s="61">
        <f t="shared" si="51"/>
        <v>0.46248</v>
      </c>
      <c r="AT67" s="61">
        <f t="shared" si="52"/>
        <v>0.23869935483870966</v>
      </c>
      <c r="AU67" s="63">
        <f t="shared" si="53"/>
        <v>0.38779769691253063</v>
      </c>
      <c r="AV67" s="63">
        <f t="shared" si="92"/>
        <v>0.15321155783704798</v>
      </c>
      <c r="AW67" s="63">
        <f t="shared" si="93"/>
        <v>2.9760000000000003E-3</v>
      </c>
      <c r="AX67" s="63">
        <f t="shared" si="94"/>
        <v>0.24815999999999999</v>
      </c>
      <c r="AY67" s="63">
        <f t="shared" si="95"/>
        <v>0.25113599999999997</v>
      </c>
      <c r="AZ67" s="63">
        <f t="shared" si="96"/>
        <v>2.8022854793773426</v>
      </c>
      <c r="BA67" s="64">
        <f t="shared" si="97"/>
        <v>22</v>
      </c>
      <c r="BB67" s="76">
        <f t="shared" si="54"/>
        <v>0.88701503005812132</v>
      </c>
      <c r="BC67" s="64">
        <f t="shared" si="55"/>
        <v>88.701503005812128</v>
      </c>
      <c r="BD67" s="63">
        <f t="shared" si="98"/>
        <v>1.1587014670466591</v>
      </c>
      <c r="BE67" s="63">
        <f t="shared" si="56"/>
        <v>1.1564667755984401</v>
      </c>
      <c r="BF67" s="63">
        <f t="shared" si="99"/>
        <v>0.76866907868590961</v>
      </c>
      <c r="BG67" s="63">
        <f t="shared" si="100"/>
        <v>0.38779769691253063</v>
      </c>
      <c r="BH67" s="63">
        <f t="shared" si="101"/>
        <v>0.15321155783704798</v>
      </c>
      <c r="BI67" s="63">
        <f t="shared" si="57"/>
        <v>0.25113599999999997</v>
      </c>
      <c r="BJ67" s="63">
        <f t="shared" si="58"/>
        <v>4.3073654132762445E-3</v>
      </c>
      <c r="BK67" s="63">
        <f t="shared" si="59"/>
        <v>7.8462313481919344E-2</v>
      </c>
      <c r="BL67" s="63">
        <f t="shared" si="60"/>
        <v>2.8022854793773426</v>
      </c>
      <c r="BQ67" s="77"/>
      <c r="BR67" s="78"/>
    </row>
    <row r="68" spans="3:70" x14ac:dyDescent="0.25">
      <c r="C68" s="61">
        <v>56</v>
      </c>
      <c r="D68" s="61">
        <f t="shared" si="61"/>
        <v>105</v>
      </c>
      <c r="E68" s="61">
        <f t="shared" si="62"/>
        <v>105</v>
      </c>
      <c r="F68" s="61">
        <f t="shared" si="63"/>
        <v>105</v>
      </c>
      <c r="G68" s="73">
        <f t="shared" si="64"/>
        <v>24</v>
      </c>
      <c r="H68" s="64">
        <f t="shared" si="65"/>
        <v>1</v>
      </c>
      <c r="I68" s="63">
        <f t="shared" si="102"/>
        <v>5.6</v>
      </c>
      <c r="J68" s="65">
        <f t="shared" si="66"/>
        <v>8.6117892021752077E-4</v>
      </c>
      <c r="K68" s="65">
        <f t="shared" si="67"/>
        <v>8.6117892021752077E-4</v>
      </c>
      <c r="L68" s="65">
        <f t="shared" si="68"/>
        <v>5.1791610661465239E-3</v>
      </c>
      <c r="M68" s="65">
        <f t="shared" si="69"/>
        <v>5.0000000000000001E-3</v>
      </c>
      <c r="N68" s="63">
        <f t="shared" si="70"/>
        <v>0.16924274599681829</v>
      </c>
      <c r="O68" s="64">
        <f t="shared" si="71"/>
        <v>2.1703223374442677</v>
      </c>
      <c r="P68" s="64">
        <f t="shared" si="72"/>
        <v>6.685161168722134</v>
      </c>
      <c r="Q68" s="64">
        <f t="shared" si="73"/>
        <v>4.5148388312778653</v>
      </c>
      <c r="R68" s="64">
        <f t="shared" si="74"/>
        <v>0</v>
      </c>
      <c r="S68" s="64">
        <f t="shared" si="75"/>
        <v>5.6349378808200532</v>
      </c>
      <c r="T68" s="63">
        <f t="shared" si="42"/>
        <v>0.1644514408211408</v>
      </c>
      <c r="U68" s="63">
        <f t="shared" si="76"/>
        <v>1</v>
      </c>
      <c r="V68" s="63">
        <f t="shared" si="43"/>
        <v>1.1644514408211408</v>
      </c>
      <c r="W68" s="64">
        <f t="shared" si="44"/>
        <v>0.62651809287585292</v>
      </c>
      <c r="X68" s="63">
        <f t="shared" si="77"/>
        <v>7.8504984140159176E-2</v>
      </c>
      <c r="Y68" s="63">
        <f t="shared" si="45"/>
        <v>7.8504984140159176E-2</v>
      </c>
      <c r="Z68" s="64">
        <f t="shared" si="78"/>
        <v>2.1129111526007351</v>
      </c>
      <c r="AA68" s="74">
        <f t="shared" si="79"/>
        <v>4.4643935387845678E-3</v>
      </c>
      <c r="AB68" s="75">
        <f t="shared" si="46"/>
        <v>4.4643935387845678E-3</v>
      </c>
      <c r="AC68" s="63">
        <f t="shared" si="80"/>
        <v>2.318164038611549</v>
      </c>
      <c r="AD68" s="63">
        <f t="shared" si="47"/>
        <v>4.6278760596195111E-3</v>
      </c>
      <c r="AE68" s="63">
        <f t="shared" si="81"/>
        <v>6.1158156013762059E-3</v>
      </c>
      <c r="AF68" s="63">
        <f t="shared" si="82"/>
        <v>0.5068809896294918</v>
      </c>
      <c r="AG68" s="63">
        <f t="shared" si="83"/>
        <v>4.0608000000000005E-2</v>
      </c>
      <c r="AH68" s="63">
        <f t="shared" si="84"/>
        <v>0</v>
      </c>
      <c r="AI68" s="63">
        <f t="shared" si="48"/>
        <v>0.22378064516129031</v>
      </c>
      <c r="AJ68" s="63">
        <f t="shared" si="49"/>
        <v>0.77738545039215823</v>
      </c>
      <c r="AK68" s="63">
        <f t="shared" si="85"/>
        <v>5.1360140586634868</v>
      </c>
      <c r="AL68" s="63">
        <f t="shared" si="86"/>
        <v>2.2716729065769513E-2</v>
      </c>
      <c r="AM68" s="63">
        <f t="shared" si="87"/>
        <v>3.015597354684877E-2</v>
      </c>
      <c r="AN68" s="63">
        <f t="shared" si="88"/>
        <v>0.12225579400560478</v>
      </c>
      <c r="AO68" s="63">
        <f t="shared" si="89"/>
        <v>679.13093570113449</v>
      </c>
      <c r="AP68" s="63">
        <f t="shared" si="50"/>
        <v>0.12225579400560478</v>
      </c>
      <c r="AQ68" s="61">
        <f t="shared" si="90"/>
        <v>0.46248</v>
      </c>
      <c r="AR68" s="61">
        <f t="shared" si="91"/>
        <v>50128320000</v>
      </c>
      <c r="AS68" s="61">
        <f t="shared" si="51"/>
        <v>0.46248</v>
      </c>
      <c r="AT68" s="61">
        <f t="shared" si="52"/>
        <v>0.23869935483870966</v>
      </c>
      <c r="AU68" s="63">
        <f t="shared" si="53"/>
        <v>0.39111112239116319</v>
      </c>
      <c r="AV68" s="63">
        <f t="shared" si="92"/>
        <v>0.15876262460350396</v>
      </c>
      <c r="AW68" s="63">
        <f t="shared" si="93"/>
        <v>2.9760000000000003E-3</v>
      </c>
      <c r="AX68" s="63">
        <f t="shared" si="94"/>
        <v>0.24815999999999999</v>
      </c>
      <c r="AY68" s="63">
        <f t="shared" si="95"/>
        <v>0.25113599999999997</v>
      </c>
      <c r="AZ68" s="63">
        <f t="shared" si="96"/>
        <v>2.8258160158869097</v>
      </c>
      <c r="BA68" s="64">
        <f t="shared" si="97"/>
        <v>22.4</v>
      </c>
      <c r="BB68" s="76">
        <f t="shared" si="54"/>
        <v>0.88797920296781496</v>
      </c>
      <c r="BC68" s="64">
        <f t="shared" si="55"/>
        <v>88.797920296781498</v>
      </c>
      <c r="BD68" s="63">
        <f t="shared" si="98"/>
        <v>1.1644514408211408</v>
      </c>
      <c r="BE68" s="63">
        <f t="shared" si="56"/>
        <v>1.1684965727833214</v>
      </c>
      <c r="BF68" s="63">
        <f t="shared" si="99"/>
        <v>0.77738545039215823</v>
      </c>
      <c r="BG68" s="63">
        <f t="shared" si="100"/>
        <v>0.39111112239116319</v>
      </c>
      <c r="BH68" s="63">
        <f t="shared" si="101"/>
        <v>0.15876262460350396</v>
      </c>
      <c r="BI68" s="63">
        <f t="shared" si="57"/>
        <v>0.25113599999999997</v>
      </c>
      <c r="BJ68" s="63">
        <f t="shared" si="58"/>
        <v>4.4643935387845678E-3</v>
      </c>
      <c r="BK68" s="63">
        <f t="shared" si="59"/>
        <v>7.8504984140159176E-2</v>
      </c>
      <c r="BL68" s="63">
        <f t="shared" si="60"/>
        <v>2.8258160158869101</v>
      </c>
      <c r="BQ68" s="77"/>
      <c r="BR68" s="78"/>
    </row>
    <row r="69" spans="3:70" x14ac:dyDescent="0.25">
      <c r="C69" s="61">
        <v>57</v>
      </c>
      <c r="D69" s="61">
        <f t="shared" si="61"/>
        <v>105</v>
      </c>
      <c r="E69" s="61">
        <f t="shared" si="62"/>
        <v>105</v>
      </c>
      <c r="F69" s="61">
        <f t="shared" si="63"/>
        <v>105</v>
      </c>
      <c r="G69" s="73">
        <f t="shared" si="64"/>
        <v>24</v>
      </c>
      <c r="H69" s="64">
        <f t="shared" si="65"/>
        <v>1</v>
      </c>
      <c r="I69" s="63">
        <f t="shared" si="102"/>
        <v>5.7</v>
      </c>
      <c r="J69" s="65">
        <f t="shared" si="66"/>
        <v>8.6117892021752077E-4</v>
      </c>
      <c r="K69" s="65">
        <f t="shared" si="67"/>
        <v>8.6117892021752077E-4</v>
      </c>
      <c r="L69" s="65">
        <f t="shared" si="68"/>
        <v>5.1791610661465239E-3</v>
      </c>
      <c r="M69" s="65">
        <f t="shared" si="69"/>
        <v>5.0000000000000001E-3</v>
      </c>
      <c r="N69" s="63">
        <f t="shared" si="70"/>
        <v>0.16928874741342814</v>
      </c>
      <c r="O69" s="64">
        <f t="shared" si="71"/>
        <v>2.170912246934535</v>
      </c>
      <c r="P69" s="64">
        <f t="shared" si="72"/>
        <v>6.7854561234672675</v>
      </c>
      <c r="Q69" s="64">
        <f t="shared" si="73"/>
        <v>4.6145438765327329</v>
      </c>
      <c r="R69" s="64">
        <f t="shared" si="74"/>
        <v>0</v>
      </c>
      <c r="S69" s="64">
        <f t="shared" si="75"/>
        <v>5.7343472455015192</v>
      </c>
      <c r="T69" s="63">
        <f t="shared" si="42"/>
        <v>0.17030499811733094</v>
      </c>
      <c r="U69" s="63">
        <f t="shared" si="76"/>
        <v>1</v>
      </c>
      <c r="V69" s="63">
        <f t="shared" si="43"/>
        <v>1.170304998117331</v>
      </c>
      <c r="W69" s="64">
        <f t="shared" si="44"/>
        <v>0.62668838507735458</v>
      </c>
      <c r="X69" s="63">
        <f t="shared" si="77"/>
        <v>7.8547666398172539E-2</v>
      </c>
      <c r="Y69" s="63">
        <f t="shared" si="45"/>
        <v>7.8547666398172539E-2</v>
      </c>
      <c r="Z69" s="64">
        <f t="shared" si="78"/>
        <v>2.150418961118842</v>
      </c>
      <c r="AA69" s="74">
        <f t="shared" si="79"/>
        <v>4.62430170833944E-3</v>
      </c>
      <c r="AB69" s="75">
        <f t="shared" si="46"/>
        <v>4.62430170833944E-3</v>
      </c>
      <c r="AC69" s="63">
        <f t="shared" si="80"/>
        <v>2.359380762773625</v>
      </c>
      <c r="AD69" s="63">
        <f t="shared" si="47"/>
        <v>4.7939053907696755E-3</v>
      </c>
      <c r="AE69" s="63">
        <f t="shared" si="81"/>
        <v>6.3354873040474989E-3</v>
      </c>
      <c r="AF69" s="63">
        <f t="shared" si="82"/>
        <v>0.51538168145858809</v>
      </c>
      <c r="AG69" s="63">
        <f t="shared" si="83"/>
        <v>4.0608000000000005E-2</v>
      </c>
      <c r="AH69" s="63">
        <f t="shared" si="84"/>
        <v>0</v>
      </c>
      <c r="AI69" s="63">
        <f t="shared" si="48"/>
        <v>0.22378064516129031</v>
      </c>
      <c r="AJ69" s="63">
        <f t="shared" si="49"/>
        <v>0.78610581392392587</v>
      </c>
      <c r="AK69" s="63">
        <f t="shared" si="85"/>
        <v>5.2264768963657158</v>
      </c>
      <c r="AL69" s="63">
        <f t="shared" si="86"/>
        <v>2.3524015699769491E-2</v>
      </c>
      <c r="AM69" s="63">
        <f t="shared" si="87"/>
        <v>3.1233918023829282E-2</v>
      </c>
      <c r="AN69" s="63">
        <f t="shared" si="88"/>
        <v>0.12451068497576309</v>
      </c>
      <c r="AO69" s="63">
        <f t="shared" si="89"/>
        <v>691.65685504036401</v>
      </c>
      <c r="AP69" s="63">
        <f t="shared" si="50"/>
        <v>0.12451068497576309</v>
      </c>
      <c r="AQ69" s="61">
        <f t="shared" si="90"/>
        <v>0.46248</v>
      </c>
      <c r="AR69" s="61">
        <f t="shared" si="91"/>
        <v>50128320000</v>
      </c>
      <c r="AS69" s="61">
        <f t="shared" si="51"/>
        <v>0.46248</v>
      </c>
      <c r="AT69" s="61">
        <f t="shared" si="52"/>
        <v>0.23869935483870966</v>
      </c>
      <c r="AU69" s="63">
        <f t="shared" si="53"/>
        <v>0.394443957838302</v>
      </c>
      <c r="AV69" s="63">
        <f t="shared" si="92"/>
        <v>0.16441369165995429</v>
      </c>
      <c r="AW69" s="63">
        <f t="shared" si="93"/>
        <v>2.9760000000000003E-3</v>
      </c>
      <c r="AX69" s="63">
        <f t="shared" si="94"/>
        <v>0.24815999999999999</v>
      </c>
      <c r="AY69" s="63">
        <f t="shared" si="95"/>
        <v>0.25113599999999997</v>
      </c>
      <c r="AZ69" s="63">
        <f t="shared" si="96"/>
        <v>2.8495764296460249</v>
      </c>
      <c r="BA69" s="64">
        <f t="shared" si="97"/>
        <v>22.8</v>
      </c>
      <c r="BB69" s="76">
        <f t="shared" si="54"/>
        <v>0.88890356776603696</v>
      </c>
      <c r="BC69" s="64">
        <f t="shared" si="55"/>
        <v>88.890356776603696</v>
      </c>
      <c r="BD69" s="63">
        <f t="shared" si="98"/>
        <v>1.170304998117331</v>
      </c>
      <c r="BE69" s="63">
        <f t="shared" si="56"/>
        <v>1.180549771762228</v>
      </c>
      <c r="BF69" s="63">
        <f t="shared" si="99"/>
        <v>0.78610581392392587</v>
      </c>
      <c r="BG69" s="63">
        <f t="shared" si="100"/>
        <v>0.394443957838302</v>
      </c>
      <c r="BH69" s="63">
        <f t="shared" si="101"/>
        <v>0.16441369165995429</v>
      </c>
      <c r="BI69" s="63">
        <f t="shared" si="57"/>
        <v>0.25113599999999997</v>
      </c>
      <c r="BJ69" s="63">
        <f t="shared" si="58"/>
        <v>4.62430170833944E-3</v>
      </c>
      <c r="BK69" s="63">
        <f t="shared" si="59"/>
        <v>7.8547666398172539E-2</v>
      </c>
      <c r="BL69" s="63">
        <f t="shared" si="60"/>
        <v>2.8495764296460249</v>
      </c>
      <c r="BQ69" s="77"/>
      <c r="BR69" s="78"/>
    </row>
    <row r="70" spans="3:70" x14ac:dyDescent="0.25">
      <c r="C70" s="61">
        <v>58</v>
      </c>
      <c r="D70" s="61">
        <f t="shared" si="61"/>
        <v>105</v>
      </c>
      <c r="E70" s="61">
        <f t="shared" si="62"/>
        <v>105</v>
      </c>
      <c r="F70" s="61">
        <f t="shared" si="63"/>
        <v>105</v>
      </c>
      <c r="G70" s="73">
        <f t="shared" si="64"/>
        <v>24</v>
      </c>
      <c r="H70" s="64">
        <f t="shared" si="65"/>
        <v>1</v>
      </c>
      <c r="I70" s="63">
        <f t="shared" si="102"/>
        <v>5.8</v>
      </c>
      <c r="J70" s="65">
        <f t="shared" si="66"/>
        <v>8.6117892021752077E-4</v>
      </c>
      <c r="K70" s="65">
        <f t="shared" si="67"/>
        <v>8.6117892021752077E-4</v>
      </c>
      <c r="L70" s="65">
        <f t="shared" si="68"/>
        <v>5.1791610661465239E-3</v>
      </c>
      <c r="M70" s="65">
        <f t="shared" si="69"/>
        <v>5.0000000000000001E-3</v>
      </c>
      <c r="N70" s="63">
        <f t="shared" si="70"/>
        <v>0.16933474883003796</v>
      </c>
      <c r="O70" s="64">
        <f t="shared" si="71"/>
        <v>2.1715021564248018</v>
      </c>
      <c r="P70" s="64">
        <f t="shared" si="72"/>
        <v>6.885751078212401</v>
      </c>
      <c r="Q70" s="64">
        <f t="shared" si="73"/>
        <v>4.7142489217875987</v>
      </c>
      <c r="R70" s="64">
        <f t="shared" si="74"/>
        <v>0</v>
      </c>
      <c r="S70" s="64">
        <f t="shared" si="75"/>
        <v>5.8337768042049571</v>
      </c>
      <c r="T70" s="63">
        <f t="shared" si="42"/>
        <v>0.17626213893522955</v>
      </c>
      <c r="U70" s="63">
        <f t="shared" si="76"/>
        <v>1</v>
      </c>
      <c r="V70" s="63">
        <f t="shared" si="43"/>
        <v>1.1762621389352295</v>
      </c>
      <c r="W70" s="64">
        <f t="shared" si="44"/>
        <v>0.62685867727885614</v>
      </c>
      <c r="X70" s="63">
        <f t="shared" si="77"/>
        <v>7.8590360255959432E-2</v>
      </c>
      <c r="Y70" s="63">
        <f t="shared" si="45"/>
        <v>7.8590360255959432E-2</v>
      </c>
      <c r="Z70" s="64">
        <f t="shared" si="78"/>
        <v>2.1879423514584171</v>
      </c>
      <c r="AA70" s="74">
        <f t="shared" si="79"/>
        <v>4.7870917333053872E-3</v>
      </c>
      <c r="AB70" s="75">
        <f t="shared" si="46"/>
        <v>4.7870917333053872E-3</v>
      </c>
      <c r="AC70" s="63">
        <f t="shared" si="80"/>
        <v>2.4006168676435027</v>
      </c>
      <c r="AD70" s="63">
        <f t="shared" si="47"/>
        <v>4.9629408285271357E-3</v>
      </c>
      <c r="AE70" s="63">
        <f t="shared" si="81"/>
        <v>6.5591549627512079E-3</v>
      </c>
      <c r="AF70" s="63">
        <f t="shared" si="82"/>
        <v>0.52388237328768428</v>
      </c>
      <c r="AG70" s="63">
        <f t="shared" si="83"/>
        <v>4.0608000000000005E-2</v>
      </c>
      <c r="AH70" s="63">
        <f t="shared" si="84"/>
        <v>0</v>
      </c>
      <c r="AI70" s="63">
        <f t="shared" si="48"/>
        <v>0.22378064516129031</v>
      </c>
      <c r="AJ70" s="63">
        <f t="shared" si="49"/>
        <v>0.79483017341172579</v>
      </c>
      <c r="AK70" s="63">
        <f t="shared" si="85"/>
        <v>5.3169531177230915</v>
      </c>
      <c r="AL70" s="63">
        <f t="shared" si="86"/>
        <v>2.4345519855513937E-2</v>
      </c>
      <c r="AM70" s="63">
        <f t="shared" si="87"/>
        <v>3.2331292495884824E-2</v>
      </c>
      <c r="AN70" s="63">
        <f t="shared" si="88"/>
        <v>0.12676557594592139</v>
      </c>
      <c r="AO70" s="63">
        <f t="shared" si="89"/>
        <v>704.18277437959318</v>
      </c>
      <c r="AP70" s="63">
        <f t="shared" si="50"/>
        <v>0.12676557594592139</v>
      </c>
      <c r="AQ70" s="61">
        <f t="shared" si="90"/>
        <v>0.46248</v>
      </c>
      <c r="AR70" s="61">
        <f t="shared" si="91"/>
        <v>50128320000</v>
      </c>
      <c r="AS70" s="61">
        <f t="shared" si="51"/>
        <v>0.46248</v>
      </c>
      <c r="AT70" s="61">
        <f t="shared" si="52"/>
        <v>0.23869935483870966</v>
      </c>
      <c r="AU70" s="63">
        <f t="shared" si="53"/>
        <v>0.39779622328051589</v>
      </c>
      <c r="AV70" s="63">
        <f t="shared" si="92"/>
        <v>0.17016475900639902</v>
      </c>
      <c r="AW70" s="63">
        <f t="shared" si="93"/>
        <v>2.9760000000000003E-3</v>
      </c>
      <c r="AX70" s="63">
        <f t="shared" si="94"/>
        <v>0.24815999999999999</v>
      </c>
      <c r="AY70" s="63">
        <f t="shared" si="95"/>
        <v>0.25113599999999997</v>
      </c>
      <c r="AZ70" s="63">
        <f t="shared" si="96"/>
        <v>2.8735667466231347</v>
      </c>
      <c r="BA70" s="64">
        <f t="shared" si="97"/>
        <v>23.2</v>
      </c>
      <c r="BB70" s="76">
        <f t="shared" si="54"/>
        <v>0.88979004006057982</v>
      </c>
      <c r="BC70" s="64">
        <f t="shared" si="55"/>
        <v>88.979004006057977</v>
      </c>
      <c r="BD70" s="63">
        <f t="shared" si="98"/>
        <v>1.1762621389352295</v>
      </c>
      <c r="BE70" s="63">
        <f t="shared" si="56"/>
        <v>1.1926263966922417</v>
      </c>
      <c r="BF70" s="63">
        <f t="shared" si="99"/>
        <v>0.79483017341172579</v>
      </c>
      <c r="BG70" s="63">
        <f t="shared" si="100"/>
        <v>0.39779622328051589</v>
      </c>
      <c r="BH70" s="63">
        <f t="shared" si="101"/>
        <v>0.17016475900639902</v>
      </c>
      <c r="BI70" s="63">
        <f t="shared" si="57"/>
        <v>0.25113599999999997</v>
      </c>
      <c r="BJ70" s="63">
        <f t="shared" si="58"/>
        <v>4.7870917333053872E-3</v>
      </c>
      <c r="BK70" s="63">
        <f t="shared" si="59"/>
        <v>7.8590360255959432E-2</v>
      </c>
      <c r="BL70" s="63">
        <f t="shared" si="60"/>
        <v>2.8735667466231347</v>
      </c>
      <c r="BQ70" s="77"/>
      <c r="BR70" s="78"/>
    </row>
    <row r="71" spans="3:70" x14ac:dyDescent="0.25">
      <c r="C71" s="61">
        <v>59</v>
      </c>
      <c r="D71" s="61">
        <f t="shared" si="61"/>
        <v>105</v>
      </c>
      <c r="E71" s="61">
        <f t="shared" si="62"/>
        <v>105</v>
      </c>
      <c r="F71" s="61">
        <f t="shared" si="63"/>
        <v>105</v>
      </c>
      <c r="G71" s="73">
        <f t="shared" si="64"/>
        <v>24</v>
      </c>
      <c r="H71" s="64">
        <f t="shared" si="65"/>
        <v>1</v>
      </c>
      <c r="I71" s="63">
        <f t="shared" si="102"/>
        <v>5.9</v>
      </c>
      <c r="J71" s="65">
        <f t="shared" si="66"/>
        <v>8.6117892021752077E-4</v>
      </c>
      <c r="K71" s="65">
        <f t="shared" si="67"/>
        <v>8.6117892021752077E-4</v>
      </c>
      <c r="L71" s="65">
        <f t="shared" si="68"/>
        <v>5.1791610661465239E-3</v>
      </c>
      <c r="M71" s="65">
        <f t="shared" si="69"/>
        <v>5.0000000000000001E-3</v>
      </c>
      <c r="N71" s="63">
        <f t="shared" si="70"/>
        <v>0.16938075024664781</v>
      </c>
      <c r="O71" s="64">
        <f t="shared" si="71"/>
        <v>2.1720920659150691</v>
      </c>
      <c r="P71" s="64">
        <f t="shared" si="72"/>
        <v>6.9860460329575353</v>
      </c>
      <c r="Q71" s="64">
        <f t="shared" si="73"/>
        <v>4.8139539670424654</v>
      </c>
      <c r="R71" s="64">
        <f t="shared" si="74"/>
        <v>0</v>
      </c>
      <c r="S71" s="64">
        <f t="shared" si="75"/>
        <v>5.9332255416904216</v>
      </c>
      <c r="T71" s="63">
        <f t="shared" si="42"/>
        <v>0.18232286327483652</v>
      </c>
      <c r="U71" s="63">
        <f t="shared" si="76"/>
        <v>1</v>
      </c>
      <c r="V71" s="63">
        <f t="shared" si="43"/>
        <v>1.1823228632748366</v>
      </c>
      <c r="W71" s="64">
        <f t="shared" si="44"/>
        <v>0.6270289694803578</v>
      </c>
      <c r="X71" s="63">
        <f t="shared" si="77"/>
        <v>7.8633065713519898E-2</v>
      </c>
      <c r="Y71" s="63">
        <f t="shared" si="45"/>
        <v>7.8633065713519898E-2</v>
      </c>
      <c r="Z71" s="64">
        <f t="shared" si="78"/>
        <v>2.2254809422996766</v>
      </c>
      <c r="AA71" s="74">
        <f t="shared" si="79"/>
        <v>4.9527654245390572E-3</v>
      </c>
      <c r="AB71" s="75">
        <f t="shared" si="46"/>
        <v>4.9527654245390572E-3</v>
      </c>
      <c r="AC71" s="63">
        <f t="shared" si="80"/>
        <v>2.441871936529342</v>
      </c>
      <c r="AD71" s="63">
        <f t="shared" si="47"/>
        <v>5.1349847498258052E-3</v>
      </c>
      <c r="AE71" s="63">
        <f t="shared" si="81"/>
        <v>6.7868227271085241E-3</v>
      </c>
      <c r="AF71" s="63">
        <f t="shared" si="82"/>
        <v>0.53238306511678057</v>
      </c>
      <c r="AG71" s="63">
        <f t="shared" si="83"/>
        <v>4.0608000000000005E-2</v>
      </c>
      <c r="AH71" s="63">
        <f t="shared" si="84"/>
        <v>0</v>
      </c>
      <c r="AI71" s="63">
        <f t="shared" si="48"/>
        <v>0.22378064516129031</v>
      </c>
      <c r="AJ71" s="63">
        <f t="shared" si="49"/>
        <v>0.80355853300517932</v>
      </c>
      <c r="AK71" s="63">
        <f t="shared" si="85"/>
        <v>5.4074417957254095</v>
      </c>
      <c r="AL71" s="63">
        <f t="shared" si="86"/>
        <v>2.5181239156068905E-2</v>
      </c>
      <c r="AM71" s="63">
        <f t="shared" si="87"/>
        <v>3.3448117416921913E-2</v>
      </c>
      <c r="AN71" s="63">
        <f t="shared" si="88"/>
        <v>0.12902046691607968</v>
      </c>
      <c r="AO71" s="63">
        <f t="shared" si="89"/>
        <v>716.70869371882259</v>
      </c>
      <c r="AP71" s="63">
        <f t="shared" si="50"/>
        <v>0.12902046691607968</v>
      </c>
      <c r="AQ71" s="61">
        <f t="shared" si="90"/>
        <v>0.46248</v>
      </c>
      <c r="AR71" s="61">
        <f t="shared" si="91"/>
        <v>50128320000</v>
      </c>
      <c r="AS71" s="61">
        <f t="shared" si="51"/>
        <v>0.46248</v>
      </c>
      <c r="AT71" s="61">
        <f t="shared" si="52"/>
        <v>0.23869935483870966</v>
      </c>
      <c r="AU71" s="63">
        <f t="shared" si="53"/>
        <v>0.40116793917171123</v>
      </c>
      <c r="AV71" s="63">
        <f t="shared" si="92"/>
        <v>0.17601582664283799</v>
      </c>
      <c r="AW71" s="63">
        <f t="shared" si="93"/>
        <v>2.9760000000000003E-3</v>
      </c>
      <c r="AX71" s="63">
        <f t="shared" si="94"/>
        <v>0.24815999999999999</v>
      </c>
      <c r="AY71" s="63">
        <f t="shared" si="95"/>
        <v>0.25113599999999997</v>
      </c>
      <c r="AZ71" s="63">
        <f t="shared" si="96"/>
        <v>2.8977869932326241</v>
      </c>
      <c r="BA71" s="64">
        <f t="shared" si="97"/>
        <v>23.6</v>
      </c>
      <c r="BB71" s="76">
        <f t="shared" si="54"/>
        <v>0.89064041484020151</v>
      </c>
      <c r="BC71" s="64">
        <f t="shared" si="55"/>
        <v>89.064041484020152</v>
      </c>
      <c r="BD71" s="63">
        <f t="shared" si="98"/>
        <v>1.1823228632748366</v>
      </c>
      <c r="BE71" s="63">
        <f t="shared" si="56"/>
        <v>1.2047264721768904</v>
      </c>
      <c r="BF71" s="63">
        <f t="shared" si="99"/>
        <v>0.80355853300517932</v>
      </c>
      <c r="BG71" s="63">
        <f t="shared" si="100"/>
        <v>0.40116793917171123</v>
      </c>
      <c r="BH71" s="63">
        <f t="shared" si="101"/>
        <v>0.17601582664283799</v>
      </c>
      <c r="BI71" s="63">
        <f t="shared" si="57"/>
        <v>0.25113599999999997</v>
      </c>
      <c r="BJ71" s="63">
        <f t="shared" si="58"/>
        <v>4.9527654245390572E-3</v>
      </c>
      <c r="BK71" s="63">
        <f t="shared" si="59"/>
        <v>7.8633065713519898E-2</v>
      </c>
      <c r="BL71" s="63">
        <f t="shared" si="60"/>
        <v>2.8977869932326241</v>
      </c>
      <c r="BQ71" s="77"/>
      <c r="BR71" s="78"/>
    </row>
    <row r="72" spans="3:70" s="81" customFormat="1" x14ac:dyDescent="0.25">
      <c r="C72" s="81">
        <v>60</v>
      </c>
      <c r="D72" s="61">
        <f t="shared" si="61"/>
        <v>105</v>
      </c>
      <c r="E72" s="61">
        <f t="shared" si="62"/>
        <v>105</v>
      </c>
      <c r="F72" s="61">
        <f t="shared" si="63"/>
        <v>105</v>
      </c>
      <c r="G72" s="89">
        <f t="shared" si="64"/>
        <v>24</v>
      </c>
      <c r="H72" s="85">
        <f t="shared" si="65"/>
        <v>1</v>
      </c>
      <c r="I72" s="86">
        <f t="shared" si="102"/>
        <v>6</v>
      </c>
      <c r="J72" s="90">
        <f t="shared" si="66"/>
        <v>8.6117892021752077E-4</v>
      </c>
      <c r="K72" s="90">
        <f t="shared" si="67"/>
        <v>8.6117892021752077E-4</v>
      </c>
      <c r="L72" s="90">
        <f t="shared" si="68"/>
        <v>5.1791610661465239E-3</v>
      </c>
      <c r="M72" s="90">
        <f t="shared" si="69"/>
        <v>5.0000000000000001E-3</v>
      </c>
      <c r="N72" s="86">
        <f t="shared" si="70"/>
        <v>0.16942675166325769</v>
      </c>
      <c r="O72" s="85">
        <f t="shared" si="71"/>
        <v>2.1726819754053368</v>
      </c>
      <c r="P72" s="85">
        <f t="shared" si="72"/>
        <v>7.086340987702668</v>
      </c>
      <c r="Q72" s="85">
        <f t="shared" si="73"/>
        <v>4.913659012297332</v>
      </c>
      <c r="R72" s="85">
        <f t="shared" si="74"/>
        <v>0</v>
      </c>
      <c r="S72" s="85">
        <f t="shared" si="75"/>
        <v>6.0326925094732182</v>
      </c>
      <c r="T72" s="86">
        <f t="shared" si="42"/>
        <v>0.18848717113615193</v>
      </c>
      <c r="U72" s="86">
        <f t="shared" si="76"/>
        <v>1</v>
      </c>
      <c r="V72" s="86">
        <f t="shared" si="43"/>
        <v>1.188487171136152</v>
      </c>
      <c r="W72" s="85">
        <f t="shared" si="44"/>
        <v>0.62719926168185958</v>
      </c>
      <c r="X72" s="86">
        <f t="shared" si="77"/>
        <v>7.8675782770853964E-2</v>
      </c>
      <c r="Y72" s="86">
        <f t="shared" si="45"/>
        <v>7.8675782770853964E-2</v>
      </c>
      <c r="Z72" s="85">
        <f t="shared" si="78"/>
        <v>2.2630343772000518</v>
      </c>
      <c r="AA72" s="88">
        <f t="shared" si="79"/>
        <v>5.1213245923892271E-3</v>
      </c>
      <c r="AB72" s="87">
        <f t="shared" si="46"/>
        <v>5.1213245923892271E-3</v>
      </c>
      <c r="AC72" s="86">
        <f t="shared" si="80"/>
        <v>2.4831455799901114</v>
      </c>
      <c r="AD72" s="86">
        <f t="shared" si="47"/>
        <v>5.310039531599595E-3</v>
      </c>
      <c r="AE72" s="86">
        <f t="shared" si="81"/>
        <v>7.0184947659069699E-3</v>
      </c>
      <c r="AF72" s="86">
        <f t="shared" si="82"/>
        <v>0.54088375694587676</v>
      </c>
      <c r="AG72" s="86">
        <f t="shared" si="83"/>
        <v>4.0608000000000005E-2</v>
      </c>
      <c r="AH72" s="86">
        <f t="shared" si="84"/>
        <v>0</v>
      </c>
      <c r="AI72" s="63">
        <f t="shared" si="48"/>
        <v>0.22378064516129031</v>
      </c>
      <c r="AJ72" s="63">
        <f t="shared" si="49"/>
        <v>0.81229089687307399</v>
      </c>
      <c r="AK72" s="86">
        <f t="shared" si="85"/>
        <v>5.4979420643027739</v>
      </c>
      <c r="AL72" s="86">
        <f t="shared" si="86"/>
        <v>2.6031171224500518E-2</v>
      </c>
      <c r="AM72" s="86">
        <f t="shared" si="87"/>
        <v>3.4584413669233538E-2</v>
      </c>
      <c r="AN72" s="86">
        <f t="shared" si="88"/>
        <v>0.13127535788623798</v>
      </c>
      <c r="AO72" s="86">
        <f t="shared" si="89"/>
        <v>729.23461305805199</v>
      </c>
      <c r="AP72" s="86">
        <f t="shared" si="50"/>
        <v>0.13127535788623798</v>
      </c>
      <c r="AQ72" s="81">
        <f t="shared" si="90"/>
        <v>0.46248</v>
      </c>
      <c r="AR72" s="81">
        <f t="shared" si="91"/>
        <v>50128320000</v>
      </c>
      <c r="AS72" s="81">
        <f t="shared" si="51"/>
        <v>0.46248</v>
      </c>
      <c r="AT72" s="61">
        <f t="shared" si="52"/>
        <v>0.23869935483870966</v>
      </c>
      <c r="AU72" s="63">
        <f t="shared" si="53"/>
        <v>0.40455912639418118</v>
      </c>
      <c r="AV72" s="86">
        <f t="shared" si="92"/>
        <v>0.1819668945692714</v>
      </c>
      <c r="AW72" s="86">
        <f t="shared" si="93"/>
        <v>2.9760000000000003E-3</v>
      </c>
      <c r="AX72" s="86">
        <f t="shared" si="94"/>
        <v>0.24815999999999999</v>
      </c>
      <c r="AY72" s="86">
        <f t="shared" si="95"/>
        <v>0.25113599999999997</v>
      </c>
      <c r="AZ72" s="86">
        <f t="shared" si="96"/>
        <v>2.9222371963359217</v>
      </c>
      <c r="BA72" s="85">
        <f t="shared" si="97"/>
        <v>24</v>
      </c>
      <c r="BB72" s="91">
        <f t="shared" si="54"/>
        <v>0.89145637581955361</v>
      </c>
      <c r="BC72" s="85">
        <f t="shared" si="55"/>
        <v>89.145637581955356</v>
      </c>
      <c r="BD72" s="86">
        <f t="shared" si="98"/>
        <v>1.188487171136152</v>
      </c>
      <c r="BE72" s="86">
        <f t="shared" si="56"/>
        <v>1.2168500232672552</v>
      </c>
      <c r="BF72" s="86">
        <f t="shared" si="99"/>
        <v>0.81229089687307399</v>
      </c>
      <c r="BG72" s="86">
        <f t="shared" si="100"/>
        <v>0.40455912639418118</v>
      </c>
      <c r="BH72" s="86">
        <f t="shared" si="101"/>
        <v>0.1819668945692714</v>
      </c>
      <c r="BI72" s="86">
        <f t="shared" si="57"/>
        <v>0.25113599999999997</v>
      </c>
      <c r="BJ72" s="86">
        <f t="shared" si="58"/>
        <v>5.1213245923892271E-3</v>
      </c>
      <c r="BK72" s="86">
        <f t="shared" si="59"/>
        <v>7.8675782770853964E-2</v>
      </c>
      <c r="BL72" s="86">
        <f t="shared" si="60"/>
        <v>2.9222371963359217</v>
      </c>
      <c r="BQ72" s="92"/>
      <c r="BR72" s="93"/>
    </row>
    <row r="73" spans="3:70" x14ac:dyDescent="0.25">
      <c r="C73" s="61">
        <v>61</v>
      </c>
      <c r="D73" s="61">
        <f t="shared" si="61"/>
        <v>105</v>
      </c>
      <c r="E73" s="61">
        <f t="shared" si="62"/>
        <v>105</v>
      </c>
      <c r="F73" s="61">
        <f t="shared" si="63"/>
        <v>105</v>
      </c>
      <c r="G73" s="73">
        <f t="shared" si="64"/>
        <v>24</v>
      </c>
      <c r="H73" s="64">
        <f t="shared" si="65"/>
        <v>1</v>
      </c>
      <c r="I73" s="63">
        <f t="shared" si="102"/>
        <v>6.1</v>
      </c>
      <c r="J73" s="65">
        <f t="shared" si="66"/>
        <v>8.6117892021752077E-4</v>
      </c>
      <c r="K73" s="65">
        <f t="shared" si="67"/>
        <v>8.6117892021752077E-4</v>
      </c>
      <c r="L73" s="65">
        <f t="shared" si="68"/>
        <v>5.1791610661465239E-3</v>
      </c>
      <c r="M73" s="65">
        <f t="shared" si="69"/>
        <v>5.0000000000000001E-3</v>
      </c>
      <c r="N73" s="63">
        <f t="shared" si="70"/>
        <v>0.16947275307986753</v>
      </c>
      <c r="O73" s="64">
        <f t="shared" si="71"/>
        <v>2.1732718848956045</v>
      </c>
      <c r="P73" s="64">
        <f t="shared" si="72"/>
        <v>7.1866359424478023</v>
      </c>
      <c r="Q73" s="64">
        <f t="shared" si="73"/>
        <v>5.0133640575521969</v>
      </c>
      <c r="R73" s="64">
        <f t="shared" si="74"/>
        <v>0</v>
      </c>
      <c r="S73" s="64">
        <f t="shared" si="75"/>
        <v>6.1321768204398506</v>
      </c>
      <c r="T73" s="63">
        <f t="shared" si="42"/>
        <v>0.19475506251917565</v>
      </c>
      <c r="U73" s="63">
        <f t="shared" si="76"/>
        <v>1</v>
      </c>
      <c r="V73" s="63">
        <f t="shared" si="43"/>
        <v>1.1947550625191756</v>
      </c>
      <c r="W73" s="64">
        <f t="shared" si="44"/>
        <v>0.62736955388336135</v>
      </c>
      <c r="X73" s="63">
        <f t="shared" si="77"/>
        <v>7.8718511427961574E-2</v>
      </c>
      <c r="Y73" s="63">
        <f t="shared" si="45"/>
        <v>7.8718511427961574E-2</v>
      </c>
      <c r="Z73" s="64">
        <f t="shared" si="78"/>
        <v>2.3006023225878907</v>
      </c>
      <c r="AA73" s="74">
        <f t="shared" si="79"/>
        <v>5.2927710466967965E-3</v>
      </c>
      <c r="AB73" s="75">
        <f t="shared" si="46"/>
        <v>5.2927710466967965E-3</v>
      </c>
      <c r="AC73" s="63">
        <f t="shared" si="80"/>
        <v>2.5244374336378583</v>
      </c>
      <c r="AD73" s="63">
        <f t="shared" si="47"/>
        <v>5.4881075507824065E-3</v>
      </c>
      <c r="AE73" s="63">
        <f t="shared" si="81"/>
        <v>7.254175267159259E-3</v>
      </c>
      <c r="AF73" s="63">
        <f t="shared" si="82"/>
        <v>0.54938444877497306</v>
      </c>
      <c r="AG73" s="63">
        <f t="shared" si="83"/>
        <v>4.0608000000000005E-2</v>
      </c>
      <c r="AH73" s="63">
        <f t="shared" si="84"/>
        <v>0</v>
      </c>
      <c r="AI73" s="63">
        <f t="shared" si="48"/>
        <v>0.22378064516129031</v>
      </c>
      <c r="AJ73" s="63">
        <f t="shared" si="49"/>
        <v>0.82102726920342262</v>
      </c>
      <c r="AK73" s="63">
        <f t="shared" si="85"/>
        <v>5.5884531134105169</v>
      </c>
      <c r="AL73" s="63">
        <f t="shared" si="86"/>
        <v>2.6895313683874843E-2</v>
      </c>
      <c r="AM73" s="63">
        <f t="shared" si="87"/>
        <v>3.5740202564571437E-2</v>
      </c>
      <c r="AN73" s="63">
        <f t="shared" si="88"/>
        <v>0.13353024885639628</v>
      </c>
      <c r="AO73" s="63">
        <f t="shared" si="89"/>
        <v>741.76053239728128</v>
      </c>
      <c r="AP73" s="63">
        <f t="shared" si="50"/>
        <v>0.13353024885639628</v>
      </c>
      <c r="AQ73" s="61">
        <f t="shared" si="90"/>
        <v>0.46248</v>
      </c>
      <c r="AR73" s="61">
        <f t="shared" si="91"/>
        <v>50128320000</v>
      </c>
      <c r="AS73" s="61">
        <f t="shared" si="51"/>
        <v>0.46248</v>
      </c>
      <c r="AT73" s="61">
        <f t="shared" si="52"/>
        <v>0.23869935483870966</v>
      </c>
      <c r="AU73" s="63">
        <f t="shared" si="53"/>
        <v>0.40796980625967738</v>
      </c>
      <c r="AV73" s="63">
        <f t="shared" si="92"/>
        <v>0.18801796278569899</v>
      </c>
      <c r="AW73" s="63">
        <f t="shared" si="93"/>
        <v>2.9760000000000003E-3</v>
      </c>
      <c r="AX73" s="63">
        <f t="shared" si="94"/>
        <v>0.24815999999999999</v>
      </c>
      <c r="AY73" s="63">
        <f t="shared" si="95"/>
        <v>0.25113599999999997</v>
      </c>
      <c r="AZ73" s="63">
        <f t="shared" si="96"/>
        <v>2.9469173832426327</v>
      </c>
      <c r="BA73" s="64">
        <f t="shared" si="97"/>
        <v>24.4</v>
      </c>
      <c r="BB73" s="76">
        <f t="shared" si="54"/>
        <v>0.89223950392857021</v>
      </c>
      <c r="BC73" s="64">
        <f t="shared" si="55"/>
        <v>89.22395039285702</v>
      </c>
      <c r="BD73" s="63">
        <f t="shared" si="98"/>
        <v>1.1947550625191756</v>
      </c>
      <c r="BE73" s="63">
        <f t="shared" si="56"/>
        <v>1.2289970754630999</v>
      </c>
      <c r="BF73" s="63">
        <f t="shared" si="99"/>
        <v>0.82102726920342262</v>
      </c>
      <c r="BG73" s="63">
        <f t="shared" si="100"/>
        <v>0.40796980625967738</v>
      </c>
      <c r="BH73" s="63">
        <f t="shared" si="101"/>
        <v>0.18801796278569899</v>
      </c>
      <c r="BI73" s="63">
        <f t="shared" si="57"/>
        <v>0.25113599999999997</v>
      </c>
      <c r="BJ73" s="63">
        <f t="shared" si="58"/>
        <v>5.2927710466967965E-3</v>
      </c>
      <c r="BK73" s="63">
        <f t="shared" si="59"/>
        <v>7.8718511427961574E-2</v>
      </c>
      <c r="BL73" s="63">
        <f t="shared" si="60"/>
        <v>2.9469173832426332</v>
      </c>
      <c r="BQ73" s="77"/>
      <c r="BR73" s="78"/>
    </row>
    <row r="74" spans="3:70" x14ac:dyDescent="0.25">
      <c r="C74" s="61">
        <v>62</v>
      </c>
      <c r="D74" s="61">
        <f t="shared" si="61"/>
        <v>105</v>
      </c>
      <c r="E74" s="61">
        <f t="shared" si="62"/>
        <v>105</v>
      </c>
      <c r="F74" s="61">
        <f t="shared" si="63"/>
        <v>105</v>
      </c>
      <c r="G74" s="73">
        <f t="shared" si="64"/>
        <v>24</v>
      </c>
      <c r="H74" s="64">
        <f t="shared" si="65"/>
        <v>1</v>
      </c>
      <c r="I74" s="63">
        <f t="shared" si="102"/>
        <v>6.2</v>
      </c>
      <c r="J74" s="65">
        <f t="shared" si="66"/>
        <v>8.6117892021752077E-4</v>
      </c>
      <c r="K74" s="65">
        <f t="shared" si="67"/>
        <v>8.6117892021752077E-4</v>
      </c>
      <c r="L74" s="65">
        <f t="shared" si="68"/>
        <v>5.1791610661465239E-3</v>
      </c>
      <c r="M74" s="65">
        <f t="shared" si="69"/>
        <v>5.0000000000000001E-3</v>
      </c>
      <c r="N74" s="63">
        <f t="shared" si="70"/>
        <v>0.16951875449647738</v>
      </c>
      <c r="O74" s="64">
        <f t="shared" si="71"/>
        <v>2.1738617943858718</v>
      </c>
      <c r="P74" s="64">
        <f t="shared" si="72"/>
        <v>7.2869308971929359</v>
      </c>
      <c r="Q74" s="64">
        <f t="shared" si="73"/>
        <v>5.1130691028070645</v>
      </c>
      <c r="R74" s="64">
        <f t="shared" si="74"/>
        <v>0</v>
      </c>
      <c r="S74" s="64">
        <f t="shared" si="75"/>
        <v>6.2316776439755142</v>
      </c>
      <c r="T74" s="63">
        <f t="shared" si="42"/>
        <v>0.20112653742390793</v>
      </c>
      <c r="U74" s="63">
        <f t="shared" si="76"/>
        <v>1</v>
      </c>
      <c r="V74" s="63">
        <f t="shared" si="43"/>
        <v>1.201126537423908</v>
      </c>
      <c r="W74" s="64">
        <f t="shared" si="44"/>
        <v>0.62753984608486302</v>
      </c>
      <c r="X74" s="63">
        <f t="shared" si="77"/>
        <v>7.8761251684842715E-2</v>
      </c>
      <c r="Y74" s="63">
        <f t="shared" si="45"/>
        <v>7.8761251684842715E-2</v>
      </c>
      <c r="Z74" s="64">
        <f t="shared" si="78"/>
        <v>2.3381844659467745</v>
      </c>
      <c r="AA74" s="74">
        <f t="shared" si="79"/>
        <v>5.467106596794803E-3</v>
      </c>
      <c r="AB74" s="75">
        <f t="shared" si="46"/>
        <v>5.467106596794803E-3</v>
      </c>
      <c r="AC74" s="63">
        <f t="shared" si="80"/>
        <v>2.5657471561487855</v>
      </c>
      <c r="AD74" s="63">
        <f t="shared" si="47"/>
        <v>5.6691911843081613E-3</v>
      </c>
      <c r="AE74" s="63">
        <f t="shared" si="81"/>
        <v>7.493868438162501E-3</v>
      </c>
      <c r="AF74" s="63">
        <f t="shared" si="82"/>
        <v>0.55788514060406924</v>
      </c>
      <c r="AG74" s="63">
        <f t="shared" si="83"/>
        <v>4.0608000000000005E-2</v>
      </c>
      <c r="AH74" s="63">
        <f t="shared" si="84"/>
        <v>0</v>
      </c>
      <c r="AI74" s="63">
        <f t="shared" si="48"/>
        <v>0.22378064516129031</v>
      </c>
      <c r="AJ74" s="63">
        <f t="shared" si="49"/>
        <v>0.82976765420352194</v>
      </c>
      <c r="AK74" s="63">
        <f t="shared" si="85"/>
        <v>5.6789741845811061</v>
      </c>
      <c r="AL74" s="63">
        <f t="shared" si="86"/>
        <v>2.7773664157258012E-2</v>
      </c>
      <c r="AM74" s="63">
        <f t="shared" si="87"/>
        <v>3.6915505845242759E-2</v>
      </c>
      <c r="AN74" s="63">
        <f t="shared" si="88"/>
        <v>0.1357851398265546</v>
      </c>
      <c r="AO74" s="63">
        <f t="shared" si="89"/>
        <v>754.28645173651057</v>
      </c>
      <c r="AP74" s="63">
        <f t="shared" si="50"/>
        <v>0.1357851398265546</v>
      </c>
      <c r="AQ74" s="61">
        <f t="shared" si="90"/>
        <v>0.46248</v>
      </c>
      <c r="AR74" s="61">
        <f t="shared" si="91"/>
        <v>50128320000</v>
      </c>
      <c r="AS74" s="61">
        <f t="shared" si="51"/>
        <v>0.46248</v>
      </c>
      <c r="AT74" s="61">
        <f t="shared" si="52"/>
        <v>0.23869935483870966</v>
      </c>
      <c r="AU74" s="63">
        <f t="shared" si="53"/>
        <v>0.41140000051050701</v>
      </c>
      <c r="AV74" s="63">
        <f t="shared" si="92"/>
        <v>0.1941690312921211</v>
      </c>
      <c r="AW74" s="63">
        <f t="shared" si="93"/>
        <v>2.9760000000000003E-3</v>
      </c>
      <c r="AX74" s="63">
        <f t="shared" si="94"/>
        <v>0.24815999999999999</v>
      </c>
      <c r="AY74" s="63">
        <f t="shared" si="95"/>
        <v>0.25113599999999997</v>
      </c>
      <c r="AZ74" s="63">
        <f t="shared" si="96"/>
        <v>2.9718275817116955</v>
      </c>
      <c r="BA74" s="64">
        <f t="shared" si="97"/>
        <v>24.8</v>
      </c>
      <c r="BB74" s="76">
        <f t="shared" si="54"/>
        <v>0.89299128503632563</v>
      </c>
      <c r="BC74" s="64">
        <f t="shared" si="55"/>
        <v>89.299128503632559</v>
      </c>
      <c r="BD74" s="63">
        <f t="shared" si="98"/>
        <v>1.201126537423908</v>
      </c>
      <c r="BE74" s="63">
        <f t="shared" si="56"/>
        <v>1.2411676547140289</v>
      </c>
      <c r="BF74" s="63">
        <f t="shared" si="99"/>
        <v>0.82976765420352194</v>
      </c>
      <c r="BG74" s="63">
        <f t="shared" si="100"/>
        <v>0.41140000051050701</v>
      </c>
      <c r="BH74" s="63">
        <f t="shared" si="101"/>
        <v>0.1941690312921211</v>
      </c>
      <c r="BI74" s="63">
        <f t="shared" si="57"/>
        <v>0.25113599999999997</v>
      </c>
      <c r="BJ74" s="63">
        <f t="shared" si="58"/>
        <v>5.467106596794803E-3</v>
      </c>
      <c r="BK74" s="63">
        <f t="shared" si="59"/>
        <v>7.8761251684842715E-2</v>
      </c>
      <c r="BL74" s="63">
        <f t="shared" si="60"/>
        <v>2.9718275817116955</v>
      </c>
      <c r="BQ74" s="77"/>
      <c r="BR74" s="78"/>
    </row>
    <row r="75" spans="3:70" x14ac:dyDescent="0.25">
      <c r="C75" s="61">
        <v>63</v>
      </c>
      <c r="D75" s="61">
        <f t="shared" si="61"/>
        <v>105</v>
      </c>
      <c r="E75" s="61">
        <f t="shared" si="62"/>
        <v>105</v>
      </c>
      <c r="F75" s="61">
        <f t="shared" si="63"/>
        <v>105</v>
      </c>
      <c r="G75" s="73">
        <f t="shared" si="64"/>
        <v>24</v>
      </c>
      <c r="H75" s="64">
        <f t="shared" si="65"/>
        <v>1</v>
      </c>
      <c r="I75" s="63">
        <f t="shared" si="102"/>
        <v>6.3</v>
      </c>
      <c r="J75" s="65">
        <f t="shared" si="66"/>
        <v>8.6117892021752077E-4</v>
      </c>
      <c r="K75" s="65">
        <f t="shared" si="67"/>
        <v>8.6117892021752077E-4</v>
      </c>
      <c r="L75" s="65">
        <f t="shared" si="68"/>
        <v>5.1791610661465239E-3</v>
      </c>
      <c r="M75" s="65">
        <f t="shared" si="69"/>
        <v>5.0000000000000001E-3</v>
      </c>
      <c r="N75" s="63">
        <f t="shared" si="70"/>
        <v>0.1695647559130872</v>
      </c>
      <c r="O75" s="64">
        <f t="shared" si="71"/>
        <v>2.1744517038761391</v>
      </c>
      <c r="P75" s="64">
        <f t="shared" si="72"/>
        <v>7.3872258519380694</v>
      </c>
      <c r="Q75" s="64">
        <f t="shared" si="73"/>
        <v>5.2127741480619303</v>
      </c>
      <c r="R75" s="64">
        <f t="shared" si="74"/>
        <v>0</v>
      </c>
      <c r="S75" s="64">
        <f t="shared" si="75"/>
        <v>6.3311942015474054</v>
      </c>
      <c r="T75" s="63">
        <f t="shared" si="42"/>
        <v>0.20760159585034851</v>
      </c>
      <c r="U75" s="63">
        <f t="shared" si="76"/>
        <v>1</v>
      </c>
      <c r="V75" s="63">
        <f t="shared" si="43"/>
        <v>1.2076015958503485</v>
      </c>
      <c r="W75" s="64">
        <f t="shared" si="44"/>
        <v>0.62771013828636468</v>
      </c>
      <c r="X75" s="63">
        <f t="shared" si="77"/>
        <v>7.8804003541497414E-2</v>
      </c>
      <c r="Y75" s="63">
        <f t="shared" si="45"/>
        <v>7.8804003541497414E-2</v>
      </c>
      <c r="Z75" s="64">
        <f t="shared" si="78"/>
        <v>2.3757805141696906</v>
      </c>
      <c r="AA75" s="74">
        <f t="shared" si="79"/>
        <v>5.6443330515083996E-3</v>
      </c>
      <c r="AB75" s="75">
        <f t="shared" si="46"/>
        <v>5.6443330515083996E-3</v>
      </c>
      <c r="AC75" s="63">
        <f t="shared" si="80"/>
        <v>2.6070744274603808</v>
      </c>
      <c r="AD75" s="63">
        <f t="shared" si="47"/>
        <v>5.8532928091107623E-3</v>
      </c>
      <c r="AE75" s="63">
        <f t="shared" si="81"/>
        <v>7.7375785055575812E-3</v>
      </c>
      <c r="AF75" s="63">
        <f t="shared" si="82"/>
        <v>0.56638583243316554</v>
      </c>
      <c r="AG75" s="63">
        <f t="shared" si="83"/>
        <v>4.0608000000000005E-2</v>
      </c>
      <c r="AH75" s="63">
        <f t="shared" si="84"/>
        <v>0</v>
      </c>
      <c r="AI75" s="63">
        <f t="shared" si="48"/>
        <v>0.22378064516129031</v>
      </c>
      <c r="AJ75" s="63">
        <f t="shared" si="49"/>
        <v>0.83851205610001345</v>
      </c>
      <c r="AK75" s="63">
        <f t="shared" si="85"/>
        <v>5.7695045668921709</v>
      </c>
      <c r="AL75" s="63">
        <f t="shared" si="86"/>
        <v>2.866622026771606E-2</v>
      </c>
      <c r="AM75" s="63">
        <f t="shared" si="87"/>
        <v>3.8110345685230321E-2</v>
      </c>
      <c r="AN75" s="63">
        <f t="shared" si="88"/>
        <v>0.1380400307967129</v>
      </c>
      <c r="AO75" s="63">
        <f t="shared" si="89"/>
        <v>766.81237107573997</v>
      </c>
      <c r="AP75" s="63">
        <f t="shared" si="50"/>
        <v>0.1380400307967129</v>
      </c>
      <c r="AQ75" s="61">
        <f t="shared" si="90"/>
        <v>0.46248</v>
      </c>
      <c r="AR75" s="61">
        <f t="shared" si="91"/>
        <v>50128320000</v>
      </c>
      <c r="AS75" s="61">
        <f t="shared" si="51"/>
        <v>0.46248</v>
      </c>
      <c r="AT75" s="61">
        <f t="shared" si="52"/>
        <v>0.23869935483870966</v>
      </c>
      <c r="AU75" s="63">
        <f t="shared" si="53"/>
        <v>0.41484973132065284</v>
      </c>
      <c r="AV75" s="63">
        <f t="shared" si="92"/>
        <v>0.20042010008853745</v>
      </c>
      <c r="AW75" s="63">
        <f t="shared" si="93"/>
        <v>2.9760000000000003E-3</v>
      </c>
      <c r="AX75" s="63">
        <f t="shared" si="94"/>
        <v>0.24815999999999999</v>
      </c>
      <c r="AY75" s="63">
        <f t="shared" si="95"/>
        <v>0.25113599999999997</v>
      </c>
      <c r="AZ75" s="63">
        <f t="shared" si="96"/>
        <v>2.9969678199525576</v>
      </c>
      <c r="BA75" s="64">
        <f t="shared" si="97"/>
        <v>25.2</v>
      </c>
      <c r="BB75" s="76">
        <f t="shared" si="54"/>
        <v>0.89371311698870459</v>
      </c>
      <c r="BC75" s="64">
        <f t="shared" si="55"/>
        <v>89.371311698870457</v>
      </c>
      <c r="BD75" s="63">
        <f t="shared" si="98"/>
        <v>1.2076015958503485</v>
      </c>
      <c r="BE75" s="63">
        <f t="shared" si="56"/>
        <v>1.2533617874206664</v>
      </c>
      <c r="BF75" s="63">
        <f t="shared" si="99"/>
        <v>0.83851205610001345</v>
      </c>
      <c r="BG75" s="63">
        <f t="shared" si="100"/>
        <v>0.41484973132065284</v>
      </c>
      <c r="BH75" s="63">
        <f t="shared" si="101"/>
        <v>0.20042010008853745</v>
      </c>
      <c r="BI75" s="63">
        <f t="shared" si="57"/>
        <v>0.25113599999999997</v>
      </c>
      <c r="BJ75" s="63">
        <f t="shared" si="58"/>
        <v>5.6443330515083996E-3</v>
      </c>
      <c r="BK75" s="63">
        <f t="shared" si="59"/>
        <v>7.8804003541497414E-2</v>
      </c>
      <c r="BL75" s="63">
        <f t="shared" si="60"/>
        <v>2.996967819952558</v>
      </c>
      <c r="BQ75" s="77"/>
      <c r="BR75" s="78"/>
    </row>
    <row r="76" spans="3:70" x14ac:dyDescent="0.25">
      <c r="C76" s="61">
        <v>64</v>
      </c>
      <c r="D76" s="61">
        <f t="shared" ref="D76:D112" si="103">T.amb+I76*$D$9</f>
        <v>105</v>
      </c>
      <c r="E76" s="61">
        <f t="shared" ref="E76:E112" si="104">T.amb+I76*$E$9</f>
        <v>105</v>
      </c>
      <c r="F76" s="61">
        <f t="shared" ref="F76:F112" si="105">T.amb+I76*$F$9</f>
        <v>105</v>
      </c>
      <c r="G76" s="73">
        <f t="shared" ref="G76:G112" si="106">V.supply_typ</f>
        <v>24</v>
      </c>
      <c r="H76" s="64">
        <f t="shared" ref="H76:H112" si="107">FPWM</f>
        <v>1</v>
      </c>
      <c r="I76" s="63">
        <f t="shared" si="102"/>
        <v>6.4</v>
      </c>
      <c r="J76" s="65">
        <f t="shared" ref="J76:J112" si="108">R.hs25*((D76+275)/300)^2.3</f>
        <v>8.6117892021752077E-4</v>
      </c>
      <c r="K76" s="65">
        <f t="shared" ref="K76:K112" si="109">R.ls25*((E76+275)/300)^2.3</f>
        <v>8.6117892021752077E-4</v>
      </c>
      <c r="L76" s="65">
        <f t="shared" ref="L76:L112" si="110">R.dcr25*((F76+275)/300)^1.2</f>
        <v>5.1791610661465239E-3</v>
      </c>
      <c r="M76" s="65">
        <f t="shared" ref="M76:M112" si="111">R.s</f>
        <v>5.0000000000000001E-3</v>
      </c>
      <c r="N76" s="63">
        <f t="shared" ref="N76:N107" si="112">(V.load+I76*(K76+L76+M76))/(V.supply_typ+I76*(K76-J76))</f>
        <v>0.16961075732969708</v>
      </c>
      <c r="O76" s="64">
        <f t="shared" ref="O76:O107" si="113">(V.supply_typ-I.load*(J76+L76+M76)-V.load)*N76/(f.sw*L.out)</f>
        <v>2.1750416133664068</v>
      </c>
      <c r="P76" s="64">
        <f t="shared" ref="P76:P107" si="114">I76+O76/2</f>
        <v>7.4875208066832037</v>
      </c>
      <c r="Q76" s="64">
        <f t="shared" ref="Q76:Q112" si="115">I76-O76/2</f>
        <v>5.312479193316797</v>
      </c>
      <c r="R76" s="64">
        <f t="shared" ref="R76:R107" si="116">IF(MIN(V.supply_typ, -Q76/(C.oss_hs+C.oss_ls)*0.00000002)&lt;0, 0, MIN(V.supply_typ, -Q76/(C.oss_hs+C.oss_ls)*0.00000002))</f>
        <v>0</v>
      </c>
      <c r="S76" s="64">
        <f t="shared" ref="S76:S112" si="117">SQRT(I76^2+(O76^2)/12)</f>
        <v>6.4307257626950349</v>
      </c>
      <c r="T76" s="63">
        <f t="shared" si="42"/>
        <v>0.21418023779849757</v>
      </c>
      <c r="U76" s="63">
        <f t="shared" ref="U76:U112" si="118">IF(FPWM=1,P.core,MIN(P.core,P.core*(O76+Q76)/O76))</f>
        <v>1</v>
      </c>
      <c r="V76" s="63">
        <f t="shared" si="43"/>
        <v>1.2141802377984976</v>
      </c>
      <c r="W76" s="64">
        <f t="shared" si="44"/>
        <v>0.62788043048786646</v>
      </c>
      <c r="X76" s="63">
        <f t="shared" ref="X76:X107" si="119">R.esrb*W76^2</f>
        <v>7.8846766997925699E-2</v>
      </c>
      <c r="Y76" s="63">
        <f t="shared" si="45"/>
        <v>7.8846766997925699E-2</v>
      </c>
      <c r="Z76" s="64">
        <f t="shared" ref="Z76:Z112" si="120">SQRT(N76*(1-N76))*SQRT(I76^2+(O76^2)/12)</f>
        <v>2.4133901920648628</v>
      </c>
      <c r="AA76" s="74">
        <f t="shared" ref="AA76:AA107" si="121">R.esr_cin*Z76^2</f>
        <v>5.8244522191548756E-3</v>
      </c>
      <c r="AB76" s="75">
        <f t="shared" si="46"/>
        <v>5.8244522191548756E-3</v>
      </c>
      <c r="AC76" s="63">
        <f t="shared" ref="AC76:AC112" si="122">SQRT(N76)*SQRT(I76^2+(O76^2)/12)</f>
        <v>2.6484189471346817</v>
      </c>
      <c r="AD76" s="63">
        <f t="shared" si="47"/>
        <v>6.0404148021241232E-3</v>
      </c>
      <c r="AE76" s="63">
        <f t="shared" ref="AE76:AE107" si="123">AD76*(1+TC_rdson_hs*(T.amb-25))/(1-AD76*TC_rdson_hs*theta.ja_hs)</f>
        <v>7.9853097153889281E-3</v>
      </c>
      <c r="AF76" s="63">
        <f t="shared" ref="AF76:AF112" si="124">(V.supply_typ*P76/2)*f.sw*T.rise+(V.supply_typ*MAX(Q76,0)/2)*f.sw*T.fall</f>
        <v>0.57488652426226183</v>
      </c>
      <c r="AG76" s="63">
        <f t="shared" ref="AG76:AG112" si="125">0.5*(C.oss_hs+C.oss_ls)*(V.supply_typ-R76)^2*f.sw</f>
        <v>4.0608000000000005E-2</v>
      </c>
      <c r="AH76" s="63">
        <f t="shared" ref="AH76:AH112" si="126">IF(I76&gt;O76/2,0,ABS(Q76)*V.bd_hs*t.d_loff_hon*f.sw)</f>
        <v>0</v>
      </c>
      <c r="AI76" s="63">
        <f t="shared" si="48"/>
        <v>0.22378064516129031</v>
      </c>
      <c r="AJ76" s="63">
        <f t="shared" si="49"/>
        <v>0.84726047913894109</v>
      </c>
      <c r="AK76" s="63">
        <f t="shared" ref="AK76:AK112" si="127">SQRT((1-N76))*SQRT(I76^2+(O76^2)/12)</f>
        <v>5.8600435933060826</v>
      </c>
      <c r="AL76" s="63">
        <f t="shared" ref="AL76:AL107" si="128">K76*AK76^2</f>
        <v>2.9572979638315122E-2</v>
      </c>
      <c r="AM76" s="63">
        <f t="shared" ref="AM76:AM107" si="129">AL76*(1+TC_rdson_ls*(T.amb-25))/(1-AL76*TC_rdson_ls*theta.ja_ls)</f>
        <v>3.93247446913376E-2</v>
      </c>
      <c r="AN76" s="63">
        <f t="shared" ref="AN76:AN112" si="130">IF(I76&gt;O76/2, Q76*V.bd_ls*t.d_loff_hon*f.sw + P76*V.bd_ls*t.d_hoff_lon*f.sw,P76*V.bd_ls*t.d_hoff_lon*f.sw)</f>
        <v>0.14029492176687119</v>
      </c>
      <c r="AO76" s="63">
        <f t="shared" ref="AO76:AO112" si="131">IF(I76&gt;O76/2, Q76*V.fwd_sch*t.d_loff_hon*f.sw + P76*V.fwd_sch*t.d_hoff_lon*f.sw,P76*V.fwd_sch*t.d_hoff_lon*f.sw)</f>
        <v>779.33829041496938</v>
      </c>
      <c r="AP76" s="63">
        <f t="shared" si="50"/>
        <v>0.14029492176687119</v>
      </c>
      <c r="AQ76" s="61">
        <f t="shared" ref="AQ76:AQ112" si="132">Q.rr_ls*V.supply_typ*f.sw</f>
        <v>0.46248</v>
      </c>
      <c r="AR76" s="61">
        <f t="shared" ref="AR76:AR112" si="133">Q.rr_sch*V.supply_typ*f.sw</f>
        <v>50128320000</v>
      </c>
      <c r="AS76" s="61">
        <f t="shared" si="51"/>
        <v>0.46248</v>
      </c>
      <c r="AT76" s="61">
        <f t="shared" si="52"/>
        <v>0.23869935483870966</v>
      </c>
      <c r="AU76" s="63">
        <f t="shared" si="53"/>
        <v>0.41831902129691845</v>
      </c>
      <c r="AV76" s="63">
        <f t="shared" ref="AV76:AV112" si="134">R.s*S76^2</f>
        <v>0.20677116917494817</v>
      </c>
      <c r="AW76" s="63">
        <f t="shared" ref="AW76:AW112" si="135">I.q_IC*V.supply_typ</f>
        <v>2.9760000000000003E-3</v>
      </c>
      <c r="AX76" s="63">
        <f t="shared" ref="AX76:AX112" si="136">IF(ExtVCC=1,  (Q.g_hs+Q.g_ls)*f.sw*V.load, (Q.g_hs+Q.g_ls)*f.sw*V.supply_typ)</f>
        <v>0.24815999999999999</v>
      </c>
      <c r="AY76" s="63">
        <f t="shared" ref="AY76:AY107" si="137">SUM(AW76:AX76)</f>
        <v>0.25113599999999997</v>
      </c>
      <c r="AZ76" s="63">
        <f t="shared" ref="AZ76:AZ107" si="138">V76+Y76+AB76+AJ76+AU76+AV76+AY76</f>
        <v>3.0223381266263853</v>
      </c>
      <c r="BA76" s="64">
        <f t="shared" ref="BA76:BA112" si="139">V.load*I76</f>
        <v>25.6</v>
      </c>
      <c r="BB76" s="76">
        <f t="shared" si="54"/>
        <v>0.8944063160299679</v>
      </c>
      <c r="BC76" s="64">
        <f t="shared" si="55"/>
        <v>89.440631602996788</v>
      </c>
      <c r="BD76" s="63">
        <f t="shared" ref="BD76:BD112" si="140">V76</f>
        <v>1.2141802377984976</v>
      </c>
      <c r="BE76" s="63">
        <f t="shared" si="56"/>
        <v>1.2655795004358597</v>
      </c>
      <c r="BF76" s="63">
        <f t="shared" ref="BF76:BF112" si="141">AJ76</f>
        <v>0.84726047913894109</v>
      </c>
      <c r="BG76" s="63">
        <f t="shared" ref="BG76:BG112" si="142">AU76</f>
        <v>0.41831902129691845</v>
      </c>
      <c r="BH76" s="63">
        <f t="shared" ref="BH76:BH112" si="143">AV76</f>
        <v>0.20677116917494817</v>
      </c>
      <c r="BI76" s="63">
        <f t="shared" si="57"/>
        <v>0.25113599999999997</v>
      </c>
      <c r="BJ76" s="63">
        <f t="shared" si="58"/>
        <v>5.8244522191548756E-3</v>
      </c>
      <c r="BK76" s="63">
        <f t="shared" si="59"/>
        <v>7.8846766997925699E-2</v>
      </c>
      <c r="BL76" s="63">
        <f t="shared" si="60"/>
        <v>3.0223381266263853</v>
      </c>
      <c r="BQ76" s="77"/>
      <c r="BR76" s="78"/>
    </row>
    <row r="77" spans="3:70" x14ac:dyDescent="0.25">
      <c r="C77" s="61">
        <v>65</v>
      </c>
      <c r="D77" s="61">
        <f t="shared" si="103"/>
        <v>105</v>
      </c>
      <c r="E77" s="61">
        <f t="shared" si="104"/>
        <v>105</v>
      </c>
      <c r="F77" s="61">
        <f t="shared" si="105"/>
        <v>105</v>
      </c>
      <c r="G77" s="73">
        <f t="shared" si="106"/>
        <v>24</v>
      </c>
      <c r="H77" s="64">
        <f t="shared" si="107"/>
        <v>1</v>
      </c>
      <c r="I77" s="63">
        <f t="shared" ref="I77:I112" si="144">I.load*C77/100</f>
        <v>6.5</v>
      </c>
      <c r="J77" s="65">
        <f t="shared" si="108"/>
        <v>8.6117892021752077E-4</v>
      </c>
      <c r="K77" s="65">
        <f t="shared" si="109"/>
        <v>8.6117892021752077E-4</v>
      </c>
      <c r="L77" s="65">
        <f t="shared" si="110"/>
        <v>5.1791610661465239E-3</v>
      </c>
      <c r="M77" s="65">
        <f t="shared" si="111"/>
        <v>5.0000000000000001E-3</v>
      </c>
      <c r="N77" s="63">
        <f t="shared" si="112"/>
        <v>0.16965675874630692</v>
      </c>
      <c r="O77" s="64">
        <f t="shared" si="113"/>
        <v>2.175631522856674</v>
      </c>
      <c r="P77" s="64">
        <f t="shared" si="114"/>
        <v>7.5878157614283372</v>
      </c>
      <c r="Q77" s="64">
        <f t="shared" si="115"/>
        <v>5.4121842385716628</v>
      </c>
      <c r="R77" s="64">
        <f t="shared" si="116"/>
        <v>0</v>
      </c>
      <c r="S77" s="64">
        <f t="shared" si="117"/>
        <v>6.5302716413845019</v>
      </c>
      <c r="T77" s="63">
        <f t="shared" ref="T77:T112" si="145">S77^2*L77</f>
        <v>0.22086246326835493</v>
      </c>
      <c r="U77" s="63">
        <f t="shared" si="118"/>
        <v>1</v>
      </c>
      <c r="V77" s="63">
        <f t="shared" ref="V77:V112" si="146">U77+T77</f>
        <v>1.2208624632683549</v>
      </c>
      <c r="W77" s="64">
        <f t="shared" ref="W77:W112" si="147">O77/SQRT(12)</f>
        <v>0.62805072268936812</v>
      </c>
      <c r="X77" s="63">
        <f t="shared" si="119"/>
        <v>7.8889542054127515E-2</v>
      </c>
      <c r="Y77" s="63">
        <f t="shared" ref="Y77:Y112" si="148">X77</f>
        <v>7.8889542054127515E-2</v>
      </c>
      <c r="Z77" s="64">
        <f t="shared" si="120"/>
        <v>2.4510132409972081</v>
      </c>
      <c r="AA77" s="74">
        <f t="shared" si="121"/>
        <v>6.0074659075436384E-3</v>
      </c>
      <c r="AB77" s="75">
        <f t="shared" ref="AB77:AB112" si="149">AA77</f>
        <v>6.0074659075436384E-3</v>
      </c>
      <c r="AC77" s="63">
        <f t="shared" si="122"/>
        <v>2.6897804328701045</v>
      </c>
      <c r="AD77" s="63">
        <f t="shared" ref="AD77:AD112" si="150">J77*AC77^2</f>
        <v>6.2305595402821481E-3</v>
      </c>
      <c r="AE77" s="63">
        <f t="shared" si="123"/>
        <v>8.237066333164492E-3</v>
      </c>
      <c r="AF77" s="63">
        <f t="shared" si="124"/>
        <v>0.58338721609135813</v>
      </c>
      <c r="AG77" s="63">
        <f t="shared" si="125"/>
        <v>4.0608000000000005E-2</v>
      </c>
      <c r="AH77" s="63">
        <f t="shared" si="126"/>
        <v>0</v>
      </c>
      <c r="AI77" s="63">
        <f t="shared" ref="AI77:AI112" si="151">AS77*$AJ$6</f>
        <v>0.22378064516129031</v>
      </c>
      <c r="AJ77" s="63">
        <f t="shared" ref="AJ77:AJ112" si="152">(AH77+AG77+AF77+AE77+AI77)</f>
        <v>0.85601292758581282</v>
      </c>
      <c r="AK77" s="63">
        <f t="shared" si="127"/>
        <v>5.9505906373417883</v>
      </c>
      <c r="AL77" s="63">
        <f t="shared" si="128"/>
        <v>3.0493939892121243E-2</v>
      </c>
      <c r="AM77" s="63">
        <f t="shared" si="129"/>
        <v>4.0558725904357509E-2</v>
      </c>
      <c r="AN77" s="63">
        <f t="shared" si="130"/>
        <v>0.14254981273702949</v>
      </c>
      <c r="AO77" s="63">
        <f t="shared" si="131"/>
        <v>791.86420975419878</v>
      </c>
      <c r="AP77" s="63">
        <f t="shared" ref="AP77:AP112" si="153">MIN(AN77:AO77)</f>
        <v>0.14254981273702949</v>
      </c>
      <c r="AQ77" s="61">
        <f t="shared" si="132"/>
        <v>0.46248</v>
      </c>
      <c r="AR77" s="61">
        <f t="shared" si="133"/>
        <v>50128320000</v>
      </c>
      <c r="AS77" s="61">
        <f t="shared" ref="AS77:AS112" si="154">MIN(AQ77:AR77)</f>
        <v>0.46248</v>
      </c>
      <c r="AT77" s="61">
        <f t="shared" ref="AT77:AT112" si="155">AS77*$AJ$7</f>
        <v>0.23869935483870966</v>
      </c>
      <c r="AU77" s="63">
        <f t="shared" ref="AU77:AU112" si="156">AM77+AP77+AT77</f>
        <v>0.42180789348009662</v>
      </c>
      <c r="AV77" s="63">
        <f t="shared" si="134"/>
        <v>0.21322223855135317</v>
      </c>
      <c r="AW77" s="63">
        <f t="shared" si="135"/>
        <v>2.9760000000000003E-3</v>
      </c>
      <c r="AX77" s="63">
        <f t="shared" si="136"/>
        <v>0.24815999999999999</v>
      </c>
      <c r="AY77" s="63">
        <f t="shared" si="137"/>
        <v>0.25113599999999997</v>
      </c>
      <c r="AZ77" s="63">
        <f t="shared" si="138"/>
        <v>3.0479385308472886</v>
      </c>
      <c r="BA77" s="64">
        <f t="shared" si="139"/>
        <v>26</v>
      </c>
      <c r="BB77" s="76">
        <f t="shared" ref="BB77:BB112" si="157">BA77/(BA77+AZ77)</f>
        <v>0.89507212267023528</v>
      </c>
      <c r="BC77" s="64">
        <f t="shared" ref="BC77:BC112" si="158">BB77*100</f>
        <v>89.507212267023533</v>
      </c>
      <c r="BD77" s="63">
        <f t="shared" si="140"/>
        <v>1.2208624632683549</v>
      </c>
      <c r="BE77" s="63">
        <f t="shared" ref="BE77:BE112" si="159">BF77+BG77</f>
        <v>1.2778208210659094</v>
      </c>
      <c r="BF77" s="63">
        <f t="shared" si="141"/>
        <v>0.85601292758581282</v>
      </c>
      <c r="BG77" s="63">
        <f t="shared" si="142"/>
        <v>0.42180789348009662</v>
      </c>
      <c r="BH77" s="63">
        <f t="shared" si="143"/>
        <v>0.21322223855135317</v>
      </c>
      <c r="BI77" s="63">
        <f t="shared" ref="BI77:BI112" si="160">AY77</f>
        <v>0.25113599999999997</v>
      </c>
      <c r="BJ77" s="63">
        <f t="shared" ref="BJ77:BJ112" si="161">AB77</f>
        <v>6.0074659075436384E-3</v>
      </c>
      <c r="BK77" s="63">
        <f t="shared" ref="BK77:BK112" si="162">Y77</f>
        <v>7.8889542054127515E-2</v>
      </c>
      <c r="BL77" s="63">
        <f t="shared" ref="BL77:BL112" si="163">BD77+BF77+BG77+BH77+BI77+BJ77+BK77</f>
        <v>3.0479385308472886</v>
      </c>
      <c r="BQ77" s="77"/>
      <c r="BR77" s="78"/>
    </row>
    <row r="78" spans="3:70" x14ac:dyDescent="0.25">
      <c r="C78" s="61">
        <v>66</v>
      </c>
      <c r="D78" s="61">
        <f t="shared" si="103"/>
        <v>105</v>
      </c>
      <c r="E78" s="61">
        <f t="shared" si="104"/>
        <v>105</v>
      </c>
      <c r="F78" s="61">
        <f t="shared" si="105"/>
        <v>105</v>
      </c>
      <c r="G78" s="73">
        <f t="shared" si="106"/>
        <v>24</v>
      </c>
      <c r="H78" s="64">
        <f t="shared" si="107"/>
        <v>1</v>
      </c>
      <c r="I78" s="63">
        <f t="shared" si="144"/>
        <v>6.6</v>
      </c>
      <c r="J78" s="65">
        <f t="shared" si="108"/>
        <v>8.6117892021752077E-4</v>
      </c>
      <c r="K78" s="65">
        <f t="shared" si="109"/>
        <v>8.6117892021752077E-4</v>
      </c>
      <c r="L78" s="65">
        <f t="shared" si="110"/>
        <v>5.1791610661465239E-3</v>
      </c>
      <c r="M78" s="65">
        <f t="shared" si="111"/>
        <v>5.0000000000000001E-3</v>
      </c>
      <c r="N78" s="63">
        <f t="shared" si="112"/>
        <v>0.16970276016291677</v>
      </c>
      <c r="O78" s="64">
        <f t="shared" si="113"/>
        <v>2.1762214323469413</v>
      </c>
      <c r="P78" s="64">
        <f t="shared" si="114"/>
        <v>7.6881107161734707</v>
      </c>
      <c r="Q78" s="64">
        <f t="shared" si="115"/>
        <v>5.5118892838265285</v>
      </c>
      <c r="R78" s="64">
        <f t="shared" si="116"/>
        <v>0</v>
      </c>
      <c r="S78" s="64">
        <f t="shared" si="117"/>
        <v>6.6298311926888838</v>
      </c>
      <c r="T78" s="63">
        <f t="shared" si="145"/>
        <v>0.22764827225992076</v>
      </c>
      <c r="U78" s="63">
        <f t="shared" si="118"/>
        <v>1</v>
      </c>
      <c r="V78" s="63">
        <f t="shared" si="146"/>
        <v>1.2276482722599207</v>
      </c>
      <c r="W78" s="64">
        <f t="shared" si="147"/>
        <v>0.62822101489086979</v>
      </c>
      <c r="X78" s="63">
        <f t="shared" si="119"/>
        <v>7.8932328710102889E-2</v>
      </c>
      <c r="Y78" s="63">
        <f t="shared" si="148"/>
        <v>7.8932328710102889E-2</v>
      </c>
      <c r="Z78" s="64">
        <f t="shared" si="120"/>
        <v>2.4886494176513154</v>
      </c>
      <c r="AA78" s="74">
        <f t="shared" si="121"/>
        <v>6.1933759239762316E-3</v>
      </c>
      <c r="AB78" s="75">
        <f t="shared" si="149"/>
        <v>6.1933759239762316E-3</v>
      </c>
      <c r="AC78" s="63">
        <f t="shared" si="122"/>
        <v>2.7311586191463886</v>
      </c>
      <c r="AD78" s="63">
        <f t="shared" si="150"/>
        <v>6.4237294005187505E-3</v>
      </c>
      <c r="AE78" s="63">
        <f t="shared" si="123"/>
        <v>8.4928526439160545E-3</v>
      </c>
      <c r="AF78" s="63">
        <f t="shared" si="124"/>
        <v>0.59188790792045443</v>
      </c>
      <c r="AG78" s="63">
        <f t="shared" si="125"/>
        <v>4.0608000000000005E-2</v>
      </c>
      <c r="AH78" s="63">
        <f t="shared" si="126"/>
        <v>0</v>
      </c>
      <c r="AI78" s="63">
        <f t="shared" si="151"/>
        <v>0.22378064516129031</v>
      </c>
      <c r="AJ78" s="63">
        <f t="shared" si="152"/>
        <v>0.86476940572566074</v>
      </c>
      <c r="AK78" s="63">
        <f t="shared" si="127"/>
        <v>6.0411451100443614</v>
      </c>
      <c r="AL78" s="63">
        <f t="shared" si="128"/>
        <v>3.1429098652200553E-2</v>
      </c>
      <c r="AM78" s="63">
        <f t="shared" si="129"/>
        <v>4.1812312800266038E-2</v>
      </c>
      <c r="AN78" s="63">
        <f t="shared" si="130"/>
        <v>0.14480470370718773</v>
      </c>
      <c r="AO78" s="63">
        <f t="shared" si="131"/>
        <v>804.39012909342796</v>
      </c>
      <c r="AP78" s="63">
        <f t="shared" si="153"/>
        <v>0.14480470370718773</v>
      </c>
      <c r="AQ78" s="61">
        <f t="shared" si="132"/>
        <v>0.46248</v>
      </c>
      <c r="AR78" s="61">
        <f t="shared" si="133"/>
        <v>50128320000</v>
      </c>
      <c r="AS78" s="61">
        <f t="shared" si="154"/>
        <v>0.46248</v>
      </c>
      <c r="AT78" s="61">
        <f t="shared" si="155"/>
        <v>0.23869935483870966</v>
      </c>
      <c r="AU78" s="63">
        <f t="shared" si="156"/>
        <v>0.4253163713461634</v>
      </c>
      <c r="AV78" s="63">
        <f t="shared" si="134"/>
        <v>0.21977330821775254</v>
      </c>
      <c r="AW78" s="63">
        <f t="shared" si="135"/>
        <v>2.9760000000000003E-3</v>
      </c>
      <c r="AX78" s="63">
        <f t="shared" si="136"/>
        <v>0.24815999999999999</v>
      </c>
      <c r="AY78" s="63">
        <f t="shared" si="137"/>
        <v>0.25113599999999997</v>
      </c>
      <c r="AZ78" s="63">
        <f t="shared" si="138"/>
        <v>3.073769062183576</v>
      </c>
      <c r="BA78" s="64">
        <f t="shared" si="139"/>
        <v>26.4</v>
      </c>
      <c r="BB78" s="76">
        <f t="shared" si="157"/>
        <v>0.89571170705387027</v>
      </c>
      <c r="BC78" s="64">
        <f t="shared" si="158"/>
        <v>89.571170705387033</v>
      </c>
      <c r="BD78" s="63">
        <f t="shared" si="140"/>
        <v>1.2276482722599207</v>
      </c>
      <c r="BE78" s="63">
        <f t="shared" si="159"/>
        <v>1.2900857770718241</v>
      </c>
      <c r="BF78" s="63">
        <f t="shared" si="141"/>
        <v>0.86476940572566074</v>
      </c>
      <c r="BG78" s="63">
        <f t="shared" si="142"/>
        <v>0.4253163713461634</v>
      </c>
      <c r="BH78" s="63">
        <f t="shared" si="143"/>
        <v>0.21977330821775254</v>
      </c>
      <c r="BI78" s="63">
        <f t="shared" si="160"/>
        <v>0.25113599999999997</v>
      </c>
      <c r="BJ78" s="63">
        <f t="shared" si="161"/>
        <v>6.1933759239762316E-3</v>
      </c>
      <c r="BK78" s="63">
        <f t="shared" si="162"/>
        <v>7.8932328710102889E-2</v>
      </c>
      <c r="BL78" s="63">
        <f t="shared" si="163"/>
        <v>3.073769062183576</v>
      </c>
      <c r="BQ78" s="77"/>
      <c r="BR78" s="78"/>
    </row>
    <row r="79" spans="3:70" x14ac:dyDescent="0.25">
      <c r="C79" s="61">
        <v>67</v>
      </c>
      <c r="D79" s="61">
        <f t="shared" si="103"/>
        <v>105</v>
      </c>
      <c r="E79" s="61">
        <f t="shared" si="104"/>
        <v>105</v>
      </c>
      <c r="F79" s="61">
        <f t="shared" si="105"/>
        <v>105</v>
      </c>
      <c r="G79" s="73">
        <f t="shared" si="106"/>
        <v>24</v>
      </c>
      <c r="H79" s="64">
        <f t="shared" si="107"/>
        <v>1</v>
      </c>
      <c r="I79" s="63">
        <f t="shared" si="144"/>
        <v>6.7</v>
      </c>
      <c r="J79" s="65">
        <f t="shared" si="108"/>
        <v>8.6117892021752077E-4</v>
      </c>
      <c r="K79" s="65">
        <f t="shared" si="109"/>
        <v>8.6117892021752077E-4</v>
      </c>
      <c r="L79" s="65">
        <f t="shared" si="110"/>
        <v>5.1791610661465239E-3</v>
      </c>
      <c r="M79" s="65">
        <f t="shared" si="111"/>
        <v>5.0000000000000001E-3</v>
      </c>
      <c r="N79" s="63">
        <f t="shared" si="112"/>
        <v>0.16974876157952665</v>
      </c>
      <c r="O79" s="64">
        <f t="shared" si="113"/>
        <v>2.176811341837209</v>
      </c>
      <c r="P79" s="64">
        <f t="shared" si="114"/>
        <v>7.7884056709186051</v>
      </c>
      <c r="Q79" s="64">
        <f t="shared" si="115"/>
        <v>5.6115943290813952</v>
      </c>
      <c r="R79" s="64">
        <f t="shared" si="116"/>
        <v>0</v>
      </c>
      <c r="S79" s="64">
        <f t="shared" si="117"/>
        <v>6.7294038097612523</v>
      </c>
      <c r="T79" s="63">
        <f t="shared" si="145"/>
        <v>0.23453766477319501</v>
      </c>
      <c r="U79" s="63">
        <f t="shared" si="118"/>
        <v>1</v>
      </c>
      <c r="V79" s="63">
        <f t="shared" si="146"/>
        <v>1.2345376647731949</v>
      </c>
      <c r="W79" s="64">
        <f t="shared" si="147"/>
        <v>0.62839130709237156</v>
      </c>
      <c r="X79" s="63">
        <f t="shared" si="119"/>
        <v>7.897512696585185E-2</v>
      </c>
      <c r="Y79" s="63">
        <f t="shared" si="148"/>
        <v>7.897512696585185E-2</v>
      </c>
      <c r="Z79" s="64">
        <f t="shared" si="120"/>
        <v>2.5262984929034662</v>
      </c>
      <c r="AA79" s="74">
        <f t="shared" si="121"/>
        <v>6.3821840752463247E-3</v>
      </c>
      <c r="AB79" s="75">
        <f t="shared" si="149"/>
        <v>6.3821840752463247E-3</v>
      </c>
      <c r="AC79" s="63">
        <f t="shared" si="122"/>
        <v>2.7725532559889894</v>
      </c>
      <c r="AD79" s="63">
        <f t="shared" si="150"/>
        <v>6.6199267597678458E-3</v>
      </c>
      <c r="AE79" s="63">
        <f t="shared" si="123"/>
        <v>8.7526729522598053E-3</v>
      </c>
      <c r="AF79" s="63">
        <f t="shared" si="124"/>
        <v>0.60038859974955061</v>
      </c>
      <c r="AG79" s="63">
        <f t="shared" si="125"/>
        <v>4.0608000000000005E-2</v>
      </c>
      <c r="AH79" s="63">
        <f t="shared" si="126"/>
        <v>0</v>
      </c>
      <c r="AI79" s="63">
        <f t="shared" si="151"/>
        <v>0.22378064516129031</v>
      </c>
      <c r="AJ79" s="63">
        <f t="shared" si="152"/>
        <v>0.87352991786310064</v>
      </c>
      <c r="AK79" s="63">
        <f t="shared" si="127"/>
        <v>6.1317064572216857</v>
      </c>
      <c r="AL79" s="63">
        <f t="shared" si="128"/>
        <v>3.2378453541619133E-2</v>
      </c>
      <c r="AM79" s="63">
        <f t="shared" si="129"/>
        <v>4.3085529291440036E-2</v>
      </c>
      <c r="AN79" s="63">
        <f t="shared" si="130"/>
        <v>0.14705959467734608</v>
      </c>
      <c r="AO79" s="63">
        <f t="shared" si="131"/>
        <v>816.91604843265736</v>
      </c>
      <c r="AP79" s="63">
        <f t="shared" si="153"/>
        <v>0.14705959467734608</v>
      </c>
      <c r="AQ79" s="61">
        <f t="shared" si="132"/>
        <v>0.46248</v>
      </c>
      <c r="AR79" s="61">
        <f t="shared" si="133"/>
        <v>50128320000</v>
      </c>
      <c r="AS79" s="61">
        <f t="shared" si="154"/>
        <v>0.46248</v>
      </c>
      <c r="AT79" s="61">
        <f t="shared" si="155"/>
        <v>0.23869935483870966</v>
      </c>
      <c r="AU79" s="63">
        <f t="shared" si="156"/>
        <v>0.42884447880749577</v>
      </c>
      <c r="AV79" s="63">
        <f t="shared" si="134"/>
        <v>0.22642437817414629</v>
      </c>
      <c r="AW79" s="63">
        <f t="shared" si="135"/>
        <v>2.9760000000000003E-3</v>
      </c>
      <c r="AX79" s="63">
        <f t="shared" si="136"/>
        <v>0.24815999999999999</v>
      </c>
      <c r="AY79" s="63">
        <f t="shared" si="137"/>
        <v>0.25113599999999997</v>
      </c>
      <c r="AZ79" s="63">
        <f t="shared" si="138"/>
        <v>3.0998297506590355</v>
      </c>
      <c r="BA79" s="64">
        <f t="shared" si="139"/>
        <v>26.8</v>
      </c>
      <c r="BB79" s="76">
        <f t="shared" si="157"/>
        <v>0.89632617387760505</v>
      </c>
      <c r="BC79" s="64">
        <f t="shared" si="158"/>
        <v>89.632617387760504</v>
      </c>
      <c r="BD79" s="63">
        <f t="shared" si="140"/>
        <v>1.2345376647731949</v>
      </c>
      <c r="BE79" s="63">
        <f t="shared" si="159"/>
        <v>1.3023743966705963</v>
      </c>
      <c r="BF79" s="63">
        <f t="shared" si="141"/>
        <v>0.87352991786310064</v>
      </c>
      <c r="BG79" s="63">
        <f t="shared" si="142"/>
        <v>0.42884447880749577</v>
      </c>
      <c r="BH79" s="63">
        <f t="shared" si="143"/>
        <v>0.22642437817414629</v>
      </c>
      <c r="BI79" s="63">
        <f t="shared" si="160"/>
        <v>0.25113599999999997</v>
      </c>
      <c r="BJ79" s="63">
        <f t="shared" si="161"/>
        <v>6.3821840752463247E-3</v>
      </c>
      <c r="BK79" s="63">
        <f t="shared" si="162"/>
        <v>7.897512696585185E-2</v>
      </c>
      <c r="BL79" s="63">
        <f t="shared" si="163"/>
        <v>3.099829750659036</v>
      </c>
      <c r="BQ79" s="77"/>
      <c r="BR79" s="78"/>
    </row>
    <row r="80" spans="3:70" x14ac:dyDescent="0.25">
      <c r="C80" s="61">
        <v>68</v>
      </c>
      <c r="D80" s="61">
        <f t="shared" si="103"/>
        <v>105</v>
      </c>
      <c r="E80" s="61">
        <f t="shared" si="104"/>
        <v>105</v>
      </c>
      <c r="F80" s="61">
        <f t="shared" si="105"/>
        <v>105</v>
      </c>
      <c r="G80" s="73">
        <f t="shared" si="106"/>
        <v>24</v>
      </c>
      <c r="H80" s="64">
        <f t="shared" si="107"/>
        <v>1</v>
      </c>
      <c r="I80" s="63">
        <f t="shared" si="144"/>
        <v>6.8</v>
      </c>
      <c r="J80" s="65">
        <f t="shared" si="108"/>
        <v>8.6117892021752077E-4</v>
      </c>
      <c r="K80" s="65">
        <f t="shared" si="109"/>
        <v>8.6117892021752077E-4</v>
      </c>
      <c r="L80" s="65">
        <f t="shared" si="110"/>
        <v>5.1791610661465239E-3</v>
      </c>
      <c r="M80" s="65">
        <f t="shared" si="111"/>
        <v>5.0000000000000001E-3</v>
      </c>
      <c r="N80" s="63">
        <f t="shared" si="112"/>
        <v>0.16979476299613649</v>
      </c>
      <c r="O80" s="64">
        <f t="shared" si="113"/>
        <v>2.1774012513274763</v>
      </c>
      <c r="P80" s="64">
        <f t="shared" si="114"/>
        <v>7.8887006256637378</v>
      </c>
      <c r="Q80" s="64">
        <f t="shared" si="115"/>
        <v>5.7112993743362619</v>
      </c>
      <c r="R80" s="64">
        <f t="shared" si="116"/>
        <v>0</v>
      </c>
      <c r="S80" s="64">
        <f t="shared" si="117"/>
        <v>6.8289889210707369</v>
      </c>
      <c r="T80" s="63">
        <f t="shared" si="145"/>
        <v>0.24153064080817768</v>
      </c>
      <c r="U80" s="63">
        <f t="shared" si="118"/>
        <v>1</v>
      </c>
      <c r="V80" s="63">
        <f t="shared" si="146"/>
        <v>1.2415306408081777</v>
      </c>
      <c r="W80" s="64">
        <f t="shared" si="147"/>
        <v>0.62856159929387323</v>
      </c>
      <c r="X80" s="63">
        <f t="shared" si="119"/>
        <v>7.901793682137434E-2</v>
      </c>
      <c r="Y80" s="63">
        <f t="shared" si="148"/>
        <v>7.901793682137434E-2</v>
      </c>
      <c r="Z80" s="64">
        <f t="shared" si="120"/>
        <v>2.5639602507916743</v>
      </c>
      <c r="AA80" s="74">
        <f t="shared" si="121"/>
        <v>6.5738921676397055E-3</v>
      </c>
      <c r="AB80" s="75">
        <f t="shared" si="149"/>
        <v>6.5738921676397055E-3</v>
      </c>
      <c r="AC80" s="63">
        <f t="shared" si="122"/>
        <v>2.8139641078408402</v>
      </c>
      <c r="AD80" s="63">
        <f t="shared" si="150"/>
        <v>6.8191539949633362E-3</v>
      </c>
      <c r="AE80" s="63">
        <f t="shared" si="123"/>
        <v>9.0165315824571879E-3</v>
      </c>
      <c r="AF80" s="63">
        <f t="shared" si="124"/>
        <v>0.6088892915786468</v>
      </c>
      <c r="AG80" s="63">
        <f t="shared" si="125"/>
        <v>4.0608000000000005E-2</v>
      </c>
      <c r="AH80" s="63">
        <f t="shared" si="126"/>
        <v>0</v>
      </c>
      <c r="AI80" s="63">
        <f t="shared" si="151"/>
        <v>0.22378064516129031</v>
      </c>
      <c r="AJ80" s="63">
        <f t="shared" si="152"/>
        <v>0.88229446832239433</v>
      </c>
      <c r="AK80" s="63">
        <f t="shared" si="127"/>
        <v>6.2222741569212756</v>
      </c>
      <c r="AL80" s="63">
        <f t="shared" si="128"/>
        <v>3.3342002183443055E-2</v>
      </c>
      <c r="AM80" s="63">
        <f t="shared" si="129"/>
        <v>4.437839972789992E-2</v>
      </c>
      <c r="AN80" s="63">
        <f t="shared" si="130"/>
        <v>0.14931448564750432</v>
      </c>
      <c r="AO80" s="63">
        <f t="shared" si="131"/>
        <v>829.44196777188665</v>
      </c>
      <c r="AP80" s="63">
        <f t="shared" si="153"/>
        <v>0.14931448564750432</v>
      </c>
      <c r="AQ80" s="61">
        <f t="shared" si="132"/>
        <v>0.46248</v>
      </c>
      <c r="AR80" s="61">
        <f t="shared" si="133"/>
        <v>50128320000</v>
      </c>
      <c r="AS80" s="61">
        <f t="shared" si="154"/>
        <v>0.46248</v>
      </c>
      <c r="AT80" s="61">
        <f t="shared" si="155"/>
        <v>0.23869935483870966</v>
      </c>
      <c r="AU80" s="63">
        <f t="shared" si="156"/>
        <v>0.43239224021411393</v>
      </c>
      <c r="AV80" s="63">
        <f t="shared" si="134"/>
        <v>0.23317544842053434</v>
      </c>
      <c r="AW80" s="63">
        <f t="shared" si="135"/>
        <v>2.9760000000000003E-3</v>
      </c>
      <c r="AX80" s="63">
        <f t="shared" si="136"/>
        <v>0.24815999999999999</v>
      </c>
      <c r="AY80" s="63">
        <f t="shared" si="137"/>
        <v>0.25113599999999997</v>
      </c>
      <c r="AZ80" s="63">
        <f t="shared" si="138"/>
        <v>3.1261206267542341</v>
      </c>
      <c r="BA80" s="64">
        <f t="shared" si="139"/>
        <v>27.2</v>
      </c>
      <c r="BB80" s="76">
        <f t="shared" si="157"/>
        <v>0.89691656690185706</v>
      </c>
      <c r="BC80" s="64">
        <f t="shared" si="158"/>
        <v>89.69165669018571</v>
      </c>
      <c r="BD80" s="63">
        <f t="shared" si="140"/>
        <v>1.2415306408081777</v>
      </c>
      <c r="BE80" s="63">
        <f t="shared" si="159"/>
        <v>1.3146867085365082</v>
      </c>
      <c r="BF80" s="63">
        <f t="shared" si="141"/>
        <v>0.88229446832239433</v>
      </c>
      <c r="BG80" s="63">
        <f t="shared" si="142"/>
        <v>0.43239224021411393</v>
      </c>
      <c r="BH80" s="63">
        <f t="shared" si="143"/>
        <v>0.23317544842053434</v>
      </c>
      <c r="BI80" s="63">
        <f t="shared" si="160"/>
        <v>0.25113599999999997</v>
      </c>
      <c r="BJ80" s="63">
        <f t="shared" si="161"/>
        <v>6.5738921676397055E-3</v>
      </c>
      <c r="BK80" s="63">
        <f t="shared" si="162"/>
        <v>7.901793682137434E-2</v>
      </c>
      <c r="BL80" s="63">
        <f t="shared" si="163"/>
        <v>3.1261206267542341</v>
      </c>
      <c r="BQ80" s="77"/>
      <c r="BR80" s="78"/>
    </row>
    <row r="81" spans="3:70" x14ac:dyDescent="0.25">
      <c r="C81" s="61">
        <v>69</v>
      </c>
      <c r="D81" s="61">
        <f t="shared" si="103"/>
        <v>105</v>
      </c>
      <c r="E81" s="61">
        <f t="shared" si="104"/>
        <v>105</v>
      </c>
      <c r="F81" s="61">
        <f t="shared" si="105"/>
        <v>105</v>
      </c>
      <c r="G81" s="73">
        <f t="shared" si="106"/>
        <v>24</v>
      </c>
      <c r="H81" s="64">
        <f t="shared" si="107"/>
        <v>1</v>
      </c>
      <c r="I81" s="63">
        <f t="shared" si="144"/>
        <v>6.9</v>
      </c>
      <c r="J81" s="65">
        <f t="shared" si="108"/>
        <v>8.6117892021752077E-4</v>
      </c>
      <c r="K81" s="65">
        <f t="shared" si="109"/>
        <v>8.6117892021752077E-4</v>
      </c>
      <c r="L81" s="65">
        <f t="shared" si="110"/>
        <v>5.1791610661465239E-3</v>
      </c>
      <c r="M81" s="65">
        <f t="shared" si="111"/>
        <v>5.0000000000000001E-3</v>
      </c>
      <c r="N81" s="63">
        <f t="shared" si="112"/>
        <v>0.16984076441274631</v>
      </c>
      <c r="O81" s="64">
        <f t="shared" si="113"/>
        <v>2.1779911608177431</v>
      </c>
      <c r="P81" s="64">
        <f t="shared" si="114"/>
        <v>7.9889955804088721</v>
      </c>
      <c r="Q81" s="64">
        <f t="shared" si="115"/>
        <v>5.8110044195911286</v>
      </c>
      <c r="R81" s="64">
        <f t="shared" si="116"/>
        <v>0</v>
      </c>
      <c r="S81" s="64">
        <f t="shared" si="117"/>
        <v>6.9285859878754019</v>
      </c>
      <c r="T81" s="63">
        <f t="shared" si="145"/>
        <v>0.24862720036486882</v>
      </c>
      <c r="U81" s="63">
        <f t="shared" si="118"/>
        <v>1</v>
      </c>
      <c r="V81" s="63">
        <f t="shared" si="146"/>
        <v>1.2486272003648689</v>
      </c>
      <c r="W81" s="64">
        <f t="shared" si="147"/>
        <v>0.62873189149537478</v>
      </c>
      <c r="X81" s="63">
        <f t="shared" si="119"/>
        <v>7.9060758276670362E-2</v>
      </c>
      <c r="Y81" s="63">
        <f t="shared" si="148"/>
        <v>7.9060758276670362E-2</v>
      </c>
      <c r="Z81" s="64">
        <f t="shared" si="120"/>
        <v>2.6016344875739761</v>
      </c>
      <c r="AA81" s="74">
        <f t="shared" si="121"/>
        <v>6.7685020069343056E-3</v>
      </c>
      <c r="AB81" s="75">
        <f t="shared" si="149"/>
        <v>6.7685020069343056E-3</v>
      </c>
      <c r="AC81" s="63">
        <f t="shared" si="122"/>
        <v>2.8553909525307839</v>
      </c>
      <c r="AD81" s="63">
        <f t="shared" si="150"/>
        <v>7.0214134830391337E-3</v>
      </c>
      <c r="AE81" s="63">
        <f t="shared" si="123"/>
        <v>9.2844328784760927E-3</v>
      </c>
      <c r="AF81" s="63">
        <f t="shared" si="124"/>
        <v>0.6173899834077432</v>
      </c>
      <c r="AG81" s="63">
        <f t="shared" si="125"/>
        <v>4.0608000000000005E-2</v>
      </c>
      <c r="AH81" s="63">
        <f t="shared" si="126"/>
        <v>0</v>
      </c>
      <c r="AI81" s="63">
        <f t="shared" si="151"/>
        <v>0.22378064516129031</v>
      </c>
      <c r="AJ81" s="63">
        <f t="shared" si="152"/>
        <v>0.89106306144750969</v>
      </c>
      <c r="AK81" s="63">
        <f t="shared" si="127"/>
        <v>6.3128477171232866</v>
      </c>
      <c r="AL81" s="63">
        <f t="shared" si="128"/>
        <v>3.4319742200738433E-2</v>
      </c>
      <c r="AM81" s="63">
        <f t="shared" si="129"/>
        <v>4.5690948898577097E-2</v>
      </c>
      <c r="AN81" s="63">
        <f t="shared" si="130"/>
        <v>0.15156937661766268</v>
      </c>
      <c r="AO81" s="63">
        <f t="shared" si="131"/>
        <v>841.96788711111606</v>
      </c>
      <c r="AP81" s="63">
        <f t="shared" si="153"/>
        <v>0.15156937661766268</v>
      </c>
      <c r="AQ81" s="61">
        <f t="shared" si="132"/>
        <v>0.46248</v>
      </c>
      <c r="AR81" s="61">
        <f t="shared" si="133"/>
        <v>50128320000</v>
      </c>
      <c r="AS81" s="61">
        <f t="shared" si="154"/>
        <v>0.46248</v>
      </c>
      <c r="AT81" s="61">
        <f t="shared" si="155"/>
        <v>0.23869935483870966</v>
      </c>
      <c r="AU81" s="63">
        <f t="shared" si="156"/>
        <v>0.43595968035494947</v>
      </c>
      <c r="AV81" s="63">
        <f t="shared" si="134"/>
        <v>0.24002651895691682</v>
      </c>
      <c r="AW81" s="63">
        <f t="shared" si="135"/>
        <v>2.9760000000000003E-3</v>
      </c>
      <c r="AX81" s="63">
        <f t="shared" si="136"/>
        <v>0.24815999999999999</v>
      </c>
      <c r="AY81" s="63">
        <f t="shared" si="137"/>
        <v>0.25113599999999997</v>
      </c>
      <c r="AZ81" s="63">
        <f t="shared" si="138"/>
        <v>3.152641721407849</v>
      </c>
      <c r="BA81" s="64">
        <f t="shared" si="139"/>
        <v>27.6</v>
      </c>
      <c r="BB81" s="76">
        <f t="shared" si="157"/>
        <v>0.89748387309395927</v>
      </c>
      <c r="BC81" s="64">
        <f t="shared" si="158"/>
        <v>89.748387309395923</v>
      </c>
      <c r="BD81" s="63">
        <f t="shared" si="140"/>
        <v>1.2486272003648689</v>
      </c>
      <c r="BE81" s="63">
        <f t="shared" si="159"/>
        <v>1.3270227418024592</v>
      </c>
      <c r="BF81" s="63">
        <f t="shared" si="141"/>
        <v>0.89106306144750969</v>
      </c>
      <c r="BG81" s="63">
        <f t="shared" si="142"/>
        <v>0.43595968035494947</v>
      </c>
      <c r="BH81" s="63">
        <f t="shared" si="143"/>
        <v>0.24002651895691682</v>
      </c>
      <c r="BI81" s="63">
        <f t="shared" si="160"/>
        <v>0.25113599999999997</v>
      </c>
      <c r="BJ81" s="63">
        <f t="shared" si="161"/>
        <v>6.7685020069343056E-3</v>
      </c>
      <c r="BK81" s="63">
        <f t="shared" si="162"/>
        <v>7.9060758276670362E-2</v>
      </c>
      <c r="BL81" s="63">
        <f t="shared" si="163"/>
        <v>3.1526417214078499</v>
      </c>
      <c r="BQ81" s="77"/>
      <c r="BR81" s="78"/>
    </row>
    <row r="82" spans="3:70" x14ac:dyDescent="0.25">
      <c r="C82" s="61">
        <v>70</v>
      </c>
      <c r="D82" s="61">
        <f t="shared" si="103"/>
        <v>105</v>
      </c>
      <c r="E82" s="61">
        <f t="shared" si="104"/>
        <v>105</v>
      </c>
      <c r="F82" s="61">
        <f t="shared" si="105"/>
        <v>105</v>
      </c>
      <c r="G82" s="73">
        <f t="shared" si="106"/>
        <v>24</v>
      </c>
      <c r="H82" s="64">
        <f t="shared" si="107"/>
        <v>1</v>
      </c>
      <c r="I82" s="63">
        <f t="shared" si="144"/>
        <v>7</v>
      </c>
      <c r="J82" s="65">
        <f t="shared" si="108"/>
        <v>8.6117892021752077E-4</v>
      </c>
      <c r="K82" s="65">
        <f t="shared" si="109"/>
        <v>8.6117892021752077E-4</v>
      </c>
      <c r="L82" s="65">
        <f t="shared" si="110"/>
        <v>5.1791610661465239E-3</v>
      </c>
      <c r="M82" s="65">
        <f t="shared" si="111"/>
        <v>5.0000000000000001E-3</v>
      </c>
      <c r="N82" s="63">
        <f t="shared" si="112"/>
        <v>0.16988676582935616</v>
      </c>
      <c r="O82" s="64">
        <f t="shared" si="113"/>
        <v>2.1785810703080108</v>
      </c>
      <c r="P82" s="64">
        <f t="shared" si="114"/>
        <v>8.0892905351540048</v>
      </c>
      <c r="Q82" s="64">
        <f t="shared" si="115"/>
        <v>5.9107094648459944</v>
      </c>
      <c r="R82" s="64">
        <f t="shared" si="116"/>
        <v>0</v>
      </c>
      <c r="S82" s="64">
        <f t="shared" si="117"/>
        <v>7.0281945019086303</v>
      </c>
      <c r="T82" s="63">
        <f t="shared" si="145"/>
        <v>0.25582734344326824</v>
      </c>
      <c r="U82" s="63">
        <f t="shared" si="118"/>
        <v>1</v>
      </c>
      <c r="V82" s="63">
        <f t="shared" si="146"/>
        <v>1.2558273434432683</v>
      </c>
      <c r="W82" s="64">
        <f t="shared" si="147"/>
        <v>0.62890218369687656</v>
      </c>
      <c r="X82" s="63">
        <f t="shared" si="119"/>
        <v>7.9103591331739984E-2</v>
      </c>
      <c r="Y82" s="63">
        <f t="shared" si="148"/>
        <v>7.9103591331739984E-2</v>
      </c>
      <c r="Z82" s="64">
        <f t="shared" si="120"/>
        <v>2.6393210108662721</v>
      </c>
      <c r="AA82" s="74">
        <f t="shared" si="121"/>
        <v>6.9660153984001608E-3</v>
      </c>
      <c r="AB82" s="75">
        <f t="shared" si="149"/>
        <v>6.9660153984001608E-3</v>
      </c>
      <c r="AC82" s="63">
        <f t="shared" si="122"/>
        <v>2.8968335803291554</v>
      </c>
      <c r="AD82" s="63">
        <f t="shared" si="150"/>
        <v>7.2267076009291508E-3</v>
      </c>
      <c r="AE82" s="63">
        <f t="shared" si="123"/>
        <v>9.5563812040522847E-3</v>
      </c>
      <c r="AF82" s="63">
        <f t="shared" si="124"/>
        <v>0.62589067523683928</v>
      </c>
      <c r="AG82" s="63">
        <f t="shared" si="125"/>
        <v>4.0608000000000005E-2</v>
      </c>
      <c r="AH82" s="63">
        <f t="shared" si="126"/>
        <v>0</v>
      </c>
      <c r="AI82" s="63">
        <f t="shared" si="151"/>
        <v>0.22378064516129031</v>
      </c>
      <c r="AJ82" s="63">
        <f t="shared" si="152"/>
        <v>0.89983570160218185</v>
      </c>
      <c r="AK82" s="63">
        <f t="shared" si="127"/>
        <v>6.40342667362843</v>
      </c>
      <c r="AL82" s="63">
        <f t="shared" si="128"/>
        <v>3.531167121657134E-2</v>
      </c>
      <c r="AM82" s="63">
        <f t="shared" si="129"/>
        <v>4.7023202032606168E-2</v>
      </c>
      <c r="AN82" s="63">
        <f t="shared" si="130"/>
        <v>0.15382426758782095</v>
      </c>
      <c r="AO82" s="63">
        <f t="shared" si="131"/>
        <v>854.49380645034535</v>
      </c>
      <c r="AP82" s="63">
        <f t="shared" si="153"/>
        <v>0.15382426758782095</v>
      </c>
      <c r="AQ82" s="61">
        <f t="shared" si="132"/>
        <v>0.46248</v>
      </c>
      <c r="AR82" s="61">
        <f t="shared" si="133"/>
        <v>50128320000</v>
      </c>
      <c r="AS82" s="61">
        <f t="shared" si="154"/>
        <v>0.46248</v>
      </c>
      <c r="AT82" s="61">
        <f t="shared" si="155"/>
        <v>0.23869935483870966</v>
      </c>
      <c r="AU82" s="63">
        <f t="shared" si="156"/>
        <v>0.43954682445913673</v>
      </c>
      <c r="AV82" s="63">
        <f t="shared" si="134"/>
        <v>0.24697758978329351</v>
      </c>
      <c r="AW82" s="63">
        <f t="shared" si="135"/>
        <v>2.9760000000000003E-3</v>
      </c>
      <c r="AX82" s="63">
        <f t="shared" si="136"/>
        <v>0.24815999999999999</v>
      </c>
      <c r="AY82" s="63">
        <f t="shared" si="137"/>
        <v>0.25113599999999997</v>
      </c>
      <c r="AZ82" s="63">
        <f t="shared" si="138"/>
        <v>3.1793930660180205</v>
      </c>
      <c r="BA82" s="64">
        <f t="shared" si="139"/>
        <v>28</v>
      </c>
      <c r="BB82" s="76">
        <f t="shared" si="157"/>
        <v>0.89802902643787519</v>
      </c>
      <c r="BC82" s="64">
        <f t="shared" si="158"/>
        <v>89.802902643787519</v>
      </c>
      <c r="BD82" s="63">
        <f t="shared" si="140"/>
        <v>1.2558273434432683</v>
      </c>
      <c r="BE82" s="63">
        <f t="shared" si="159"/>
        <v>1.3393825260613186</v>
      </c>
      <c r="BF82" s="63">
        <f t="shared" si="141"/>
        <v>0.89983570160218185</v>
      </c>
      <c r="BG82" s="63">
        <f t="shared" si="142"/>
        <v>0.43954682445913673</v>
      </c>
      <c r="BH82" s="63">
        <f t="shared" si="143"/>
        <v>0.24697758978329351</v>
      </c>
      <c r="BI82" s="63">
        <f t="shared" si="160"/>
        <v>0.25113599999999997</v>
      </c>
      <c r="BJ82" s="63">
        <f t="shared" si="161"/>
        <v>6.9660153984001608E-3</v>
      </c>
      <c r="BK82" s="63">
        <f t="shared" si="162"/>
        <v>7.9103591331739984E-2</v>
      </c>
      <c r="BL82" s="63">
        <f t="shared" si="163"/>
        <v>3.1793930660180205</v>
      </c>
      <c r="BQ82" s="77"/>
      <c r="BR82" s="78"/>
    </row>
    <row r="83" spans="3:70" x14ac:dyDescent="0.25">
      <c r="C83" s="61">
        <v>71</v>
      </c>
      <c r="D83" s="61">
        <f t="shared" si="103"/>
        <v>105</v>
      </c>
      <c r="E83" s="61">
        <f t="shared" si="104"/>
        <v>105</v>
      </c>
      <c r="F83" s="61">
        <f t="shared" si="105"/>
        <v>105</v>
      </c>
      <c r="G83" s="73">
        <f t="shared" si="106"/>
        <v>24</v>
      </c>
      <c r="H83" s="64">
        <f t="shared" si="107"/>
        <v>1</v>
      </c>
      <c r="I83" s="63">
        <f t="shared" si="144"/>
        <v>7.1</v>
      </c>
      <c r="J83" s="65">
        <f t="shared" si="108"/>
        <v>8.6117892021752077E-4</v>
      </c>
      <c r="K83" s="65">
        <f t="shared" si="109"/>
        <v>8.6117892021752077E-4</v>
      </c>
      <c r="L83" s="65">
        <f t="shared" si="110"/>
        <v>5.1791610661465239E-3</v>
      </c>
      <c r="M83" s="65">
        <f t="shared" si="111"/>
        <v>5.0000000000000001E-3</v>
      </c>
      <c r="N83" s="63">
        <f t="shared" si="112"/>
        <v>0.16993276724596604</v>
      </c>
      <c r="O83" s="64">
        <f t="shared" si="113"/>
        <v>2.1791709797982786</v>
      </c>
      <c r="P83" s="64">
        <f t="shared" si="114"/>
        <v>8.1895854898991391</v>
      </c>
      <c r="Q83" s="64">
        <f t="shared" si="115"/>
        <v>6.0104145101008601</v>
      </c>
      <c r="R83" s="64">
        <f t="shared" si="116"/>
        <v>0</v>
      </c>
      <c r="S83" s="64">
        <f t="shared" si="117"/>
        <v>7.1278139832583252</v>
      </c>
      <c r="T83" s="63">
        <f t="shared" si="145"/>
        <v>0.2631310700433761</v>
      </c>
      <c r="U83" s="63">
        <f t="shared" si="118"/>
        <v>1</v>
      </c>
      <c r="V83" s="63">
        <f t="shared" si="146"/>
        <v>1.263131070043376</v>
      </c>
      <c r="W83" s="64">
        <f t="shared" si="147"/>
        <v>0.62907247589837834</v>
      </c>
      <c r="X83" s="63">
        <f t="shared" si="119"/>
        <v>7.9146435986583163E-2</v>
      </c>
      <c r="Y83" s="63">
        <f t="shared" si="148"/>
        <v>7.9146435986583163E-2</v>
      </c>
      <c r="Z83" s="64">
        <f t="shared" si="120"/>
        <v>2.6770196388520304</v>
      </c>
      <c r="AA83" s="74">
        <f t="shared" si="121"/>
        <v>7.1664341467994556E-3</v>
      </c>
      <c r="AB83" s="75">
        <f t="shared" si="149"/>
        <v>7.1664341467994556E-3</v>
      </c>
      <c r="AC83" s="63">
        <f t="shared" si="122"/>
        <v>2.9382917930820667</v>
      </c>
      <c r="AD83" s="63">
        <f t="shared" si="150"/>
        <v>7.4350387255672969E-3</v>
      </c>
      <c r="AE83" s="63">
        <f t="shared" si="123"/>
        <v>9.8323809427511566E-3</v>
      </c>
      <c r="AF83" s="63">
        <f t="shared" si="124"/>
        <v>0.63439136706593557</v>
      </c>
      <c r="AG83" s="63">
        <f t="shared" si="125"/>
        <v>4.0608000000000005E-2</v>
      </c>
      <c r="AH83" s="63">
        <f t="shared" si="126"/>
        <v>0</v>
      </c>
      <c r="AI83" s="63">
        <f t="shared" si="151"/>
        <v>0.22378064516129031</v>
      </c>
      <c r="AJ83" s="63">
        <f t="shared" si="152"/>
        <v>0.908612393169977</v>
      </c>
      <c r="AK83" s="63">
        <f t="shared" si="127"/>
        <v>6.4940105881219106</v>
      </c>
      <c r="AL83" s="63">
        <f t="shared" si="128"/>
        <v>3.6317786854007876E-2</v>
      </c>
      <c r="AM83" s="63">
        <f t="shared" si="129"/>
        <v>4.8375184800642415E-2</v>
      </c>
      <c r="AN83" s="63">
        <f t="shared" si="130"/>
        <v>0.15607915855797924</v>
      </c>
      <c r="AO83" s="63">
        <f t="shared" si="131"/>
        <v>867.01972578957475</v>
      </c>
      <c r="AP83" s="63">
        <f t="shared" si="153"/>
        <v>0.15607915855797924</v>
      </c>
      <c r="AQ83" s="61">
        <f t="shared" si="132"/>
        <v>0.46248</v>
      </c>
      <c r="AR83" s="61">
        <f t="shared" si="133"/>
        <v>50128320000</v>
      </c>
      <c r="AS83" s="61">
        <f t="shared" si="154"/>
        <v>0.46248</v>
      </c>
      <c r="AT83" s="61">
        <f t="shared" si="155"/>
        <v>0.23869935483870966</v>
      </c>
      <c r="AU83" s="63">
        <f t="shared" si="156"/>
        <v>0.4431536981973313</v>
      </c>
      <c r="AV83" s="63">
        <f t="shared" si="134"/>
        <v>0.25402866089966458</v>
      </c>
      <c r="AW83" s="63">
        <f t="shared" si="135"/>
        <v>2.9760000000000003E-3</v>
      </c>
      <c r="AX83" s="63">
        <f t="shared" si="136"/>
        <v>0.24815999999999999</v>
      </c>
      <c r="AY83" s="63">
        <f t="shared" si="137"/>
        <v>0.25113599999999997</v>
      </c>
      <c r="AZ83" s="63">
        <f t="shared" si="138"/>
        <v>3.2063746924437315</v>
      </c>
      <c r="BA83" s="64">
        <f t="shared" si="139"/>
        <v>28.4</v>
      </c>
      <c r="BB83" s="76">
        <f t="shared" si="157"/>
        <v>0.898552911441302</v>
      </c>
      <c r="BC83" s="64">
        <f t="shared" si="158"/>
        <v>89.855291144130206</v>
      </c>
      <c r="BD83" s="63">
        <f t="shared" si="140"/>
        <v>1.263131070043376</v>
      </c>
      <c r="BE83" s="63">
        <f t="shared" si="159"/>
        <v>1.3517660913673084</v>
      </c>
      <c r="BF83" s="63">
        <f t="shared" si="141"/>
        <v>0.908612393169977</v>
      </c>
      <c r="BG83" s="63">
        <f t="shared" si="142"/>
        <v>0.4431536981973313</v>
      </c>
      <c r="BH83" s="63">
        <f t="shared" si="143"/>
        <v>0.25402866089966458</v>
      </c>
      <c r="BI83" s="63">
        <f t="shared" si="160"/>
        <v>0.25113599999999997</v>
      </c>
      <c r="BJ83" s="63">
        <f t="shared" si="161"/>
        <v>7.1664341467994556E-3</v>
      </c>
      <c r="BK83" s="63">
        <f t="shared" si="162"/>
        <v>7.9146435986583163E-2</v>
      </c>
      <c r="BL83" s="63">
        <f t="shared" si="163"/>
        <v>3.2063746924437315</v>
      </c>
      <c r="BQ83" s="77"/>
      <c r="BR83" s="78"/>
    </row>
    <row r="84" spans="3:70" x14ac:dyDescent="0.25">
      <c r="C84" s="61">
        <v>72</v>
      </c>
      <c r="D84" s="61">
        <f t="shared" si="103"/>
        <v>105</v>
      </c>
      <c r="E84" s="61">
        <f t="shared" si="104"/>
        <v>105</v>
      </c>
      <c r="F84" s="61">
        <f t="shared" si="105"/>
        <v>105</v>
      </c>
      <c r="G84" s="73">
        <f t="shared" si="106"/>
        <v>24</v>
      </c>
      <c r="H84" s="64">
        <f t="shared" si="107"/>
        <v>1</v>
      </c>
      <c r="I84" s="63">
        <f t="shared" si="144"/>
        <v>7.2</v>
      </c>
      <c r="J84" s="65">
        <f t="shared" si="108"/>
        <v>8.6117892021752077E-4</v>
      </c>
      <c r="K84" s="65">
        <f t="shared" si="109"/>
        <v>8.6117892021752077E-4</v>
      </c>
      <c r="L84" s="65">
        <f t="shared" si="110"/>
        <v>5.1791610661465239E-3</v>
      </c>
      <c r="M84" s="65">
        <f t="shared" si="111"/>
        <v>5.0000000000000001E-3</v>
      </c>
      <c r="N84" s="63">
        <f t="shared" si="112"/>
        <v>0.16997876866257589</v>
      </c>
      <c r="O84" s="64">
        <f t="shared" si="113"/>
        <v>2.1797608892885458</v>
      </c>
      <c r="P84" s="64">
        <f t="shared" si="114"/>
        <v>8.2898804446442735</v>
      </c>
      <c r="Q84" s="64">
        <f t="shared" si="115"/>
        <v>6.1101195553557268</v>
      </c>
      <c r="R84" s="64">
        <f t="shared" si="116"/>
        <v>0</v>
      </c>
      <c r="S84" s="64">
        <f t="shared" si="117"/>
        <v>7.2274439784204487</v>
      </c>
      <c r="T84" s="63">
        <f t="shared" si="145"/>
        <v>0.27053838016519244</v>
      </c>
      <c r="U84" s="63">
        <f t="shared" si="118"/>
        <v>1</v>
      </c>
      <c r="V84" s="63">
        <f t="shared" si="146"/>
        <v>1.2705383801651924</v>
      </c>
      <c r="W84" s="64">
        <f t="shared" si="147"/>
        <v>0.62924276809988</v>
      </c>
      <c r="X84" s="63">
        <f t="shared" si="119"/>
        <v>7.9189292241199874E-2</v>
      </c>
      <c r="Y84" s="63">
        <f t="shared" si="148"/>
        <v>7.9189292241199874E-2</v>
      </c>
      <c r="Z84" s="64">
        <f t="shared" si="120"/>
        <v>2.7147301995569459</v>
      </c>
      <c r="AA84" s="74">
        <f t="shared" si="121"/>
        <v>7.3697600563864957E-3</v>
      </c>
      <c r="AB84" s="75">
        <f t="shared" si="149"/>
        <v>7.3697600563864957E-3</v>
      </c>
      <c r="AC84" s="63">
        <f t="shared" si="122"/>
        <v>2.9797654034168586</v>
      </c>
      <c r="AD84" s="63">
        <f t="shared" si="150"/>
        <v>7.6464092338874804E-3</v>
      </c>
      <c r="AE84" s="63">
        <f t="shared" si="123"/>
        <v>1.0112436498029752E-2</v>
      </c>
      <c r="AF84" s="63">
        <f t="shared" si="124"/>
        <v>0.64289205889503187</v>
      </c>
      <c r="AG84" s="63">
        <f t="shared" si="125"/>
        <v>4.0608000000000005E-2</v>
      </c>
      <c r="AH84" s="63">
        <f t="shared" si="126"/>
        <v>0</v>
      </c>
      <c r="AI84" s="63">
        <f t="shared" si="151"/>
        <v>0.22378064516129031</v>
      </c>
      <c r="AJ84" s="63">
        <f t="shared" si="152"/>
        <v>0.91739314055435184</v>
      </c>
      <c r="AK84" s="63">
        <f t="shared" si="127"/>
        <v>6.5845990463965203</v>
      </c>
      <c r="AL84" s="63">
        <f t="shared" si="128"/>
        <v>3.7338086736114127E-2</v>
      </c>
      <c r="AM84" s="63">
        <f t="shared" si="129"/>
        <v>4.9746923316204193E-2</v>
      </c>
      <c r="AN84" s="63">
        <f t="shared" si="130"/>
        <v>0.15833404952813757</v>
      </c>
      <c r="AO84" s="63">
        <f t="shared" si="131"/>
        <v>879.54564512880415</v>
      </c>
      <c r="AP84" s="63">
        <f t="shared" si="153"/>
        <v>0.15833404952813757</v>
      </c>
      <c r="AQ84" s="61">
        <f t="shared" si="132"/>
        <v>0.46248</v>
      </c>
      <c r="AR84" s="61">
        <f t="shared" si="133"/>
        <v>50128320000</v>
      </c>
      <c r="AS84" s="61">
        <f t="shared" si="154"/>
        <v>0.46248</v>
      </c>
      <c r="AT84" s="61">
        <f t="shared" si="155"/>
        <v>0.23869935483870966</v>
      </c>
      <c r="AU84" s="63">
        <f t="shared" si="156"/>
        <v>0.44678032768305143</v>
      </c>
      <c r="AV84" s="63">
        <f t="shared" si="134"/>
        <v>0.26117973230603003</v>
      </c>
      <c r="AW84" s="63">
        <f t="shared" si="135"/>
        <v>2.9760000000000003E-3</v>
      </c>
      <c r="AX84" s="63">
        <f t="shared" si="136"/>
        <v>0.24815999999999999</v>
      </c>
      <c r="AY84" s="63">
        <f t="shared" si="137"/>
        <v>0.25113599999999997</v>
      </c>
      <c r="AZ84" s="63">
        <f t="shared" si="138"/>
        <v>3.2335866330062117</v>
      </c>
      <c r="BA84" s="64">
        <f t="shared" si="139"/>
        <v>28.8</v>
      </c>
      <c r="BB84" s="76">
        <f t="shared" si="157"/>
        <v>0.89905636636784092</v>
      </c>
      <c r="BC84" s="64">
        <f t="shared" si="158"/>
        <v>89.905636636784095</v>
      </c>
      <c r="BD84" s="63">
        <f t="shared" si="140"/>
        <v>1.2705383801651924</v>
      </c>
      <c r="BE84" s="63">
        <f t="shared" si="159"/>
        <v>1.3641734682374032</v>
      </c>
      <c r="BF84" s="63">
        <f t="shared" si="141"/>
        <v>0.91739314055435184</v>
      </c>
      <c r="BG84" s="63">
        <f t="shared" si="142"/>
        <v>0.44678032768305143</v>
      </c>
      <c r="BH84" s="63">
        <f t="shared" si="143"/>
        <v>0.26117973230603003</v>
      </c>
      <c r="BI84" s="63">
        <f t="shared" si="160"/>
        <v>0.25113599999999997</v>
      </c>
      <c r="BJ84" s="63">
        <f t="shared" si="161"/>
        <v>7.3697600563864957E-3</v>
      </c>
      <c r="BK84" s="63">
        <f t="shared" si="162"/>
        <v>7.9189292241199874E-2</v>
      </c>
      <c r="BL84" s="63">
        <f t="shared" si="163"/>
        <v>3.2335866330062117</v>
      </c>
      <c r="BQ84" s="77"/>
      <c r="BR84" s="78"/>
    </row>
    <row r="85" spans="3:70" x14ac:dyDescent="0.25">
      <c r="C85" s="61">
        <v>73</v>
      </c>
      <c r="D85" s="61">
        <f t="shared" si="103"/>
        <v>105</v>
      </c>
      <c r="E85" s="61">
        <f t="shared" si="104"/>
        <v>105</v>
      </c>
      <c r="F85" s="61">
        <f t="shared" si="105"/>
        <v>105</v>
      </c>
      <c r="G85" s="73">
        <f t="shared" si="106"/>
        <v>24</v>
      </c>
      <c r="H85" s="64">
        <f t="shared" si="107"/>
        <v>1</v>
      </c>
      <c r="I85" s="63">
        <f t="shared" si="144"/>
        <v>7.3</v>
      </c>
      <c r="J85" s="65">
        <f t="shared" si="108"/>
        <v>8.6117892021752077E-4</v>
      </c>
      <c r="K85" s="65">
        <f t="shared" si="109"/>
        <v>8.6117892021752077E-4</v>
      </c>
      <c r="L85" s="65">
        <f t="shared" si="110"/>
        <v>5.1791610661465239E-3</v>
      </c>
      <c r="M85" s="65">
        <f t="shared" si="111"/>
        <v>5.0000000000000001E-3</v>
      </c>
      <c r="N85" s="63">
        <f t="shared" si="112"/>
        <v>0.17002477007918573</v>
      </c>
      <c r="O85" s="64">
        <f t="shared" si="113"/>
        <v>2.1803507987788131</v>
      </c>
      <c r="P85" s="64">
        <f t="shared" si="114"/>
        <v>8.3901753993894062</v>
      </c>
      <c r="Q85" s="64">
        <f t="shared" si="115"/>
        <v>6.2098246006105935</v>
      </c>
      <c r="R85" s="64">
        <f t="shared" si="116"/>
        <v>0</v>
      </c>
      <c r="S85" s="64">
        <f t="shared" si="117"/>
        <v>7.3270840585104491</v>
      </c>
      <c r="T85" s="63">
        <f t="shared" si="145"/>
        <v>0.27804927380871713</v>
      </c>
      <c r="U85" s="63">
        <f t="shared" si="118"/>
        <v>1</v>
      </c>
      <c r="V85" s="63">
        <f t="shared" si="146"/>
        <v>1.2780492738087172</v>
      </c>
      <c r="W85" s="64">
        <f t="shared" si="147"/>
        <v>0.62941306030138167</v>
      </c>
      <c r="X85" s="63">
        <f t="shared" si="119"/>
        <v>7.9232160095590143E-2</v>
      </c>
      <c r="Y85" s="63">
        <f t="shared" si="148"/>
        <v>7.9232160095590143E-2</v>
      </c>
      <c r="Z85" s="64">
        <f t="shared" si="120"/>
        <v>2.7524525301824379</v>
      </c>
      <c r="AA85" s="74">
        <f t="shared" si="121"/>
        <v>7.5759949309077042E-3</v>
      </c>
      <c r="AB85" s="75">
        <f t="shared" si="149"/>
        <v>7.5759949309077042E-3</v>
      </c>
      <c r="AC85" s="63">
        <f t="shared" si="122"/>
        <v>3.0212542340120034</v>
      </c>
      <c r="AD85" s="63">
        <f t="shared" si="150"/>
        <v>7.8608215028236113E-3</v>
      </c>
      <c r="AE85" s="63">
        <f t="shared" si="123"/>
        <v>1.0396552293299121E-2</v>
      </c>
      <c r="AF85" s="63">
        <f t="shared" si="124"/>
        <v>0.65139275072412806</v>
      </c>
      <c r="AG85" s="63">
        <f t="shared" si="125"/>
        <v>4.0608000000000005E-2</v>
      </c>
      <c r="AH85" s="63">
        <f t="shared" si="126"/>
        <v>0</v>
      </c>
      <c r="AI85" s="63">
        <f t="shared" si="151"/>
        <v>0.22378064516129031</v>
      </c>
      <c r="AJ85" s="63">
        <f t="shared" si="152"/>
        <v>0.92617794817871757</v>
      </c>
      <c r="AK85" s="63">
        <f t="shared" si="127"/>
        <v>6.675191656719865</v>
      </c>
      <c r="AL85" s="63">
        <f t="shared" si="128"/>
        <v>3.8372568485956188E-2</v>
      </c>
      <c r="AM85" s="63">
        <f t="shared" si="129"/>
        <v>5.11384441370408E-2</v>
      </c>
      <c r="AN85" s="63">
        <f t="shared" si="130"/>
        <v>0.16058894049829586</v>
      </c>
      <c r="AO85" s="63">
        <f t="shared" si="131"/>
        <v>892.07156446803344</v>
      </c>
      <c r="AP85" s="63">
        <f t="shared" si="153"/>
        <v>0.16058894049829586</v>
      </c>
      <c r="AQ85" s="61">
        <f t="shared" si="132"/>
        <v>0.46248</v>
      </c>
      <c r="AR85" s="61">
        <f t="shared" si="133"/>
        <v>50128320000</v>
      </c>
      <c r="AS85" s="61">
        <f t="shared" si="154"/>
        <v>0.46248</v>
      </c>
      <c r="AT85" s="61">
        <f t="shared" si="155"/>
        <v>0.23869935483870966</v>
      </c>
      <c r="AU85" s="63">
        <f t="shared" si="156"/>
        <v>0.45042673947404632</v>
      </c>
      <c r="AV85" s="63">
        <f t="shared" si="134"/>
        <v>0.26843080400238978</v>
      </c>
      <c r="AW85" s="63">
        <f t="shared" si="135"/>
        <v>2.9760000000000003E-3</v>
      </c>
      <c r="AX85" s="63">
        <f t="shared" si="136"/>
        <v>0.24815999999999999</v>
      </c>
      <c r="AY85" s="63">
        <f t="shared" si="137"/>
        <v>0.25113599999999997</v>
      </c>
      <c r="AZ85" s="63">
        <f t="shared" si="138"/>
        <v>3.2610289204903689</v>
      </c>
      <c r="BA85" s="64">
        <f t="shared" si="139"/>
        <v>29.2</v>
      </c>
      <c r="BB85" s="76">
        <f t="shared" si="157"/>
        <v>0.89954018621905385</v>
      </c>
      <c r="BC85" s="64">
        <f t="shared" si="158"/>
        <v>89.954018621905391</v>
      </c>
      <c r="BD85" s="63">
        <f t="shared" si="140"/>
        <v>1.2780492738087172</v>
      </c>
      <c r="BE85" s="63">
        <f t="shared" si="159"/>
        <v>1.376604687652764</v>
      </c>
      <c r="BF85" s="63">
        <f t="shared" si="141"/>
        <v>0.92617794817871757</v>
      </c>
      <c r="BG85" s="63">
        <f t="shared" si="142"/>
        <v>0.45042673947404632</v>
      </c>
      <c r="BH85" s="63">
        <f t="shared" si="143"/>
        <v>0.26843080400238978</v>
      </c>
      <c r="BI85" s="63">
        <f t="shared" si="160"/>
        <v>0.25113599999999997</v>
      </c>
      <c r="BJ85" s="63">
        <f t="shared" si="161"/>
        <v>7.5759949309077042E-3</v>
      </c>
      <c r="BK85" s="63">
        <f t="shared" si="162"/>
        <v>7.9232160095590143E-2</v>
      </c>
      <c r="BL85" s="63">
        <f t="shared" si="163"/>
        <v>3.2610289204903689</v>
      </c>
      <c r="BQ85" s="77"/>
      <c r="BR85" s="78"/>
    </row>
    <row r="86" spans="3:70" x14ac:dyDescent="0.25">
      <c r="C86" s="61">
        <v>74</v>
      </c>
      <c r="D86" s="61">
        <f t="shared" si="103"/>
        <v>105</v>
      </c>
      <c r="E86" s="61">
        <f t="shared" si="104"/>
        <v>105</v>
      </c>
      <c r="F86" s="61">
        <f t="shared" si="105"/>
        <v>105</v>
      </c>
      <c r="G86" s="73">
        <f t="shared" si="106"/>
        <v>24</v>
      </c>
      <c r="H86" s="64">
        <f t="shared" si="107"/>
        <v>1</v>
      </c>
      <c r="I86" s="63">
        <f t="shared" si="144"/>
        <v>7.4</v>
      </c>
      <c r="J86" s="65">
        <f t="shared" si="108"/>
        <v>8.6117892021752077E-4</v>
      </c>
      <c r="K86" s="65">
        <f t="shared" si="109"/>
        <v>8.6117892021752077E-4</v>
      </c>
      <c r="L86" s="65">
        <f t="shared" si="110"/>
        <v>5.1791610661465239E-3</v>
      </c>
      <c r="M86" s="65">
        <f t="shared" si="111"/>
        <v>5.0000000000000001E-3</v>
      </c>
      <c r="N86" s="63">
        <f t="shared" si="112"/>
        <v>0.17007077149579555</v>
      </c>
      <c r="O86" s="64">
        <f t="shared" si="113"/>
        <v>2.1809407082690799</v>
      </c>
      <c r="P86" s="64">
        <f t="shared" si="114"/>
        <v>8.4904703541345405</v>
      </c>
      <c r="Q86" s="64">
        <f t="shared" si="115"/>
        <v>6.3095296458654602</v>
      </c>
      <c r="R86" s="64">
        <f t="shared" si="116"/>
        <v>0</v>
      </c>
      <c r="S86" s="64">
        <f t="shared" si="117"/>
        <v>7.426733817617861</v>
      </c>
      <c r="T86" s="63">
        <f t="shared" si="145"/>
        <v>0.28566375097395019</v>
      </c>
      <c r="U86" s="63">
        <f t="shared" si="118"/>
        <v>1</v>
      </c>
      <c r="V86" s="63">
        <f t="shared" si="146"/>
        <v>1.2856637509739501</v>
      </c>
      <c r="W86" s="64">
        <f t="shared" si="147"/>
        <v>0.62958335250288322</v>
      </c>
      <c r="X86" s="63">
        <f t="shared" si="119"/>
        <v>7.9275039549753956E-2</v>
      </c>
      <c r="Y86" s="63">
        <f t="shared" si="148"/>
        <v>7.9275039549753956E-2</v>
      </c>
      <c r="Z86" s="64">
        <f t="shared" si="120"/>
        <v>2.7901864764925017</v>
      </c>
      <c r="AA86" s="74">
        <f t="shared" si="121"/>
        <v>7.7851405736016422E-3</v>
      </c>
      <c r="AB86" s="75">
        <f t="shared" si="149"/>
        <v>7.7851405736016422E-3</v>
      </c>
      <c r="AC86" s="63">
        <f t="shared" si="122"/>
        <v>3.0627581169254445</v>
      </c>
      <c r="AD86" s="63">
        <f t="shared" si="150"/>
        <v>8.0782779093095981E-3</v>
      </c>
      <c r="AE86" s="63">
        <f t="shared" si="123"/>
        <v>1.0684732771986935E-2</v>
      </c>
      <c r="AF86" s="63">
        <f t="shared" si="124"/>
        <v>0.65989344255322446</v>
      </c>
      <c r="AG86" s="63">
        <f t="shared" si="125"/>
        <v>4.0608000000000005E-2</v>
      </c>
      <c r="AH86" s="63">
        <f t="shared" si="126"/>
        <v>0</v>
      </c>
      <c r="AI86" s="63">
        <f t="shared" si="151"/>
        <v>0.22378064516129031</v>
      </c>
      <c r="AJ86" s="63">
        <f t="shared" si="152"/>
        <v>0.93496682048650159</v>
      </c>
      <c r="AK86" s="63">
        <f t="shared" si="127"/>
        <v>6.7657880483322916</v>
      </c>
      <c r="AL86" s="63">
        <f t="shared" si="128"/>
        <v>3.9421229726600136E-2</v>
      </c>
      <c r="AM86" s="63">
        <f t="shared" si="129"/>
        <v>5.2549774266525726E-2</v>
      </c>
      <c r="AN86" s="63">
        <f t="shared" si="130"/>
        <v>0.16284383146845416</v>
      </c>
      <c r="AO86" s="63">
        <f t="shared" si="131"/>
        <v>904.59748380726285</v>
      </c>
      <c r="AP86" s="63">
        <f t="shared" si="153"/>
        <v>0.16284383146845416</v>
      </c>
      <c r="AQ86" s="61">
        <f t="shared" si="132"/>
        <v>0.46248</v>
      </c>
      <c r="AR86" s="61">
        <f t="shared" si="133"/>
        <v>50128320000</v>
      </c>
      <c r="AS86" s="61">
        <f t="shared" si="154"/>
        <v>0.46248</v>
      </c>
      <c r="AT86" s="61">
        <f t="shared" si="155"/>
        <v>0.23869935483870966</v>
      </c>
      <c r="AU86" s="63">
        <f t="shared" si="156"/>
        <v>0.45409296057368953</v>
      </c>
      <c r="AV86" s="63">
        <f t="shared" si="134"/>
        <v>0.27578187598874382</v>
      </c>
      <c r="AW86" s="63">
        <f t="shared" si="135"/>
        <v>2.9760000000000003E-3</v>
      </c>
      <c r="AX86" s="63">
        <f t="shared" si="136"/>
        <v>0.24815999999999999</v>
      </c>
      <c r="AY86" s="63">
        <f t="shared" si="137"/>
        <v>0.25113599999999997</v>
      </c>
      <c r="AZ86" s="63">
        <f t="shared" si="138"/>
        <v>3.2887015881462407</v>
      </c>
      <c r="BA86" s="64">
        <f t="shared" si="139"/>
        <v>29.6</v>
      </c>
      <c r="BB86" s="76">
        <f t="shared" si="157"/>
        <v>0.90000512548870115</v>
      </c>
      <c r="BC86" s="64">
        <f t="shared" si="158"/>
        <v>90.00051254887012</v>
      </c>
      <c r="BD86" s="63">
        <f t="shared" si="140"/>
        <v>1.2856637509739501</v>
      </c>
      <c r="BE86" s="63">
        <f t="shared" si="159"/>
        <v>1.3890597810601912</v>
      </c>
      <c r="BF86" s="63">
        <f t="shared" si="141"/>
        <v>0.93496682048650159</v>
      </c>
      <c r="BG86" s="63">
        <f t="shared" si="142"/>
        <v>0.45409296057368953</v>
      </c>
      <c r="BH86" s="63">
        <f t="shared" si="143"/>
        <v>0.27578187598874382</v>
      </c>
      <c r="BI86" s="63">
        <f t="shared" si="160"/>
        <v>0.25113599999999997</v>
      </c>
      <c r="BJ86" s="63">
        <f t="shared" si="161"/>
        <v>7.7851405736016422E-3</v>
      </c>
      <c r="BK86" s="63">
        <f t="shared" si="162"/>
        <v>7.9275039549753956E-2</v>
      </c>
      <c r="BL86" s="63">
        <f t="shared" si="163"/>
        <v>3.2887015881462411</v>
      </c>
      <c r="BQ86" s="77"/>
      <c r="BR86" s="78"/>
    </row>
    <row r="87" spans="3:70" x14ac:dyDescent="0.25">
      <c r="C87" s="61">
        <v>75</v>
      </c>
      <c r="D87" s="61">
        <f t="shared" si="103"/>
        <v>105</v>
      </c>
      <c r="E87" s="61">
        <f t="shared" si="104"/>
        <v>105</v>
      </c>
      <c r="F87" s="61">
        <f t="shared" si="105"/>
        <v>105</v>
      </c>
      <c r="G87" s="73">
        <f t="shared" si="106"/>
        <v>24</v>
      </c>
      <c r="H87" s="64">
        <f t="shared" si="107"/>
        <v>1</v>
      </c>
      <c r="I87" s="63">
        <f t="shared" si="144"/>
        <v>7.5</v>
      </c>
      <c r="J87" s="65">
        <f t="shared" si="108"/>
        <v>8.6117892021752077E-4</v>
      </c>
      <c r="K87" s="65">
        <f t="shared" si="109"/>
        <v>8.6117892021752077E-4</v>
      </c>
      <c r="L87" s="65">
        <f t="shared" si="110"/>
        <v>5.1791610661465239E-3</v>
      </c>
      <c r="M87" s="65">
        <f t="shared" si="111"/>
        <v>5.0000000000000001E-3</v>
      </c>
      <c r="N87" s="63">
        <f t="shared" si="112"/>
        <v>0.17011677291240543</v>
      </c>
      <c r="O87" s="64">
        <f t="shared" si="113"/>
        <v>2.1815306177593476</v>
      </c>
      <c r="P87" s="64">
        <f t="shared" si="114"/>
        <v>8.5907653088796732</v>
      </c>
      <c r="Q87" s="64">
        <f t="shared" si="115"/>
        <v>6.409234691120326</v>
      </c>
      <c r="R87" s="64">
        <f t="shared" si="116"/>
        <v>0</v>
      </c>
      <c r="S87" s="64">
        <f t="shared" si="117"/>
        <v>7.5263928712908985</v>
      </c>
      <c r="T87" s="63">
        <f t="shared" si="145"/>
        <v>0.29338181166089167</v>
      </c>
      <c r="U87" s="63">
        <f t="shared" si="118"/>
        <v>1</v>
      </c>
      <c r="V87" s="63">
        <f t="shared" si="146"/>
        <v>1.2933818116608917</v>
      </c>
      <c r="W87" s="64">
        <f t="shared" si="147"/>
        <v>0.629753644704385</v>
      </c>
      <c r="X87" s="63">
        <f t="shared" si="119"/>
        <v>7.9317930603691356E-2</v>
      </c>
      <c r="Y87" s="63">
        <f t="shared" si="148"/>
        <v>7.9317930603691356E-2</v>
      </c>
      <c r="Z87" s="64">
        <f t="shared" si="120"/>
        <v>2.8279318922489987</v>
      </c>
      <c r="AA87" s="74">
        <f t="shared" si="121"/>
        <v>7.9971987871990027E-3</v>
      </c>
      <c r="AB87" s="75">
        <f t="shared" si="149"/>
        <v>7.9971987871990027E-3</v>
      </c>
      <c r="AC87" s="63">
        <f t="shared" si="122"/>
        <v>3.1042768929760043</v>
      </c>
      <c r="AD87" s="63">
        <f t="shared" si="150"/>
        <v>8.2987808302793578E-3</v>
      </c>
      <c r="AE87" s="63">
        <f t="shared" si="123"/>
        <v>1.0976982397600442E-2</v>
      </c>
      <c r="AF87" s="63">
        <f t="shared" si="124"/>
        <v>0.66839413438232054</v>
      </c>
      <c r="AG87" s="63">
        <f t="shared" si="125"/>
        <v>4.0608000000000005E-2</v>
      </c>
      <c r="AH87" s="63">
        <f t="shared" si="126"/>
        <v>0</v>
      </c>
      <c r="AI87" s="63">
        <f t="shared" si="151"/>
        <v>0.22378064516129031</v>
      </c>
      <c r="AJ87" s="63">
        <f t="shared" si="152"/>
        <v>0.94375976194121125</v>
      </c>
      <c r="AK87" s="63">
        <f t="shared" si="127"/>
        <v>6.856387870063485</v>
      </c>
      <c r="AL87" s="63">
        <f t="shared" si="128"/>
        <v>4.0484068081112053E-2</v>
      </c>
      <c r="AM87" s="63">
        <f t="shared" si="129"/>
        <v>5.398094115507545E-2</v>
      </c>
      <c r="AN87" s="63">
        <f t="shared" si="130"/>
        <v>0.16509872243861246</v>
      </c>
      <c r="AO87" s="63">
        <f t="shared" si="131"/>
        <v>917.12340314649214</v>
      </c>
      <c r="AP87" s="63">
        <f t="shared" si="153"/>
        <v>0.16509872243861246</v>
      </c>
      <c r="AQ87" s="61">
        <f t="shared" si="132"/>
        <v>0.46248</v>
      </c>
      <c r="AR87" s="61">
        <f t="shared" si="133"/>
        <v>50128320000</v>
      </c>
      <c r="AS87" s="61">
        <f t="shared" si="154"/>
        <v>0.46248</v>
      </c>
      <c r="AT87" s="61">
        <f t="shared" si="155"/>
        <v>0.23869935483870966</v>
      </c>
      <c r="AU87" s="63">
        <f t="shared" si="156"/>
        <v>0.45777901843239754</v>
      </c>
      <c r="AV87" s="63">
        <f t="shared" si="134"/>
        <v>0.28323294826509227</v>
      </c>
      <c r="AW87" s="63">
        <f t="shared" si="135"/>
        <v>2.9760000000000003E-3</v>
      </c>
      <c r="AX87" s="63">
        <f t="shared" si="136"/>
        <v>0.24815999999999999</v>
      </c>
      <c r="AY87" s="63">
        <f t="shared" si="137"/>
        <v>0.25113599999999997</v>
      </c>
      <c r="AZ87" s="63">
        <f t="shared" si="138"/>
        <v>3.3166046696904825</v>
      </c>
      <c r="BA87" s="64">
        <f t="shared" si="139"/>
        <v>30</v>
      </c>
      <c r="BB87" s="76">
        <f t="shared" si="157"/>
        <v>0.90045190070920589</v>
      </c>
      <c r="BC87" s="64">
        <f t="shared" si="158"/>
        <v>90.045190070920583</v>
      </c>
      <c r="BD87" s="63">
        <f t="shared" si="140"/>
        <v>1.2933818116608917</v>
      </c>
      <c r="BE87" s="63">
        <f t="shared" si="159"/>
        <v>1.4015387803736088</v>
      </c>
      <c r="BF87" s="63">
        <f t="shared" si="141"/>
        <v>0.94375976194121125</v>
      </c>
      <c r="BG87" s="63">
        <f t="shared" si="142"/>
        <v>0.45777901843239754</v>
      </c>
      <c r="BH87" s="63">
        <f t="shared" si="143"/>
        <v>0.28323294826509227</v>
      </c>
      <c r="BI87" s="63">
        <f t="shared" si="160"/>
        <v>0.25113599999999997</v>
      </c>
      <c r="BJ87" s="63">
        <f t="shared" si="161"/>
        <v>7.9971987871990027E-3</v>
      </c>
      <c r="BK87" s="63">
        <f t="shared" si="162"/>
        <v>7.9317930603691356E-2</v>
      </c>
      <c r="BL87" s="63">
        <f t="shared" si="163"/>
        <v>3.316604669690483</v>
      </c>
      <c r="BQ87" s="77"/>
      <c r="BR87" s="78"/>
    </row>
    <row r="88" spans="3:70" x14ac:dyDescent="0.25">
      <c r="C88" s="61">
        <v>76</v>
      </c>
      <c r="D88" s="61">
        <f t="shared" si="103"/>
        <v>105</v>
      </c>
      <c r="E88" s="61">
        <f t="shared" si="104"/>
        <v>105</v>
      </c>
      <c r="F88" s="61">
        <f t="shared" si="105"/>
        <v>105</v>
      </c>
      <c r="G88" s="73">
        <f t="shared" si="106"/>
        <v>24</v>
      </c>
      <c r="H88" s="64">
        <f t="shared" si="107"/>
        <v>1</v>
      </c>
      <c r="I88" s="63">
        <f t="shared" si="144"/>
        <v>7.6</v>
      </c>
      <c r="J88" s="65">
        <f t="shared" si="108"/>
        <v>8.6117892021752077E-4</v>
      </c>
      <c r="K88" s="65">
        <f t="shared" si="109"/>
        <v>8.6117892021752077E-4</v>
      </c>
      <c r="L88" s="65">
        <f t="shared" si="110"/>
        <v>5.1791610661465239E-3</v>
      </c>
      <c r="M88" s="65">
        <f t="shared" si="111"/>
        <v>5.0000000000000001E-3</v>
      </c>
      <c r="N88" s="63">
        <f t="shared" si="112"/>
        <v>0.17016277432901528</v>
      </c>
      <c r="O88" s="64">
        <f t="shared" si="113"/>
        <v>2.1821205272496154</v>
      </c>
      <c r="P88" s="64">
        <f t="shared" si="114"/>
        <v>8.6910602636248075</v>
      </c>
      <c r="Q88" s="64">
        <f t="shared" si="115"/>
        <v>6.5089397363751917</v>
      </c>
      <c r="R88" s="64">
        <f t="shared" si="116"/>
        <v>0</v>
      </c>
      <c r="S88" s="64">
        <f t="shared" si="117"/>
        <v>7.6260608551392384</v>
      </c>
      <c r="T88" s="63">
        <f t="shared" si="145"/>
        <v>0.30120345586954161</v>
      </c>
      <c r="U88" s="63">
        <f t="shared" si="118"/>
        <v>1</v>
      </c>
      <c r="V88" s="63">
        <f t="shared" si="146"/>
        <v>1.3012034558695416</v>
      </c>
      <c r="W88" s="64">
        <f t="shared" si="147"/>
        <v>0.62992393690588677</v>
      </c>
      <c r="X88" s="63">
        <f t="shared" si="119"/>
        <v>7.9360833257402327E-2</v>
      </c>
      <c r="Y88" s="63">
        <f t="shared" si="148"/>
        <v>7.9360833257402327E-2</v>
      </c>
      <c r="Z88" s="64">
        <f t="shared" si="120"/>
        <v>2.8656886386909837</v>
      </c>
      <c r="AA88" s="74">
        <f t="shared" si="121"/>
        <v>8.2121713739225829E-3</v>
      </c>
      <c r="AB88" s="75">
        <f t="shared" si="149"/>
        <v>8.2121713739225829E-3</v>
      </c>
      <c r="AC88" s="63">
        <f t="shared" si="122"/>
        <v>3.1458104111730307</v>
      </c>
      <c r="AD88" s="63">
        <f t="shared" si="150"/>
        <v>8.5223326426667953E-3</v>
      </c>
      <c r="AE88" s="63">
        <f t="shared" si="123"/>
        <v>1.1273305653789655E-2</v>
      </c>
      <c r="AF88" s="63">
        <f t="shared" si="124"/>
        <v>0.67689482621141694</v>
      </c>
      <c r="AG88" s="63">
        <f t="shared" si="125"/>
        <v>4.0608000000000005E-2</v>
      </c>
      <c r="AH88" s="63">
        <f t="shared" si="126"/>
        <v>0</v>
      </c>
      <c r="AI88" s="63">
        <f t="shared" si="151"/>
        <v>0.22378064516129031</v>
      </c>
      <c r="AJ88" s="63">
        <f t="shared" si="152"/>
        <v>0.95255677702649688</v>
      </c>
      <c r="AK88" s="63">
        <f t="shared" si="127"/>
        <v>6.9469907890569695</v>
      </c>
      <c r="AL88" s="63">
        <f t="shared" si="128"/>
        <v>4.1561081172558065E-2</v>
      </c>
      <c r="AM88" s="63">
        <f t="shared" si="129"/>
        <v>5.5431972701594126E-2</v>
      </c>
      <c r="AN88" s="63">
        <f t="shared" si="130"/>
        <v>0.16735361340877075</v>
      </c>
      <c r="AO88" s="63">
        <f t="shared" si="131"/>
        <v>929.64932248572131</v>
      </c>
      <c r="AP88" s="63">
        <f t="shared" si="153"/>
        <v>0.16735361340877075</v>
      </c>
      <c r="AQ88" s="61">
        <f t="shared" si="132"/>
        <v>0.46248</v>
      </c>
      <c r="AR88" s="61">
        <f t="shared" si="133"/>
        <v>50128320000</v>
      </c>
      <c r="AS88" s="61">
        <f t="shared" si="154"/>
        <v>0.46248</v>
      </c>
      <c r="AT88" s="61">
        <f t="shared" si="155"/>
        <v>0.23869935483870966</v>
      </c>
      <c r="AU88" s="63">
        <f t="shared" si="156"/>
        <v>0.46148494094907455</v>
      </c>
      <c r="AV88" s="63">
        <f t="shared" si="134"/>
        <v>0.29078402083143506</v>
      </c>
      <c r="AW88" s="63">
        <f t="shared" si="135"/>
        <v>2.9760000000000003E-3</v>
      </c>
      <c r="AX88" s="63">
        <f t="shared" si="136"/>
        <v>0.24815999999999999</v>
      </c>
      <c r="AY88" s="63">
        <f t="shared" si="137"/>
        <v>0.25113599999999997</v>
      </c>
      <c r="AZ88" s="63">
        <f t="shared" si="138"/>
        <v>3.3447381993078729</v>
      </c>
      <c r="BA88" s="64">
        <f t="shared" si="139"/>
        <v>30.4</v>
      </c>
      <c r="BB88" s="76">
        <f t="shared" si="157"/>
        <v>0.90088119280841006</v>
      </c>
      <c r="BC88" s="64">
        <f t="shared" si="158"/>
        <v>90.088119280840999</v>
      </c>
      <c r="BD88" s="63">
        <f t="shared" si="140"/>
        <v>1.3012034558695416</v>
      </c>
      <c r="BE88" s="63">
        <f t="shared" si="159"/>
        <v>1.4140417179755715</v>
      </c>
      <c r="BF88" s="63">
        <f t="shared" si="141"/>
        <v>0.95255677702649688</v>
      </c>
      <c r="BG88" s="63">
        <f t="shared" si="142"/>
        <v>0.46148494094907455</v>
      </c>
      <c r="BH88" s="63">
        <f t="shared" si="143"/>
        <v>0.29078402083143506</v>
      </c>
      <c r="BI88" s="63">
        <f t="shared" si="160"/>
        <v>0.25113599999999997</v>
      </c>
      <c r="BJ88" s="63">
        <f t="shared" si="161"/>
        <v>8.2121713739225829E-3</v>
      </c>
      <c r="BK88" s="63">
        <f t="shared" si="162"/>
        <v>7.9360833257402327E-2</v>
      </c>
      <c r="BL88" s="63">
        <f t="shared" si="163"/>
        <v>3.3447381993078729</v>
      </c>
      <c r="BQ88" s="77"/>
      <c r="BR88" s="78"/>
    </row>
    <row r="89" spans="3:70" x14ac:dyDescent="0.25">
      <c r="C89" s="61">
        <v>77</v>
      </c>
      <c r="D89" s="61">
        <f t="shared" si="103"/>
        <v>105</v>
      </c>
      <c r="E89" s="61">
        <f t="shared" si="104"/>
        <v>105</v>
      </c>
      <c r="F89" s="61">
        <f t="shared" si="105"/>
        <v>105</v>
      </c>
      <c r="G89" s="73">
        <f t="shared" si="106"/>
        <v>24</v>
      </c>
      <c r="H89" s="64">
        <f t="shared" si="107"/>
        <v>1</v>
      </c>
      <c r="I89" s="63">
        <f t="shared" si="144"/>
        <v>7.7</v>
      </c>
      <c r="J89" s="65">
        <f t="shared" si="108"/>
        <v>8.6117892021752077E-4</v>
      </c>
      <c r="K89" s="65">
        <f t="shared" si="109"/>
        <v>8.6117892021752077E-4</v>
      </c>
      <c r="L89" s="65">
        <f t="shared" si="110"/>
        <v>5.1791610661465239E-3</v>
      </c>
      <c r="M89" s="65">
        <f t="shared" si="111"/>
        <v>5.0000000000000001E-3</v>
      </c>
      <c r="N89" s="63">
        <f t="shared" si="112"/>
        <v>0.17020877574562512</v>
      </c>
      <c r="O89" s="64">
        <f t="shared" si="113"/>
        <v>2.1827104367398826</v>
      </c>
      <c r="P89" s="64">
        <f t="shared" si="114"/>
        <v>8.7913552183699419</v>
      </c>
      <c r="Q89" s="64">
        <f t="shared" si="115"/>
        <v>6.6086447816300584</v>
      </c>
      <c r="R89" s="64">
        <f t="shared" si="116"/>
        <v>0</v>
      </c>
      <c r="S89" s="64">
        <f t="shared" si="117"/>
        <v>7.7257374235443983</v>
      </c>
      <c r="T89" s="63">
        <f t="shared" si="145"/>
        <v>0.30912868359989998</v>
      </c>
      <c r="U89" s="63">
        <f t="shared" si="118"/>
        <v>1</v>
      </c>
      <c r="V89" s="63">
        <f t="shared" si="146"/>
        <v>1.3091286835999001</v>
      </c>
      <c r="W89" s="64">
        <f t="shared" si="147"/>
        <v>0.63009422910738844</v>
      </c>
      <c r="X89" s="63">
        <f t="shared" si="119"/>
        <v>7.940374751088683E-2</v>
      </c>
      <c r="Y89" s="63">
        <f t="shared" si="148"/>
        <v>7.940374751088683E-2</v>
      </c>
      <c r="Z89" s="64">
        <f t="shared" si="120"/>
        <v>2.90345658405414</v>
      </c>
      <c r="AA89" s="74">
        <f t="shared" si="121"/>
        <v>8.4300601354873345E-3</v>
      </c>
      <c r="AB89" s="75">
        <f t="shared" si="149"/>
        <v>8.4300601354873345E-3</v>
      </c>
      <c r="AC89" s="63">
        <f t="shared" si="122"/>
        <v>3.1873585281899692</v>
      </c>
      <c r="AD89" s="63">
        <f t="shared" si="150"/>
        <v>8.7489357234058172E-3</v>
      </c>
      <c r="AE89" s="63">
        <f t="shared" si="123"/>
        <v>1.1573707044410924E-2</v>
      </c>
      <c r="AF89" s="63">
        <f t="shared" si="124"/>
        <v>0.68539551804051313</v>
      </c>
      <c r="AG89" s="63">
        <f t="shared" si="125"/>
        <v>4.0608000000000005E-2</v>
      </c>
      <c r="AH89" s="63">
        <f t="shared" si="126"/>
        <v>0</v>
      </c>
      <c r="AI89" s="63">
        <f t="shared" si="151"/>
        <v>0.22378064516129031</v>
      </c>
      <c r="AJ89" s="63">
        <f t="shared" si="152"/>
        <v>0.96135787024621444</v>
      </c>
      <c r="AK89" s="63">
        <f t="shared" si="127"/>
        <v>7.0375964895928149</v>
      </c>
      <c r="AL89" s="63">
        <f t="shared" si="128"/>
        <v>4.2652266624004245E-2</v>
      </c>
      <c r="AM89" s="63">
        <f t="shared" si="129"/>
        <v>5.6902897254943859E-2</v>
      </c>
      <c r="AN89" s="63">
        <f t="shared" si="130"/>
        <v>0.16960850437892905</v>
      </c>
      <c r="AO89" s="63">
        <f t="shared" si="131"/>
        <v>942.17524182495083</v>
      </c>
      <c r="AP89" s="63">
        <f t="shared" si="153"/>
        <v>0.16960850437892905</v>
      </c>
      <c r="AQ89" s="61">
        <f t="shared" si="132"/>
        <v>0.46248</v>
      </c>
      <c r="AR89" s="61">
        <f t="shared" si="133"/>
        <v>50128320000</v>
      </c>
      <c r="AS89" s="61">
        <f t="shared" si="154"/>
        <v>0.46248</v>
      </c>
      <c r="AT89" s="61">
        <f t="shared" si="155"/>
        <v>0.23869935483870966</v>
      </c>
      <c r="AU89" s="63">
        <f t="shared" si="156"/>
        <v>0.46521075647258259</v>
      </c>
      <c r="AV89" s="63">
        <f t="shared" si="134"/>
        <v>0.29843509368777221</v>
      </c>
      <c r="AW89" s="63">
        <f t="shared" si="135"/>
        <v>2.9760000000000003E-3</v>
      </c>
      <c r="AX89" s="63">
        <f t="shared" si="136"/>
        <v>0.24815999999999999</v>
      </c>
      <c r="AY89" s="63">
        <f t="shared" si="137"/>
        <v>0.25113599999999997</v>
      </c>
      <c r="AZ89" s="63">
        <f t="shared" si="138"/>
        <v>3.3731022116528435</v>
      </c>
      <c r="BA89" s="64">
        <f t="shared" si="139"/>
        <v>30.8</v>
      </c>
      <c r="BB89" s="76">
        <f t="shared" si="157"/>
        <v>0.9012936492929039</v>
      </c>
      <c r="BC89" s="64">
        <f t="shared" si="158"/>
        <v>90.129364929290389</v>
      </c>
      <c r="BD89" s="63">
        <f t="shared" si="140"/>
        <v>1.3091286835999001</v>
      </c>
      <c r="BE89" s="63">
        <f t="shared" si="159"/>
        <v>1.4265686267187969</v>
      </c>
      <c r="BF89" s="63">
        <f t="shared" si="141"/>
        <v>0.96135787024621444</v>
      </c>
      <c r="BG89" s="63">
        <f t="shared" si="142"/>
        <v>0.46521075647258259</v>
      </c>
      <c r="BH89" s="63">
        <f t="shared" si="143"/>
        <v>0.29843509368777221</v>
      </c>
      <c r="BI89" s="63">
        <f t="shared" si="160"/>
        <v>0.25113599999999997</v>
      </c>
      <c r="BJ89" s="63">
        <f t="shared" si="161"/>
        <v>8.4300601354873345E-3</v>
      </c>
      <c r="BK89" s="63">
        <f t="shared" si="162"/>
        <v>7.940374751088683E-2</v>
      </c>
      <c r="BL89" s="63">
        <f t="shared" si="163"/>
        <v>3.3731022116528435</v>
      </c>
      <c r="BQ89" s="77"/>
      <c r="BR89" s="78"/>
    </row>
    <row r="90" spans="3:70" x14ac:dyDescent="0.25">
      <c r="C90" s="61">
        <v>78</v>
      </c>
      <c r="D90" s="61">
        <f t="shared" si="103"/>
        <v>105</v>
      </c>
      <c r="E90" s="61">
        <f t="shared" si="104"/>
        <v>105</v>
      </c>
      <c r="F90" s="61">
        <f t="shared" si="105"/>
        <v>105</v>
      </c>
      <c r="G90" s="73">
        <f t="shared" si="106"/>
        <v>24</v>
      </c>
      <c r="H90" s="64">
        <f t="shared" si="107"/>
        <v>1</v>
      </c>
      <c r="I90" s="63">
        <f t="shared" si="144"/>
        <v>7.8</v>
      </c>
      <c r="J90" s="65">
        <f t="shared" si="108"/>
        <v>8.6117892021752077E-4</v>
      </c>
      <c r="K90" s="65">
        <f t="shared" si="109"/>
        <v>8.6117892021752077E-4</v>
      </c>
      <c r="L90" s="65">
        <f t="shared" si="110"/>
        <v>5.1791610661465239E-3</v>
      </c>
      <c r="M90" s="65">
        <f t="shared" si="111"/>
        <v>5.0000000000000001E-3</v>
      </c>
      <c r="N90" s="63">
        <f t="shared" si="112"/>
        <v>0.170254777162235</v>
      </c>
      <c r="O90" s="64">
        <f t="shared" si="113"/>
        <v>2.1833003462301503</v>
      </c>
      <c r="P90" s="64">
        <f t="shared" si="114"/>
        <v>8.8916501731150746</v>
      </c>
      <c r="Q90" s="64">
        <f t="shared" si="115"/>
        <v>6.7083498268849251</v>
      </c>
      <c r="R90" s="64">
        <f t="shared" si="116"/>
        <v>0</v>
      </c>
      <c r="S90" s="64">
        <f t="shared" si="117"/>
        <v>7.8254222484681755</v>
      </c>
      <c r="T90" s="63">
        <f t="shared" si="145"/>
        <v>0.31715749485196665</v>
      </c>
      <c r="U90" s="63">
        <f t="shared" si="118"/>
        <v>1</v>
      </c>
      <c r="V90" s="63">
        <f t="shared" si="146"/>
        <v>1.3171574948519666</v>
      </c>
      <c r="W90" s="64">
        <f t="shared" si="147"/>
        <v>0.63026452130889021</v>
      </c>
      <c r="X90" s="63">
        <f t="shared" si="119"/>
        <v>7.9446673364144904E-2</v>
      </c>
      <c r="Y90" s="63">
        <f t="shared" si="148"/>
        <v>7.9446673364144904E-2</v>
      </c>
      <c r="Z90" s="64">
        <f t="shared" si="120"/>
        <v>2.9412356031267399</v>
      </c>
      <c r="AA90" s="74">
        <f t="shared" si="121"/>
        <v>8.6508668731003178E-3</v>
      </c>
      <c r="AB90" s="75">
        <f t="shared" si="149"/>
        <v>8.6508668731003178E-3</v>
      </c>
      <c r="AC90" s="63">
        <f t="shared" si="122"/>
        <v>3.2289211078779614</v>
      </c>
      <c r="AD90" s="63">
        <f t="shared" si="150"/>
        <v>8.9785924494303389E-3</v>
      </c>
      <c r="AE90" s="63">
        <f t="shared" si="123"/>
        <v>1.1878191093590769E-2</v>
      </c>
      <c r="AF90" s="63">
        <f t="shared" si="124"/>
        <v>0.69389620986960932</v>
      </c>
      <c r="AG90" s="63">
        <f t="shared" si="125"/>
        <v>4.0608000000000005E-2</v>
      </c>
      <c r="AH90" s="63">
        <f t="shared" si="126"/>
        <v>0</v>
      </c>
      <c r="AI90" s="63">
        <f t="shared" si="151"/>
        <v>0.22378064516129031</v>
      </c>
      <c r="AJ90" s="63">
        <f t="shared" si="152"/>
        <v>0.97016304612449034</v>
      </c>
      <c r="AK90" s="63">
        <f t="shared" si="127"/>
        <v>7.1282046719998764</v>
      </c>
      <c r="AL90" s="63">
        <f t="shared" si="128"/>
        <v>4.3757622058516653E-2</v>
      </c>
      <c r="AM90" s="63">
        <f t="shared" si="129"/>
        <v>5.8393743615441168E-2</v>
      </c>
      <c r="AN90" s="63">
        <f t="shared" si="130"/>
        <v>0.17186339534908734</v>
      </c>
      <c r="AO90" s="63">
        <f t="shared" si="131"/>
        <v>954.70116116418012</v>
      </c>
      <c r="AP90" s="63">
        <f t="shared" si="153"/>
        <v>0.17186339534908734</v>
      </c>
      <c r="AQ90" s="61">
        <f t="shared" si="132"/>
        <v>0.46248</v>
      </c>
      <c r="AR90" s="61">
        <f t="shared" si="133"/>
        <v>50128320000</v>
      </c>
      <c r="AS90" s="61">
        <f t="shared" si="154"/>
        <v>0.46248</v>
      </c>
      <c r="AT90" s="61">
        <f t="shared" si="155"/>
        <v>0.23869935483870966</v>
      </c>
      <c r="AU90" s="63">
        <f t="shared" si="156"/>
        <v>0.46895649380323817</v>
      </c>
      <c r="AV90" s="63">
        <f t="shared" si="134"/>
        <v>0.3061861668341036</v>
      </c>
      <c r="AW90" s="63">
        <f t="shared" si="135"/>
        <v>2.9760000000000003E-3</v>
      </c>
      <c r="AX90" s="63">
        <f t="shared" si="136"/>
        <v>0.24815999999999999</v>
      </c>
      <c r="AY90" s="63">
        <f t="shared" si="137"/>
        <v>0.25113599999999997</v>
      </c>
      <c r="AZ90" s="63">
        <f t="shared" si="138"/>
        <v>3.401696741851044</v>
      </c>
      <c r="BA90" s="64">
        <f t="shared" si="139"/>
        <v>31.2</v>
      </c>
      <c r="BB90" s="76">
        <f t="shared" si="157"/>
        <v>0.90168988627263869</v>
      </c>
      <c r="BC90" s="64">
        <f t="shared" si="158"/>
        <v>90.168988627263872</v>
      </c>
      <c r="BD90" s="63">
        <f t="shared" si="140"/>
        <v>1.3171574948519666</v>
      </c>
      <c r="BE90" s="63">
        <f t="shared" si="159"/>
        <v>1.4391195399277286</v>
      </c>
      <c r="BF90" s="63">
        <f t="shared" si="141"/>
        <v>0.97016304612449034</v>
      </c>
      <c r="BG90" s="63">
        <f t="shared" si="142"/>
        <v>0.46895649380323817</v>
      </c>
      <c r="BH90" s="63">
        <f t="shared" si="143"/>
        <v>0.3061861668341036</v>
      </c>
      <c r="BI90" s="63">
        <f t="shared" si="160"/>
        <v>0.25113599999999997</v>
      </c>
      <c r="BJ90" s="63">
        <f t="shared" si="161"/>
        <v>8.6508668731003178E-3</v>
      </c>
      <c r="BK90" s="63">
        <f t="shared" si="162"/>
        <v>7.9446673364144904E-2</v>
      </c>
      <c r="BL90" s="63">
        <f t="shared" si="163"/>
        <v>3.4016967418510435</v>
      </c>
      <c r="BQ90" s="77"/>
      <c r="BR90" s="78"/>
    </row>
    <row r="91" spans="3:70" x14ac:dyDescent="0.25">
      <c r="C91" s="61">
        <v>79</v>
      </c>
      <c r="D91" s="61">
        <f t="shared" si="103"/>
        <v>105</v>
      </c>
      <c r="E91" s="61">
        <f t="shared" si="104"/>
        <v>105</v>
      </c>
      <c r="F91" s="61">
        <f t="shared" si="105"/>
        <v>105</v>
      </c>
      <c r="G91" s="73">
        <f t="shared" si="106"/>
        <v>24</v>
      </c>
      <c r="H91" s="64">
        <f t="shared" si="107"/>
        <v>1</v>
      </c>
      <c r="I91" s="63">
        <f t="shared" si="144"/>
        <v>7.9</v>
      </c>
      <c r="J91" s="65">
        <f t="shared" si="108"/>
        <v>8.6117892021752077E-4</v>
      </c>
      <c r="K91" s="65">
        <f t="shared" si="109"/>
        <v>8.6117892021752077E-4</v>
      </c>
      <c r="L91" s="65">
        <f t="shared" si="110"/>
        <v>5.1791610661465239E-3</v>
      </c>
      <c r="M91" s="65">
        <f t="shared" si="111"/>
        <v>5.0000000000000001E-3</v>
      </c>
      <c r="N91" s="63">
        <f t="shared" si="112"/>
        <v>0.17030077857884485</v>
      </c>
      <c r="O91" s="64">
        <f t="shared" si="113"/>
        <v>2.1838902557204176</v>
      </c>
      <c r="P91" s="64">
        <f t="shared" si="114"/>
        <v>8.9919451278602089</v>
      </c>
      <c r="Q91" s="64">
        <f t="shared" si="115"/>
        <v>6.8080548721397918</v>
      </c>
      <c r="R91" s="64">
        <f t="shared" si="116"/>
        <v>0</v>
      </c>
      <c r="S91" s="64">
        <f t="shared" si="117"/>
        <v>7.9251150183505787</v>
      </c>
      <c r="T91" s="63">
        <f t="shared" si="145"/>
        <v>0.3252898896257419</v>
      </c>
      <c r="U91" s="63">
        <f t="shared" si="118"/>
        <v>1</v>
      </c>
      <c r="V91" s="63">
        <f t="shared" si="146"/>
        <v>1.3252898896257419</v>
      </c>
      <c r="W91" s="64">
        <f t="shared" si="147"/>
        <v>0.63043481351039188</v>
      </c>
      <c r="X91" s="63">
        <f t="shared" si="119"/>
        <v>7.9489610817176523E-2</v>
      </c>
      <c r="Y91" s="63">
        <f t="shared" si="148"/>
        <v>7.9489610817176523E-2</v>
      </c>
      <c r="Z91" s="64">
        <f t="shared" si="120"/>
        <v>2.9790255768389664</v>
      </c>
      <c r="AA91" s="74">
        <f t="shared" si="121"/>
        <v>8.8745933874607372E-3</v>
      </c>
      <c r="AB91" s="75">
        <f t="shared" si="149"/>
        <v>8.8745933874607372E-3</v>
      </c>
      <c r="AC91" s="63">
        <f t="shared" si="122"/>
        <v>3.2704980208159706</v>
      </c>
      <c r="AD91" s="63">
        <f t="shared" si="150"/>
        <v>9.211305197674274E-3</v>
      </c>
      <c r="AE91" s="63">
        <f t="shared" si="123"/>
        <v>1.2186762345790015E-2</v>
      </c>
      <c r="AF91" s="63">
        <f t="shared" si="124"/>
        <v>0.70239690169870572</v>
      </c>
      <c r="AG91" s="63">
        <f t="shared" si="125"/>
        <v>4.0608000000000005E-2</v>
      </c>
      <c r="AH91" s="63">
        <f t="shared" si="126"/>
        <v>0</v>
      </c>
      <c r="AI91" s="63">
        <f t="shared" si="151"/>
        <v>0.22378064516129031</v>
      </c>
      <c r="AJ91" s="63">
        <f t="shared" si="152"/>
        <v>0.97897230920578604</v>
      </c>
      <c r="AK91" s="63">
        <f t="shared" si="127"/>
        <v>7.2188150516497309</v>
      </c>
      <c r="AL91" s="63">
        <f t="shared" si="128"/>
        <v>4.4877145099161436E-2</v>
      </c>
      <c r="AM91" s="63">
        <f t="shared" si="129"/>
        <v>5.9904541036379794E-2</v>
      </c>
      <c r="AN91" s="63">
        <f t="shared" si="130"/>
        <v>0.17411828631924564</v>
      </c>
      <c r="AO91" s="63">
        <f t="shared" si="131"/>
        <v>967.22708050340952</v>
      </c>
      <c r="AP91" s="63">
        <f t="shared" si="153"/>
        <v>0.17411828631924564</v>
      </c>
      <c r="AQ91" s="61">
        <f t="shared" si="132"/>
        <v>0.46248</v>
      </c>
      <c r="AR91" s="61">
        <f t="shared" si="133"/>
        <v>50128320000</v>
      </c>
      <c r="AS91" s="61">
        <f t="shared" si="154"/>
        <v>0.46248</v>
      </c>
      <c r="AT91" s="61">
        <f t="shared" si="155"/>
        <v>0.23869935483870966</v>
      </c>
      <c r="AU91" s="63">
        <f t="shared" si="156"/>
        <v>0.47272218219433509</v>
      </c>
      <c r="AV91" s="63">
        <f t="shared" si="134"/>
        <v>0.31403724027042951</v>
      </c>
      <c r="AW91" s="63">
        <f t="shared" si="135"/>
        <v>2.9760000000000003E-3</v>
      </c>
      <c r="AX91" s="63">
        <f t="shared" si="136"/>
        <v>0.24815999999999999</v>
      </c>
      <c r="AY91" s="63">
        <f t="shared" si="137"/>
        <v>0.25113599999999997</v>
      </c>
      <c r="AZ91" s="63">
        <f t="shared" si="138"/>
        <v>3.43052182550093</v>
      </c>
      <c r="BA91" s="64">
        <f t="shared" si="139"/>
        <v>31.6</v>
      </c>
      <c r="BB91" s="76">
        <f t="shared" si="157"/>
        <v>0.90207049034012277</v>
      </c>
      <c r="BC91" s="64">
        <f t="shared" si="158"/>
        <v>90.207049034012272</v>
      </c>
      <c r="BD91" s="63">
        <f t="shared" si="140"/>
        <v>1.3252898896257419</v>
      </c>
      <c r="BE91" s="63">
        <f t="shared" si="159"/>
        <v>1.4516944914001211</v>
      </c>
      <c r="BF91" s="63">
        <f t="shared" si="141"/>
        <v>0.97897230920578604</v>
      </c>
      <c r="BG91" s="63">
        <f t="shared" si="142"/>
        <v>0.47272218219433509</v>
      </c>
      <c r="BH91" s="63">
        <f t="shared" si="143"/>
        <v>0.31403724027042951</v>
      </c>
      <c r="BI91" s="63">
        <f t="shared" si="160"/>
        <v>0.25113599999999997</v>
      </c>
      <c r="BJ91" s="63">
        <f t="shared" si="161"/>
        <v>8.8745933874607372E-3</v>
      </c>
      <c r="BK91" s="63">
        <f t="shared" si="162"/>
        <v>7.9489610817176523E-2</v>
      </c>
      <c r="BL91" s="63">
        <f t="shared" si="163"/>
        <v>3.4305218255009295</v>
      </c>
      <c r="BQ91" s="77"/>
      <c r="BR91" s="78"/>
    </row>
    <row r="92" spans="3:70" s="81" customFormat="1" x14ac:dyDescent="0.25">
      <c r="C92" s="81">
        <v>80</v>
      </c>
      <c r="D92" s="61">
        <f t="shared" si="103"/>
        <v>105</v>
      </c>
      <c r="E92" s="61">
        <f t="shared" si="104"/>
        <v>105</v>
      </c>
      <c r="F92" s="61">
        <f t="shared" si="105"/>
        <v>105</v>
      </c>
      <c r="G92" s="89">
        <f t="shared" si="106"/>
        <v>24</v>
      </c>
      <c r="H92" s="85">
        <f t="shared" si="107"/>
        <v>1</v>
      </c>
      <c r="I92" s="86">
        <f t="shared" si="144"/>
        <v>8</v>
      </c>
      <c r="J92" s="90">
        <f t="shared" si="108"/>
        <v>8.6117892021752077E-4</v>
      </c>
      <c r="K92" s="90">
        <f t="shared" si="109"/>
        <v>8.6117892021752077E-4</v>
      </c>
      <c r="L92" s="90">
        <f t="shared" si="110"/>
        <v>5.1791610661465239E-3</v>
      </c>
      <c r="M92" s="90">
        <f t="shared" si="111"/>
        <v>5.0000000000000001E-3</v>
      </c>
      <c r="N92" s="86">
        <f t="shared" si="112"/>
        <v>0.17034677999545467</v>
      </c>
      <c r="O92" s="85">
        <f t="shared" si="113"/>
        <v>2.1844801652106849</v>
      </c>
      <c r="P92" s="85">
        <f t="shared" si="114"/>
        <v>9.0922400826053433</v>
      </c>
      <c r="Q92" s="85">
        <f t="shared" si="115"/>
        <v>6.9077599173946576</v>
      </c>
      <c r="R92" s="85">
        <f t="shared" si="116"/>
        <v>0</v>
      </c>
      <c r="S92" s="85">
        <f t="shared" si="117"/>
        <v>8.0248154370894973</v>
      </c>
      <c r="T92" s="86">
        <f t="shared" si="145"/>
        <v>0.33352586792122541</v>
      </c>
      <c r="U92" s="86">
        <f t="shared" si="118"/>
        <v>1</v>
      </c>
      <c r="V92" s="86">
        <f t="shared" si="146"/>
        <v>1.3335258679212254</v>
      </c>
      <c r="W92" s="85">
        <f t="shared" si="147"/>
        <v>0.63060510571189354</v>
      </c>
      <c r="X92" s="86">
        <f t="shared" si="119"/>
        <v>7.95325598699817E-2</v>
      </c>
      <c r="Y92" s="86">
        <f t="shared" si="148"/>
        <v>7.95325598699817E-2</v>
      </c>
      <c r="Z92" s="85">
        <f t="shared" si="120"/>
        <v>3.0168263918826841</v>
      </c>
      <c r="AA92" s="88">
        <f t="shared" si="121"/>
        <v>9.1012414787598941E-3</v>
      </c>
      <c r="AB92" s="87">
        <f t="shared" si="149"/>
        <v>9.1012414787598941E-3</v>
      </c>
      <c r="AC92" s="86">
        <f t="shared" si="122"/>
        <v>3.3120891438942781</v>
      </c>
      <c r="AD92" s="86">
        <f t="shared" si="150"/>
        <v>9.4470763450715187E-3</v>
      </c>
      <c r="AE92" s="86">
        <f t="shared" si="123"/>
        <v>1.2499425365868224E-2</v>
      </c>
      <c r="AF92" s="86">
        <f t="shared" si="124"/>
        <v>0.71089759352780202</v>
      </c>
      <c r="AG92" s="86">
        <f t="shared" si="125"/>
        <v>4.0608000000000005E-2</v>
      </c>
      <c r="AH92" s="86">
        <f t="shared" si="126"/>
        <v>0</v>
      </c>
      <c r="AI92" s="63">
        <f t="shared" si="151"/>
        <v>0.22378064516129031</v>
      </c>
      <c r="AJ92" s="63">
        <f t="shared" si="152"/>
        <v>0.98778566405496049</v>
      </c>
      <c r="AK92" s="86">
        <f t="shared" si="127"/>
        <v>7.3094273580252214</v>
      </c>
      <c r="AL92" s="86">
        <f t="shared" si="128"/>
        <v>4.6010833369004633E-2</v>
      </c>
      <c r="AM92" s="86">
        <f t="shared" si="129"/>
        <v>6.1435319225579335E-2</v>
      </c>
      <c r="AN92" s="86">
        <f t="shared" si="130"/>
        <v>0.17637317728940394</v>
      </c>
      <c r="AO92" s="86">
        <f t="shared" si="131"/>
        <v>979.7529998426387</v>
      </c>
      <c r="AP92" s="86">
        <f t="shared" si="153"/>
        <v>0.17637317728940394</v>
      </c>
      <c r="AQ92" s="81">
        <f t="shared" si="132"/>
        <v>0.46248</v>
      </c>
      <c r="AR92" s="81">
        <f t="shared" si="133"/>
        <v>50128320000</v>
      </c>
      <c r="AS92" s="81">
        <f t="shared" si="154"/>
        <v>0.46248</v>
      </c>
      <c r="AT92" s="61">
        <f t="shared" si="155"/>
        <v>0.23869935483870966</v>
      </c>
      <c r="AU92" s="63">
        <f t="shared" si="156"/>
        <v>0.47650785135369289</v>
      </c>
      <c r="AV92" s="86">
        <f t="shared" si="134"/>
        <v>0.32198831399674954</v>
      </c>
      <c r="AW92" s="86">
        <f t="shared" si="135"/>
        <v>2.9760000000000003E-3</v>
      </c>
      <c r="AX92" s="86">
        <f t="shared" si="136"/>
        <v>0.24815999999999999</v>
      </c>
      <c r="AY92" s="86">
        <f t="shared" si="137"/>
        <v>0.25113599999999997</v>
      </c>
      <c r="AZ92" s="86">
        <f t="shared" si="138"/>
        <v>3.4595774986753698</v>
      </c>
      <c r="BA92" s="85">
        <f t="shared" si="139"/>
        <v>32</v>
      </c>
      <c r="BB92" s="91">
        <f t="shared" si="157"/>
        <v>0.90243602031624293</v>
      </c>
      <c r="BC92" s="85">
        <f t="shared" si="158"/>
        <v>90.243602031624292</v>
      </c>
      <c r="BD92" s="86">
        <f t="shared" si="140"/>
        <v>1.3335258679212254</v>
      </c>
      <c r="BE92" s="86">
        <f t="shared" si="159"/>
        <v>1.4642935154086534</v>
      </c>
      <c r="BF92" s="86">
        <f t="shared" si="141"/>
        <v>0.98778566405496049</v>
      </c>
      <c r="BG92" s="86">
        <f t="shared" si="142"/>
        <v>0.47650785135369289</v>
      </c>
      <c r="BH92" s="86">
        <f t="shared" si="143"/>
        <v>0.32198831399674954</v>
      </c>
      <c r="BI92" s="86">
        <f t="shared" si="160"/>
        <v>0.25113599999999997</v>
      </c>
      <c r="BJ92" s="86">
        <f t="shared" si="161"/>
        <v>9.1012414787598941E-3</v>
      </c>
      <c r="BK92" s="86">
        <f t="shared" si="162"/>
        <v>7.95325598699817E-2</v>
      </c>
      <c r="BL92" s="86">
        <f t="shared" si="163"/>
        <v>3.4595774986753698</v>
      </c>
      <c r="BQ92" s="92"/>
      <c r="BR92" s="93"/>
    </row>
    <row r="93" spans="3:70" x14ac:dyDescent="0.25">
      <c r="C93" s="61">
        <v>81</v>
      </c>
      <c r="D93" s="61">
        <f t="shared" si="103"/>
        <v>105</v>
      </c>
      <c r="E93" s="61">
        <f t="shared" si="104"/>
        <v>105</v>
      </c>
      <c r="F93" s="61">
        <f t="shared" si="105"/>
        <v>105</v>
      </c>
      <c r="G93" s="73">
        <f t="shared" si="106"/>
        <v>24</v>
      </c>
      <c r="H93" s="64">
        <f t="shared" si="107"/>
        <v>1</v>
      </c>
      <c r="I93" s="63">
        <f t="shared" si="144"/>
        <v>8.1</v>
      </c>
      <c r="J93" s="65">
        <f t="shared" si="108"/>
        <v>8.6117892021752077E-4</v>
      </c>
      <c r="K93" s="65">
        <f t="shared" si="109"/>
        <v>8.6117892021752077E-4</v>
      </c>
      <c r="L93" s="65">
        <f t="shared" si="110"/>
        <v>5.1791610661465239E-3</v>
      </c>
      <c r="M93" s="65">
        <f t="shared" si="111"/>
        <v>5.0000000000000001E-3</v>
      </c>
      <c r="N93" s="63">
        <f t="shared" si="112"/>
        <v>0.17039278141206451</v>
      </c>
      <c r="O93" s="64">
        <f t="shared" si="113"/>
        <v>2.1850700747009522</v>
      </c>
      <c r="P93" s="64">
        <f t="shared" si="114"/>
        <v>9.1925350373504759</v>
      </c>
      <c r="Q93" s="64">
        <f t="shared" si="115"/>
        <v>7.0074649626495233</v>
      </c>
      <c r="R93" s="64">
        <f t="shared" si="116"/>
        <v>0</v>
      </c>
      <c r="S93" s="64">
        <f t="shared" si="117"/>
        <v>8.1245232230951743</v>
      </c>
      <c r="T93" s="63">
        <f t="shared" si="145"/>
        <v>0.34186542973841733</v>
      </c>
      <c r="U93" s="63">
        <f t="shared" si="118"/>
        <v>1</v>
      </c>
      <c r="V93" s="63">
        <f t="shared" si="146"/>
        <v>1.3418654297384174</v>
      </c>
      <c r="W93" s="64">
        <f t="shared" si="147"/>
        <v>0.63077539791339521</v>
      </c>
      <c r="X93" s="63">
        <f t="shared" si="119"/>
        <v>7.9575520522560422E-2</v>
      </c>
      <c r="Y93" s="63">
        <f t="shared" si="148"/>
        <v>7.9575520522560422E-2</v>
      </c>
      <c r="Z93" s="64">
        <f t="shared" si="120"/>
        <v>3.0546379403590951</v>
      </c>
      <c r="AA93" s="74">
        <f t="shared" si="121"/>
        <v>9.330812946681255E-3</v>
      </c>
      <c r="AB93" s="75">
        <f t="shared" si="149"/>
        <v>9.330812946681255E-3</v>
      </c>
      <c r="AC93" s="63">
        <f t="shared" si="122"/>
        <v>3.3536943599285123</v>
      </c>
      <c r="AD93" s="63">
        <f t="shared" si="150"/>
        <v>9.6859082685559969E-3</v>
      </c>
      <c r="AE93" s="63">
        <f t="shared" si="123"/>
        <v>1.2816184739148509E-2</v>
      </c>
      <c r="AF93" s="63">
        <f t="shared" si="124"/>
        <v>0.7193982853568982</v>
      </c>
      <c r="AG93" s="63">
        <f t="shared" si="125"/>
        <v>4.0608000000000005E-2</v>
      </c>
      <c r="AH93" s="63">
        <f t="shared" si="126"/>
        <v>0</v>
      </c>
      <c r="AI93" s="63">
        <f t="shared" si="151"/>
        <v>0.22378064516129031</v>
      </c>
      <c r="AJ93" s="63">
        <f t="shared" si="152"/>
        <v>0.99660311525733691</v>
      </c>
      <c r="AK93" s="63">
        <f t="shared" si="127"/>
        <v>7.4000413338572972</v>
      </c>
      <c r="AL93" s="63">
        <f t="shared" si="128"/>
        <v>4.7158684491112365E-2</v>
      </c>
      <c r="AM93" s="63">
        <f t="shared" si="129"/>
        <v>6.2986108346960945E-2</v>
      </c>
      <c r="AN93" s="63">
        <f t="shared" si="130"/>
        <v>0.17862806825956221</v>
      </c>
      <c r="AO93" s="63">
        <f t="shared" si="131"/>
        <v>992.2789191818681</v>
      </c>
      <c r="AP93" s="63">
        <f t="shared" si="153"/>
        <v>0.17862806825956221</v>
      </c>
      <c r="AQ93" s="61">
        <f t="shared" si="132"/>
        <v>0.46248</v>
      </c>
      <c r="AR93" s="61">
        <f t="shared" si="133"/>
        <v>50128320000</v>
      </c>
      <c r="AS93" s="61">
        <f t="shared" si="154"/>
        <v>0.46248</v>
      </c>
      <c r="AT93" s="61">
        <f t="shared" si="155"/>
        <v>0.23869935483870966</v>
      </c>
      <c r="AU93" s="63">
        <f t="shared" si="156"/>
        <v>0.48031353144523281</v>
      </c>
      <c r="AV93" s="63">
        <f t="shared" si="134"/>
        <v>0.33003938801306398</v>
      </c>
      <c r="AW93" s="63">
        <f t="shared" si="135"/>
        <v>2.9760000000000003E-3</v>
      </c>
      <c r="AX93" s="63">
        <f t="shared" si="136"/>
        <v>0.24815999999999999</v>
      </c>
      <c r="AY93" s="63">
        <f t="shared" si="137"/>
        <v>0.25113599999999997</v>
      </c>
      <c r="AZ93" s="63">
        <f t="shared" si="138"/>
        <v>3.4888637979232926</v>
      </c>
      <c r="BA93" s="64">
        <f t="shared" si="139"/>
        <v>32.4</v>
      </c>
      <c r="BB93" s="76">
        <f t="shared" si="157"/>
        <v>0.90278700887362229</v>
      </c>
      <c r="BC93" s="64">
        <f t="shared" si="158"/>
        <v>90.278700887362234</v>
      </c>
      <c r="BD93" s="63">
        <f t="shared" si="140"/>
        <v>1.3418654297384174</v>
      </c>
      <c r="BE93" s="63">
        <f t="shared" si="159"/>
        <v>1.4769166467025698</v>
      </c>
      <c r="BF93" s="63">
        <f t="shared" si="141"/>
        <v>0.99660311525733691</v>
      </c>
      <c r="BG93" s="63">
        <f t="shared" si="142"/>
        <v>0.48031353144523281</v>
      </c>
      <c r="BH93" s="63">
        <f t="shared" si="143"/>
        <v>0.33003938801306398</v>
      </c>
      <c r="BI93" s="63">
        <f t="shared" si="160"/>
        <v>0.25113599999999997</v>
      </c>
      <c r="BJ93" s="63">
        <f t="shared" si="161"/>
        <v>9.330812946681255E-3</v>
      </c>
      <c r="BK93" s="63">
        <f t="shared" si="162"/>
        <v>7.9575520522560422E-2</v>
      </c>
      <c r="BL93" s="63">
        <f t="shared" si="163"/>
        <v>3.4888637979232926</v>
      </c>
      <c r="BQ93" s="77"/>
      <c r="BR93" s="78"/>
    </row>
    <row r="94" spans="3:70" x14ac:dyDescent="0.25">
      <c r="C94" s="61">
        <v>82</v>
      </c>
      <c r="D94" s="61">
        <f t="shared" si="103"/>
        <v>105</v>
      </c>
      <c r="E94" s="61">
        <f t="shared" si="104"/>
        <v>105</v>
      </c>
      <c r="F94" s="61">
        <f t="shared" si="105"/>
        <v>105</v>
      </c>
      <c r="G94" s="73">
        <f t="shared" si="106"/>
        <v>24</v>
      </c>
      <c r="H94" s="64">
        <f t="shared" si="107"/>
        <v>1</v>
      </c>
      <c r="I94" s="63">
        <f t="shared" si="144"/>
        <v>8.1999999999999993</v>
      </c>
      <c r="J94" s="65">
        <f t="shared" si="108"/>
        <v>8.6117892021752077E-4</v>
      </c>
      <c r="K94" s="65">
        <f t="shared" si="109"/>
        <v>8.6117892021752077E-4</v>
      </c>
      <c r="L94" s="65">
        <f t="shared" si="110"/>
        <v>5.1791610661465239E-3</v>
      </c>
      <c r="M94" s="65">
        <f t="shared" si="111"/>
        <v>5.0000000000000001E-3</v>
      </c>
      <c r="N94" s="63">
        <f t="shared" si="112"/>
        <v>0.17043878282867439</v>
      </c>
      <c r="O94" s="64">
        <f t="shared" si="113"/>
        <v>2.1856599841912199</v>
      </c>
      <c r="P94" s="64">
        <f t="shared" si="114"/>
        <v>9.2928299920956086</v>
      </c>
      <c r="Q94" s="64">
        <f t="shared" si="115"/>
        <v>7.1071700079043891</v>
      </c>
      <c r="R94" s="64">
        <f t="shared" si="116"/>
        <v>0</v>
      </c>
      <c r="S94" s="64">
        <f t="shared" si="117"/>
        <v>8.2242381084131164</v>
      </c>
      <c r="T94" s="63">
        <f t="shared" si="145"/>
        <v>0.35030857507731772</v>
      </c>
      <c r="U94" s="63">
        <f t="shared" si="118"/>
        <v>1</v>
      </c>
      <c r="V94" s="63">
        <f t="shared" si="146"/>
        <v>1.3503085750773178</v>
      </c>
      <c r="W94" s="64">
        <f t="shared" si="147"/>
        <v>0.63094569011489698</v>
      </c>
      <c r="X94" s="63">
        <f t="shared" si="119"/>
        <v>7.961849277491273E-2</v>
      </c>
      <c r="Y94" s="63">
        <f t="shared" si="148"/>
        <v>7.961849277491273E-2</v>
      </c>
      <c r="Z94" s="64">
        <f t="shared" si="120"/>
        <v>3.0924601194518888</v>
      </c>
      <c r="AA94" s="74">
        <f t="shared" si="121"/>
        <v>9.5633095904003908E-3</v>
      </c>
      <c r="AB94" s="75">
        <f t="shared" si="149"/>
        <v>9.5633095904003908E-3</v>
      </c>
      <c r="AC94" s="63">
        <f t="shared" si="122"/>
        <v>3.39531355730161</v>
      </c>
      <c r="AD94" s="63">
        <f t="shared" si="150"/>
        <v>9.9278033450616119E-3</v>
      </c>
      <c r="AE94" s="63">
        <f t="shared" si="123"/>
        <v>1.3137045071482542E-2</v>
      </c>
      <c r="AF94" s="63">
        <f t="shared" si="124"/>
        <v>0.72789897718599428</v>
      </c>
      <c r="AG94" s="63">
        <f t="shared" si="125"/>
        <v>4.0608000000000005E-2</v>
      </c>
      <c r="AH94" s="63">
        <f t="shared" si="126"/>
        <v>0</v>
      </c>
      <c r="AI94" s="63">
        <f t="shared" si="151"/>
        <v>0.22378064516129031</v>
      </c>
      <c r="AJ94" s="63">
        <f t="shared" si="152"/>
        <v>1.005424667418767</v>
      </c>
      <c r="AK94" s="63">
        <f t="shared" si="127"/>
        <v>7.4906567343243307</v>
      </c>
      <c r="AL94" s="63">
        <f t="shared" si="128"/>
        <v>4.8320696088550705E-2</v>
      </c>
      <c r="AM94" s="63">
        <f t="shared" si="129"/>
        <v>6.4556939022149221E-2</v>
      </c>
      <c r="AN94" s="63">
        <f t="shared" si="130"/>
        <v>0.18088295922972053</v>
      </c>
      <c r="AO94" s="63">
        <f t="shared" si="131"/>
        <v>1004.8048385210973</v>
      </c>
      <c r="AP94" s="63">
        <f t="shared" si="153"/>
        <v>0.18088295922972053</v>
      </c>
      <c r="AQ94" s="61">
        <f t="shared" si="132"/>
        <v>0.46248</v>
      </c>
      <c r="AR94" s="61">
        <f t="shared" si="133"/>
        <v>50128320000</v>
      </c>
      <c r="AS94" s="61">
        <f t="shared" si="154"/>
        <v>0.46248</v>
      </c>
      <c r="AT94" s="61">
        <f t="shared" si="155"/>
        <v>0.23869935483870966</v>
      </c>
      <c r="AU94" s="63">
        <f t="shared" si="156"/>
        <v>0.48413925309057937</v>
      </c>
      <c r="AV94" s="63">
        <f t="shared" si="134"/>
        <v>0.33819046231937278</v>
      </c>
      <c r="AW94" s="63">
        <f t="shared" si="135"/>
        <v>2.9760000000000003E-3</v>
      </c>
      <c r="AX94" s="63">
        <f t="shared" si="136"/>
        <v>0.24815999999999999</v>
      </c>
      <c r="AY94" s="63">
        <f t="shared" si="137"/>
        <v>0.25113599999999997</v>
      </c>
      <c r="AZ94" s="63">
        <f t="shared" si="138"/>
        <v>3.5183807602713504</v>
      </c>
      <c r="BA94" s="64">
        <f t="shared" si="139"/>
        <v>32.799999999999997</v>
      </c>
      <c r="BB94" s="76">
        <f t="shared" si="157"/>
        <v>0.90312396404742523</v>
      </c>
      <c r="BC94" s="64">
        <f t="shared" si="158"/>
        <v>90.312396404742529</v>
      </c>
      <c r="BD94" s="63">
        <f t="shared" si="140"/>
        <v>1.3503085750773178</v>
      </c>
      <c r="BE94" s="63">
        <f t="shared" si="159"/>
        <v>1.4895639205093465</v>
      </c>
      <c r="BF94" s="63">
        <f t="shared" si="141"/>
        <v>1.005424667418767</v>
      </c>
      <c r="BG94" s="63">
        <f t="shared" si="142"/>
        <v>0.48413925309057937</v>
      </c>
      <c r="BH94" s="63">
        <f t="shared" si="143"/>
        <v>0.33819046231937278</v>
      </c>
      <c r="BI94" s="63">
        <f t="shared" si="160"/>
        <v>0.25113599999999997</v>
      </c>
      <c r="BJ94" s="63">
        <f t="shared" si="161"/>
        <v>9.5633095904003908E-3</v>
      </c>
      <c r="BK94" s="63">
        <f t="shared" si="162"/>
        <v>7.961849277491273E-2</v>
      </c>
      <c r="BL94" s="63">
        <f t="shared" si="163"/>
        <v>3.5183807602713499</v>
      </c>
      <c r="BQ94" s="77"/>
      <c r="BR94" s="78"/>
    </row>
    <row r="95" spans="3:70" x14ac:dyDescent="0.25">
      <c r="C95" s="61">
        <v>83</v>
      </c>
      <c r="D95" s="61">
        <f t="shared" si="103"/>
        <v>105</v>
      </c>
      <c r="E95" s="61">
        <f t="shared" si="104"/>
        <v>105</v>
      </c>
      <c r="F95" s="61">
        <f t="shared" si="105"/>
        <v>105</v>
      </c>
      <c r="G95" s="73">
        <f t="shared" si="106"/>
        <v>24</v>
      </c>
      <c r="H95" s="64">
        <f t="shared" si="107"/>
        <v>1</v>
      </c>
      <c r="I95" s="63">
        <f t="shared" si="144"/>
        <v>8.3000000000000007</v>
      </c>
      <c r="J95" s="65">
        <f t="shared" si="108"/>
        <v>8.6117892021752077E-4</v>
      </c>
      <c r="K95" s="65">
        <f t="shared" si="109"/>
        <v>8.6117892021752077E-4</v>
      </c>
      <c r="L95" s="65">
        <f t="shared" si="110"/>
        <v>5.1791610661465239E-3</v>
      </c>
      <c r="M95" s="65">
        <f t="shared" si="111"/>
        <v>5.0000000000000001E-3</v>
      </c>
      <c r="N95" s="63">
        <f t="shared" si="112"/>
        <v>0.17048478424528424</v>
      </c>
      <c r="O95" s="64">
        <f t="shared" si="113"/>
        <v>2.1862498936814871</v>
      </c>
      <c r="P95" s="64">
        <f t="shared" si="114"/>
        <v>9.3931249468407447</v>
      </c>
      <c r="Q95" s="64">
        <f t="shared" si="115"/>
        <v>7.2068750531592567</v>
      </c>
      <c r="R95" s="64">
        <f t="shared" si="116"/>
        <v>0</v>
      </c>
      <c r="S95" s="64">
        <f t="shared" si="117"/>
        <v>8.3239598379097917</v>
      </c>
      <c r="T95" s="63">
        <f t="shared" si="145"/>
        <v>0.35885530393792658</v>
      </c>
      <c r="U95" s="63">
        <f t="shared" si="118"/>
        <v>1</v>
      </c>
      <c r="V95" s="63">
        <f t="shared" si="146"/>
        <v>1.3588553039379265</v>
      </c>
      <c r="W95" s="64">
        <f t="shared" si="147"/>
        <v>0.63111598231639865</v>
      </c>
      <c r="X95" s="63">
        <f t="shared" si="119"/>
        <v>7.9661476627038569E-2</v>
      </c>
      <c r="Y95" s="63">
        <f t="shared" si="148"/>
        <v>7.9661476627038569E-2</v>
      </c>
      <c r="Z95" s="64">
        <f t="shared" si="120"/>
        <v>3.1302928311237923</v>
      </c>
      <c r="AA95" s="74">
        <f t="shared" si="121"/>
        <v>9.7987332085850073E-3</v>
      </c>
      <c r="AB95" s="75">
        <f t="shared" si="149"/>
        <v>9.7987332085850073E-3</v>
      </c>
      <c r="AC95" s="63">
        <f t="shared" si="122"/>
        <v>3.4369466296314148</v>
      </c>
      <c r="AD95" s="63">
        <f t="shared" si="150"/>
        <v>1.0172763951522282E-2</v>
      </c>
      <c r="AE95" s="63">
        <f t="shared" si="123"/>
        <v>1.3462010989315976E-2</v>
      </c>
      <c r="AF95" s="63">
        <f t="shared" si="124"/>
        <v>0.7363996690150908</v>
      </c>
      <c r="AG95" s="63">
        <f t="shared" si="125"/>
        <v>4.0608000000000005E-2</v>
      </c>
      <c r="AH95" s="63">
        <f t="shared" si="126"/>
        <v>0</v>
      </c>
      <c r="AI95" s="63">
        <f t="shared" si="151"/>
        <v>0.22378064516129031</v>
      </c>
      <c r="AJ95" s="63">
        <f t="shared" si="152"/>
        <v>1.0142503251656971</v>
      </c>
      <c r="AK95" s="63">
        <f t="shared" si="127"/>
        <v>7.5812733263087448</v>
      </c>
      <c r="AL95" s="63">
        <f t="shared" si="128"/>
        <v>4.9496865784385766E-2</v>
      </c>
      <c r="AM95" s="63">
        <f t="shared" si="129"/>
        <v>6.6147842332101206E-2</v>
      </c>
      <c r="AN95" s="63">
        <f t="shared" si="130"/>
        <v>0.18313785019987885</v>
      </c>
      <c r="AO95" s="63">
        <f t="shared" si="131"/>
        <v>1017.3307578603269</v>
      </c>
      <c r="AP95" s="63">
        <f t="shared" si="153"/>
        <v>0.18313785019987885</v>
      </c>
      <c r="AQ95" s="61">
        <f t="shared" si="132"/>
        <v>0.46248</v>
      </c>
      <c r="AR95" s="61">
        <f t="shared" si="133"/>
        <v>50128320000</v>
      </c>
      <c r="AS95" s="61">
        <f t="shared" si="154"/>
        <v>0.46248</v>
      </c>
      <c r="AT95" s="61">
        <f t="shared" si="155"/>
        <v>0.23869935483870966</v>
      </c>
      <c r="AU95" s="63">
        <f t="shared" si="156"/>
        <v>0.48798504737068971</v>
      </c>
      <c r="AV95" s="63">
        <f t="shared" si="134"/>
        <v>0.34644153691567603</v>
      </c>
      <c r="AW95" s="63">
        <f t="shared" si="135"/>
        <v>2.9760000000000003E-3</v>
      </c>
      <c r="AX95" s="63">
        <f t="shared" si="136"/>
        <v>0.24815999999999999</v>
      </c>
      <c r="AY95" s="63">
        <f t="shared" si="137"/>
        <v>0.25113599999999997</v>
      </c>
      <c r="AZ95" s="63">
        <f t="shared" si="138"/>
        <v>3.5481284232256125</v>
      </c>
      <c r="BA95" s="64">
        <f t="shared" si="139"/>
        <v>33.200000000000003</v>
      </c>
      <c r="BB95" s="76">
        <f t="shared" si="157"/>
        <v>0.90344737064260616</v>
      </c>
      <c r="BC95" s="64">
        <f t="shared" si="158"/>
        <v>90.344737064260613</v>
      </c>
      <c r="BD95" s="63">
        <f t="shared" si="140"/>
        <v>1.3588553039379265</v>
      </c>
      <c r="BE95" s="63">
        <f t="shared" si="159"/>
        <v>1.5022353725363868</v>
      </c>
      <c r="BF95" s="63">
        <f t="shared" si="141"/>
        <v>1.0142503251656971</v>
      </c>
      <c r="BG95" s="63">
        <f t="shared" si="142"/>
        <v>0.48798504737068971</v>
      </c>
      <c r="BH95" s="63">
        <f t="shared" si="143"/>
        <v>0.34644153691567603</v>
      </c>
      <c r="BI95" s="63">
        <f t="shared" si="160"/>
        <v>0.25113599999999997</v>
      </c>
      <c r="BJ95" s="63">
        <f t="shared" si="161"/>
        <v>9.7987332085850073E-3</v>
      </c>
      <c r="BK95" s="63">
        <f t="shared" si="162"/>
        <v>7.9661476627038569E-2</v>
      </c>
      <c r="BL95" s="63">
        <f t="shared" si="163"/>
        <v>3.5481284232256125</v>
      </c>
      <c r="BQ95" s="77"/>
      <c r="BR95" s="78"/>
    </row>
    <row r="96" spans="3:70" x14ac:dyDescent="0.25">
      <c r="C96" s="61">
        <v>84</v>
      </c>
      <c r="D96" s="61">
        <f t="shared" si="103"/>
        <v>105</v>
      </c>
      <c r="E96" s="61">
        <f t="shared" si="104"/>
        <v>105</v>
      </c>
      <c r="F96" s="61">
        <f t="shared" si="105"/>
        <v>105</v>
      </c>
      <c r="G96" s="73">
        <f t="shared" si="106"/>
        <v>24</v>
      </c>
      <c r="H96" s="64">
        <f t="shared" si="107"/>
        <v>1</v>
      </c>
      <c r="I96" s="63">
        <f t="shared" si="144"/>
        <v>8.4</v>
      </c>
      <c r="J96" s="65">
        <f t="shared" si="108"/>
        <v>8.6117892021752077E-4</v>
      </c>
      <c r="K96" s="65">
        <f t="shared" si="109"/>
        <v>8.6117892021752077E-4</v>
      </c>
      <c r="L96" s="65">
        <f t="shared" si="110"/>
        <v>5.1791610661465239E-3</v>
      </c>
      <c r="M96" s="65">
        <f t="shared" si="111"/>
        <v>5.0000000000000001E-3</v>
      </c>
      <c r="N96" s="63">
        <f t="shared" si="112"/>
        <v>0.17053078566189409</v>
      </c>
      <c r="O96" s="64">
        <f t="shared" si="113"/>
        <v>2.1868398031717544</v>
      </c>
      <c r="P96" s="64">
        <f t="shared" si="114"/>
        <v>9.4934199015858773</v>
      </c>
      <c r="Q96" s="64">
        <f t="shared" si="115"/>
        <v>7.3065800984141234</v>
      </c>
      <c r="R96" s="64">
        <f t="shared" si="116"/>
        <v>0</v>
      </c>
      <c r="S96" s="64">
        <f t="shared" si="117"/>
        <v>8.4236881685158966</v>
      </c>
      <c r="T96" s="63">
        <f t="shared" si="145"/>
        <v>0.36750561632024376</v>
      </c>
      <c r="U96" s="63">
        <f t="shared" si="118"/>
        <v>1</v>
      </c>
      <c r="V96" s="63">
        <f t="shared" si="146"/>
        <v>1.3675056163202437</v>
      </c>
      <c r="W96" s="64">
        <f t="shared" si="147"/>
        <v>0.63128627451790031</v>
      </c>
      <c r="X96" s="63">
        <f t="shared" si="119"/>
        <v>7.9704472078937966E-2</v>
      </c>
      <c r="Y96" s="63">
        <f t="shared" si="148"/>
        <v>7.9704472078937966E-2</v>
      </c>
      <c r="Z96" s="64">
        <f t="shared" si="120"/>
        <v>3.1681359818345753</v>
      </c>
      <c r="AA96" s="74">
        <f t="shared" si="121"/>
        <v>1.0037085599394929E-2</v>
      </c>
      <c r="AB96" s="75">
        <f t="shared" si="149"/>
        <v>1.0037085599394929E-2</v>
      </c>
      <c r="AC96" s="63">
        <f t="shared" si="122"/>
        <v>3.4785934754617687</v>
      </c>
      <c r="AD96" s="63">
        <f t="shared" si="150"/>
        <v>1.0420792464871901E-2</v>
      </c>
      <c r="AE96" s="63">
        <f t="shared" si="123"/>
        <v>1.3791087139754098E-2</v>
      </c>
      <c r="AF96" s="63">
        <f t="shared" si="124"/>
        <v>0.74490036084418698</v>
      </c>
      <c r="AG96" s="63">
        <f t="shared" si="125"/>
        <v>4.0608000000000005E-2</v>
      </c>
      <c r="AH96" s="63">
        <f t="shared" si="126"/>
        <v>0</v>
      </c>
      <c r="AI96" s="63">
        <f t="shared" si="151"/>
        <v>0.22378064516129031</v>
      </c>
      <c r="AJ96" s="63">
        <f t="shared" si="152"/>
        <v>1.0230800931452313</v>
      </c>
      <c r="AK96" s="63">
        <f t="shared" si="127"/>
        <v>7.6718908877062058</v>
      </c>
      <c r="AL96" s="63">
        <f t="shared" si="128"/>
        <v>5.0687191201683607E-2</v>
      </c>
      <c r="AM96" s="63">
        <f t="shared" si="129"/>
        <v>6.7758849818762054E-2</v>
      </c>
      <c r="AN96" s="63">
        <f t="shared" si="130"/>
        <v>0.18539274117003712</v>
      </c>
      <c r="AO96" s="63">
        <f t="shared" si="131"/>
        <v>1029.8566771995561</v>
      </c>
      <c r="AP96" s="63">
        <f t="shared" si="153"/>
        <v>0.18539274117003712</v>
      </c>
      <c r="AQ96" s="61">
        <f t="shared" si="132"/>
        <v>0.46248</v>
      </c>
      <c r="AR96" s="61">
        <f t="shared" si="133"/>
        <v>50128320000</v>
      </c>
      <c r="AS96" s="61">
        <f t="shared" si="154"/>
        <v>0.46248</v>
      </c>
      <c r="AT96" s="61">
        <f t="shared" si="155"/>
        <v>0.23869935483870966</v>
      </c>
      <c r="AU96" s="63">
        <f t="shared" si="156"/>
        <v>0.49185094582750888</v>
      </c>
      <c r="AV96" s="63">
        <f t="shared" si="134"/>
        <v>0.35479261180197347</v>
      </c>
      <c r="AW96" s="63">
        <f t="shared" si="135"/>
        <v>2.9760000000000003E-3</v>
      </c>
      <c r="AX96" s="63">
        <f t="shared" si="136"/>
        <v>0.24815999999999999</v>
      </c>
      <c r="AY96" s="63">
        <f t="shared" si="137"/>
        <v>0.25113599999999997</v>
      </c>
      <c r="AZ96" s="63">
        <f t="shared" si="138"/>
        <v>3.5781068247732897</v>
      </c>
      <c r="BA96" s="64">
        <f t="shared" si="139"/>
        <v>33.6</v>
      </c>
      <c r="BB96" s="76">
        <f t="shared" si="157"/>
        <v>0.90375769154579289</v>
      </c>
      <c r="BC96" s="64">
        <f t="shared" si="158"/>
        <v>90.375769154579288</v>
      </c>
      <c r="BD96" s="63">
        <f t="shared" si="140"/>
        <v>1.3675056163202437</v>
      </c>
      <c r="BE96" s="63">
        <f t="shared" si="159"/>
        <v>1.5149310389727402</v>
      </c>
      <c r="BF96" s="63">
        <f t="shared" si="141"/>
        <v>1.0230800931452313</v>
      </c>
      <c r="BG96" s="63">
        <f t="shared" si="142"/>
        <v>0.49185094582750888</v>
      </c>
      <c r="BH96" s="63">
        <f t="shared" si="143"/>
        <v>0.35479261180197347</v>
      </c>
      <c r="BI96" s="63">
        <f t="shared" si="160"/>
        <v>0.25113599999999997</v>
      </c>
      <c r="BJ96" s="63">
        <f t="shared" si="161"/>
        <v>1.0037085599394929E-2</v>
      </c>
      <c r="BK96" s="63">
        <f t="shared" si="162"/>
        <v>7.9704472078937966E-2</v>
      </c>
      <c r="BL96" s="63">
        <f t="shared" si="163"/>
        <v>3.5781068247732897</v>
      </c>
      <c r="BQ96" s="77"/>
      <c r="BR96" s="78"/>
    </row>
    <row r="97" spans="3:70" x14ac:dyDescent="0.25">
      <c r="C97" s="61">
        <v>85</v>
      </c>
      <c r="D97" s="61">
        <f t="shared" si="103"/>
        <v>105</v>
      </c>
      <c r="E97" s="61">
        <f t="shared" si="104"/>
        <v>105</v>
      </c>
      <c r="F97" s="61">
        <f t="shared" si="105"/>
        <v>105</v>
      </c>
      <c r="G97" s="73">
        <f t="shared" si="106"/>
        <v>24</v>
      </c>
      <c r="H97" s="64">
        <f t="shared" si="107"/>
        <v>1</v>
      </c>
      <c r="I97" s="63">
        <f t="shared" si="144"/>
        <v>8.5</v>
      </c>
      <c r="J97" s="65">
        <f t="shared" si="108"/>
        <v>8.6117892021752077E-4</v>
      </c>
      <c r="K97" s="65">
        <f t="shared" si="109"/>
        <v>8.6117892021752077E-4</v>
      </c>
      <c r="L97" s="65">
        <f t="shared" si="110"/>
        <v>5.1791610661465239E-3</v>
      </c>
      <c r="M97" s="65">
        <f t="shared" si="111"/>
        <v>5.0000000000000001E-3</v>
      </c>
      <c r="N97" s="63">
        <f t="shared" si="112"/>
        <v>0.17057678707850391</v>
      </c>
      <c r="O97" s="64">
        <f t="shared" si="113"/>
        <v>2.1874297126620217</v>
      </c>
      <c r="P97" s="64">
        <f t="shared" si="114"/>
        <v>9.5937148563310117</v>
      </c>
      <c r="Q97" s="64">
        <f t="shared" si="115"/>
        <v>7.4062851436689892</v>
      </c>
      <c r="R97" s="64">
        <f t="shared" si="116"/>
        <v>0</v>
      </c>
      <c r="S97" s="64">
        <f t="shared" si="117"/>
        <v>8.5234228685225428</v>
      </c>
      <c r="T97" s="63">
        <f t="shared" si="145"/>
        <v>0.37625951222426934</v>
      </c>
      <c r="U97" s="63">
        <f t="shared" si="118"/>
        <v>1</v>
      </c>
      <c r="V97" s="63">
        <f t="shared" si="146"/>
        <v>1.3762595122242693</v>
      </c>
      <c r="W97" s="64">
        <f t="shared" si="147"/>
        <v>0.63145656671940198</v>
      </c>
      <c r="X97" s="63">
        <f t="shared" si="119"/>
        <v>7.9747479130610921E-2</v>
      </c>
      <c r="Y97" s="63">
        <f t="shared" si="148"/>
        <v>7.9747479130610921E-2</v>
      </c>
      <c r="Z97" s="64">
        <f t="shared" si="120"/>
        <v>3.2059894822787722</v>
      </c>
      <c r="AA97" s="74">
        <f t="shared" si="121"/>
        <v>1.027836856048211E-2</v>
      </c>
      <c r="AB97" s="75">
        <f t="shared" si="149"/>
        <v>1.027836856048211E-2</v>
      </c>
      <c r="AC97" s="63">
        <f t="shared" si="122"/>
        <v>3.5202539979752108</v>
      </c>
      <c r="AD97" s="63">
        <f t="shared" si="150"/>
        <v>1.0671891262044391E-2</v>
      </c>
      <c r="AE97" s="63">
        <f t="shared" si="123"/>
        <v>1.4124278190627898E-2</v>
      </c>
      <c r="AF97" s="63">
        <f t="shared" si="124"/>
        <v>0.75340105267328328</v>
      </c>
      <c r="AG97" s="63">
        <f t="shared" si="125"/>
        <v>4.0608000000000005E-2</v>
      </c>
      <c r="AH97" s="63">
        <f t="shared" si="126"/>
        <v>0</v>
      </c>
      <c r="AI97" s="63">
        <f t="shared" si="151"/>
        <v>0.22378064516129031</v>
      </c>
      <c r="AJ97" s="63">
        <f t="shared" si="152"/>
        <v>1.0319139760252014</v>
      </c>
      <c r="AK97" s="63">
        <f t="shared" si="127"/>
        <v>7.7625092067831138</v>
      </c>
      <c r="AL97" s="63">
        <f t="shared" si="128"/>
        <v>5.1891669963510335E-2</v>
      </c>
      <c r="AM97" s="63">
        <f t="shared" si="129"/>
        <v>6.9389993486748194E-2</v>
      </c>
      <c r="AN97" s="63">
        <f t="shared" si="130"/>
        <v>0.18764763214019542</v>
      </c>
      <c r="AO97" s="63">
        <f t="shared" si="131"/>
        <v>1042.3825965387857</v>
      </c>
      <c r="AP97" s="63">
        <f t="shared" si="153"/>
        <v>0.18764763214019542</v>
      </c>
      <c r="AQ97" s="61">
        <f t="shared" si="132"/>
        <v>0.46248</v>
      </c>
      <c r="AR97" s="61">
        <f t="shared" si="133"/>
        <v>50128320000</v>
      </c>
      <c r="AS97" s="61">
        <f t="shared" si="154"/>
        <v>0.46248</v>
      </c>
      <c r="AT97" s="61">
        <f t="shared" si="155"/>
        <v>0.23869935483870966</v>
      </c>
      <c r="AU97" s="63">
        <f t="shared" si="156"/>
        <v>0.49573698046565329</v>
      </c>
      <c r="AV97" s="63">
        <f t="shared" si="134"/>
        <v>0.36324368697826531</v>
      </c>
      <c r="AW97" s="63">
        <f t="shared" si="135"/>
        <v>2.9760000000000003E-3</v>
      </c>
      <c r="AX97" s="63">
        <f t="shared" si="136"/>
        <v>0.24815999999999999</v>
      </c>
      <c r="AY97" s="63">
        <f t="shared" si="137"/>
        <v>0.25113599999999997</v>
      </c>
      <c r="AZ97" s="63">
        <f t="shared" si="138"/>
        <v>3.6083160033844823</v>
      </c>
      <c r="BA97" s="64">
        <f t="shared" si="139"/>
        <v>34</v>
      </c>
      <c r="BB97" s="76">
        <f t="shared" si="157"/>
        <v>0.90405536894925687</v>
      </c>
      <c r="BC97" s="64">
        <f t="shared" si="158"/>
        <v>90.405536894925689</v>
      </c>
      <c r="BD97" s="63">
        <f t="shared" si="140"/>
        <v>1.3762595122242693</v>
      </c>
      <c r="BE97" s="63">
        <f t="shared" si="159"/>
        <v>1.5276509564908547</v>
      </c>
      <c r="BF97" s="63">
        <f t="shared" si="141"/>
        <v>1.0319139760252014</v>
      </c>
      <c r="BG97" s="63">
        <f t="shared" si="142"/>
        <v>0.49573698046565329</v>
      </c>
      <c r="BH97" s="63">
        <f t="shared" si="143"/>
        <v>0.36324368697826531</v>
      </c>
      <c r="BI97" s="63">
        <f t="shared" si="160"/>
        <v>0.25113599999999997</v>
      </c>
      <c r="BJ97" s="63">
        <f t="shared" si="161"/>
        <v>1.027836856048211E-2</v>
      </c>
      <c r="BK97" s="63">
        <f t="shared" si="162"/>
        <v>7.9747479130610921E-2</v>
      </c>
      <c r="BL97" s="63">
        <f t="shared" si="163"/>
        <v>3.6083160033844823</v>
      </c>
      <c r="BQ97" s="77"/>
      <c r="BR97" s="78"/>
    </row>
    <row r="98" spans="3:70" x14ac:dyDescent="0.25">
      <c r="C98" s="61">
        <v>86</v>
      </c>
      <c r="D98" s="61">
        <f t="shared" si="103"/>
        <v>105</v>
      </c>
      <c r="E98" s="61">
        <f t="shared" si="104"/>
        <v>105</v>
      </c>
      <c r="F98" s="61">
        <f t="shared" si="105"/>
        <v>105</v>
      </c>
      <c r="G98" s="73">
        <f t="shared" si="106"/>
        <v>24</v>
      </c>
      <c r="H98" s="64">
        <f t="shared" si="107"/>
        <v>1</v>
      </c>
      <c r="I98" s="63">
        <f t="shared" si="144"/>
        <v>8.6</v>
      </c>
      <c r="J98" s="65">
        <f t="shared" si="108"/>
        <v>8.6117892021752077E-4</v>
      </c>
      <c r="K98" s="65">
        <f t="shared" si="109"/>
        <v>8.6117892021752077E-4</v>
      </c>
      <c r="L98" s="65">
        <f t="shared" si="110"/>
        <v>5.1791610661465239E-3</v>
      </c>
      <c r="M98" s="65">
        <f t="shared" si="111"/>
        <v>5.0000000000000001E-3</v>
      </c>
      <c r="N98" s="63">
        <f t="shared" si="112"/>
        <v>0.17062278849511378</v>
      </c>
      <c r="O98" s="64">
        <f t="shared" si="113"/>
        <v>2.1880196221522894</v>
      </c>
      <c r="P98" s="64">
        <f t="shared" si="114"/>
        <v>9.6940098110761443</v>
      </c>
      <c r="Q98" s="64">
        <f t="shared" si="115"/>
        <v>7.5059901889238549</v>
      </c>
      <c r="R98" s="64">
        <f t="shared" si="116"/>
        <v>0</v>
      </c>
      <c r="S98" s="64">
        <f t="shared" si="117"/>
        <v>8.6231637169260722</v>
      </c>
      <c r="T98" s="63">
        <f t="shared" si="145"/>
        <v>0.38511699165000324</v>
      </c>
      <c r="U98" s="63">
        <f t="shared" si="118"/>
        <v>1</v>
      </c>
      <c r="V98" s="63">
        <f t="shared" si="146"/>
        <v>1.3851169916500032</v>
      </c>
      <c r="W98" s="64">
        <f t="shared" si="147"/>
        <v>0.63162685892090376</v>
      </c>
      <c r="X98" s="63">
        <f t="shared" si="119"/>
        <v>7.9790497782057448E-2</v>
      </c>
      <c r="Y98" s="63">
        <f t="shared" si="148"/>
        <v>7.9790497782057448E-2</v>
      </c>
      <c r="Z98" s="64">
        <f t="shared" si="120"/>
        <v>3.2438532471415296</v>
      </c>
      <c r="AA98" s="74">
        <f t="shared" si="121"/>
        <v>1.0522583888990645E-2</v>
      </c>
      <c r="AB98" s="75">
        <f t="shared" si="149"/>
        <v>1.0522583888990645E-2</v>
      </c>
      <c r="AC98" s="63">
        <f t="shared" si="122"/>
        <v>3.5619281047255225</v>
      </c>
      <c r="AD98" s="63">
        <f t="shared" si="150"/>
        <v>1.0926062719973661E-2</v>
      </c>
      <c r="AE98" s="63">
        <f t="shared" si="123"/>
        <v>1.446158883056034E-2</v>
      </c>
      <c r="AF98" s="63">
        <f t="shared" si="124"/>
        <v>0.76190174450237946</v>
      </c>
      <c r="AG98" s="63">
        <f t="shared" si="125"/>
        <v>4.0608000000000005E-2</v>
      </c>
      <c r="AH98" s="63">
        <f t="shared" si="126"/>
        <v>0</v>
      </c>
      <c r="AI98" s="63">
        <f t="shared" si="151"/>
        <v>0.22378064516129031</v>
      </c>
      <c r="AJ98" s="63">
        <f t="shared" si="152"/>
        <v>1.0407519784942301</v>
      </c>
      <c r="AK98" s="63">
        <f t="shared" si="127"/>
        <v>7.8531280815784932</v>
      </c>
      <c r="AL98" s="63">
        <f t="shared" si="128"/>
        <v>5.3110299692932003E-2</v>
      </c>
      <c r="AM98" s="63">
        <f t="shared" si="129"/>
        <v>7.1041305805057436E-2</v>
      </c>
      <c r="AN98" s="63">
        <f t="shared" si="130"/>
        <v>0.18990252311035372</v>
      </c>
      <c r="AO98" s="63">
        <f t="shared" si="131"/>
        <v>1054.9085158780149</v>
      </c>
      <c r="AP98" s="63">
        <f t="shared" si="153"/>
        <v>0.18990252311035372</v>
      </c>
      <c r="AQ98" s="61">
        <f t="shared" si="132"/>
        <v>0.46248</v>
      </c>
      <c r="AR98" s="61">
        <f t="shared" si="133"/>
        <v>50128320000</v>
      </c>
      <c r="AS98" s="61">
        <f t="shared" si="154"/>
        <v>0.46248</v>
      </c>
      <c r="AT98" s="61">
        <f t="shared" si="155"/>
        <v>0.23869935483870966</v>
      </c>
      <c r="AU98" s="63">
        <f t="shared" si="156"/>
        <v>0.49964318375412076</v>
      </c>
      <c r="AV98" s="63">
        <f t="shared" si="134"/>
        <v>0.3717947624445514</v>
      </c>
      <c r="AW98" s="63">
        <f t="shared" si="135"/>
        <v>2.9760000000000003E-3</v>
      </c>
      <c r="AX98" s="63">
        <f t="shared" si="136"/>
        <v>0.24815999999999999</v>
      </c>
      <c r="AY98" s="63">
        <f t="shared" si="137"/>
        <v>0.25113599999999997</v>
      </c>
      <c r="AZ98" s="63">
        <f t="shared" si="138"/>
        <v>3.6387559980139534</v>
      </c>
      <c r="BA98" s="64">
        <f t="shared" si="139"/>
        <v>34.4</v>
      </c>
      <c r="BB98" s="76">
        <f t="shared" si="157"/>
        <v>0.90434082549376904</v>
      </c>
      <c r="BC98" s="64">
        <f t="shared" si="158"/>
        <v>90.43408254937691</v>
      </c>
      <c r="BD98" s="63">
        <f t="shared" si="140"/>
        <v>1.3851169916500032</v>
      </c>
      <c r="BE98" s="63">
        <f t="shared" si="159"/>
        <v>1.5403951622483509</v>
      </c>
      <c r="BF98" s="63">
        <f t="shared" si="141"/>
        <v>1.0407519784942301</v>
      </c>
      <c r="BG98" s="63">
        <f t="shared" si="142"/>
        <v>0.49964318375412076</v>
      </c>
      <c r="BH98" s="63">
        <f t="shared" si="143"/>
        <v>0.3717947624445514</v>
      </c>
      <c r="BI98" s="63">
        <f t="shared" si="160"/>
        <v>0.25113599999999997</v>
      </c>
      <c r="BJ98" s="63">
        <f t="shared" si="161"/>
        <v>1.0522583888990645E-2</v>
      </c>
      <c r="BK98" s="63">
        <f t="shared" si="162"/>
        <v>7.9790497782057448E-2</v>
      </c>
      <c r="BL98" s="63">
        <f t="shared" si="163"/>
        <v>3.6387559980139534</v>
      </c>
      <c r="BQ98" s="77"/>
      <c r="BR98" s="78"/>
    </row>
    <row r="99" spans="3:70" x14ac:dyDescent="0.25">
      <c r="C99" s="61">
        <v>87</v>
      </c>
      <c r="D99" s="61">
        <f t="shared" si="103"/>
        <v>105</v>
      </c>
      <c r="E99" s="61">
        <f t="shared" si="104"/>
        <v>105</v>
      </c>
      <c r="F99" s="61">
        <f t="shared" si="105"/>
        <v>105</v>
      </c>
      <c r="G99" s="73">
        <f t="shared" si="106"/>
        <v>24</v>
      </c>
      <c r="H99" s="64">
        <f t="shared" si="107"/>
        <v>1</v>
      </c>
      <c r="I99" s="63">
        <f t="shared" si="144"/>
        <v>8.6999999999999993</v>
      </c>
      <c r="J99" s="65">
        <f t="shared" si="108"/>
        <v>8.6117892021752077E-4</v>
      </c>
      <c r="K99" s="65">
        <f t="shared" si="109"/>
        <v>8.6117892021752077E-4</v>
      </c>
      <c r="L99" s="65">
        <f t="shared" si="110"/>
        <v>5.1791610661465239E-3</v>
      </c>
      <c r="M99" s="65">
        <f t="shared" si="111"/>
        <v>5.0000000000000001E-3</v>
      </c>
      <c r="N99" s="63">
        <f t="shared" si="112"/>
        <v>0.17066878991172363</v>
      </c>
      <c r="O99" s="64">
        <f t="shared" si="113"/>
        <v>2.1886095316425567</v>
      </c>
      <c r="P99" s="64">
        <f t="shared" si="114"/>
        <v>9.794304765821277</v>
      </c>
      <c r="Q99" s="64">
        <f t="shared" si="115"/>
        <v>7.6056952341787207</v>
      </c>
      <c r="R99" s="64">
        <f t="shared" si="116"/>
        <v>0</v>
      </c>
      <c r="S99" s="64">
        <f t="shared" si="117"/>
        <v>8.7229105028176441</v>
      </c>
      <c r="T99" s="63">
        <f t="shared" si="145"/>
        <v>0.3940780545974456</v>
      </c>
      <c r="U99" s="63">
        <f t="shared" si="118"/>
        <v>1</v>
      </c>
      <c r="V99" s="63">
        <f t="shared" si="146"/>
        <v>1.3940780545974456</v>
      </c>
      <c r="W99" s="64">
        <f t="shared" si="147"/>
        <v>0.63179715112240542</v>
      </c>
      <c r="X99" s="63">
        <f t="shared" si="119"/>
        <v>7.9833528033277534E-2</v>
      </c>
      <c r="Y99" s="63">
        <f t="shared" si="148"/>
        <v>7.9833528033277534E-2</v>
      </c>
      <c r="Z99" s="64">
        <f t="shared" si="120"/>
        <v>3.2817271948711313</v>
      </c>
      <c r="AA99" s="74">
        <f t="shared" si="121"/>
        <v>1.0769733381556745E-2</v>
      </c>
      <c r="AB99" s="75">
        <f t="shared" si="149"/>
        <v>1.0769733381556745E-2</v>
      </c>
      <c r="AC99" s="63">
        <f t="shared" si="122"/>
        <v>3.6036157073885491</v>
      </c>
      <c r="AD99" s="63">
        <f t="shared" si="150"/>
        <v>1.1183309215593617E-2</v>
      </c>
      <c r="AE99" s="63">
        <f t="shared" si="123"/>
        <v>1.4803023769033025E-2</v>
      </c>
      <c r="AF99" s="63">
        <f t="shared" si="124"/>
        <v>0.77040243633147565</v>
      </c>
      <c r="AG99" s="63">
        <f t="shared" si="125"/>
        <v>4.0608000000000005E-2</v>
      </c>
      <c r="AH99" s="63">
        <f t="shared" si="126"/>
        <v>0</v>
      </c>
      <c r="AI99" s="63">
        <f t="shared" si="151"/>
        <v>0.22378064516129031</v>
      </c>
      <c r="AJ99" s="63">
        <f t="shared" si="152"/>
        <v>1.049594105261799</v>
      </c>
      <c r="AK99" s="63">
        <f t="shared" si="127"/>
        <v>7.9437473193467634</v>
      </c>
      <c r="AL99" s="63">
        <f t="shared" si="128"/>
        <v>5.4343078013014773E-2</v>
      </c>
      <c r="AM99" s="63">
        <f t="shared" si="129"/>
        <v>7.2712819708807025E-2</v>
      </c>
      <c r="AN99" s="63">
        <f t="shared" si="130"/>
        <v>0.19215741408051201</v>
      </c>
      <c r="AO99" s="63">
        <f t="shared" si="131"/>
        <v>1067.4344352172438</v>
      </c>
      <c r="AP99" s="63">
        <f t="shared" si="153"/>
        <v>0.19215741408051201</v>
      </c>
      <c r="AQ99" s="61">
        <f t="shared" si="132"/>
        <v>0.46248</v>
      </c>
      <c r="AR99" s="61">
        <f t="shared" si="133"/>
        <v>50128320000</v>
      </c>
      <c r="AS99" s="61">
        <f t="shared" si="154"/>
        <v>0.46248</v>
      </c>
      <c r="AT99" s="61">
        <f t="shared" si="155"/>
        <v>0.23869935483870966</v>
      </c>
      <c r="AU99" s="63">
        <f t="shared" si="156"/>
        <v>0.5035695886280287</v>
      </c>
      <c r="AV99" s="63">
        <f t="shared" si="134"/>
        <v>0.38044583820083183</v>
      </c>
      <c r="AW99" s="63">
        <f t="shared" si="135"/>
        <v>2.9760000000000003E-3</v>
      </c>
      <c r="AX99" s="63">
        <f t="shared" si="136"/>
        <v>0.24815999999999999</v>
      </c>
      <c r="AY99" s="63">
        <f t="shared" si="137"/>
        <v>0.25113599999999997</v>
      </c>
      <c r="AZ99" s="63">
        <f t="shared" si="138"/>
        <v>3.6694268481029391</v>
      </c>
      <c r="BA99" s="64">
        <f t="shared" si="139"/>
        <v>34.799999999999997</v>
      </c>
      <c r="BB99" s="76">
        <f t="shared" si="157"/>
        <v>0.90461446533654588</v>
      </c>
      <c r="BC99" s="64">
        <f t="shared" si="158"/>
        <v>90.461446533654595</v>
      </c>
      <c r="BD99" s="63">
        <f t="shared" si="140"/>
        <v>1.3940780545974456</v>
      </c>
      <c r="BE99" s="63">
        <f t="shared" si="159"/>
        <v>1.5531636938898277</v>
      </c>
      <c r="BF99" s="63">
        <f t="shared" si="141"/>
        <v>1.049594105261799</v>
      </c>
      <c r="BG99" s="63">
        <f t="shared" si="142"/>
        <v>0.5035695886280287</v>
      </c>
      <c r="BH99" s="63">
        <f t="shared" si="143"/>
        <v>0.38044583820083183</v>
      </c>
      <c r="BI99" s="63">
        <f t="shared" si="160"/>
        <v>0.25113599999999997</v>
      </c>
      <c r="BJ99" s="63">
        <f t="shared" si="161"/>
        <v>1.0769733381556745E-2</v>
      </c>
      <c r="BK99" s="63">
        <f t="shared" si="162"/>
        <v>7.9833528033277534E-2</v>
      </c>
      <c r="BL99" s="63">
        <f t="shared" si="163"/>
        <v>3.6694268481029386</v>
      </c>
      <c r="BQ99" s="77"/>
      <c r="BR99" s="78"/>
    </row>
    <row r="100" spans="3:70" x14ac:dyDescent="0.25">
      <c r="C100" s="61">
        <v>88</v>
      </c>
      <c r="D100" s="61">
        <f t="shared" si="103"/>
        <v>105</v>
      </c>
      <c r="E100" s="61">
        <f t="shared" si="104"/>
        <v>105</v>
      </c>
      <c r="F100" s="61">
        <f t="shared" si="105"/>
        <v>105</v>
      </c>
      <c r="G100" s="73">
        <f t="shared" si="106"/>
        <v>24</v>
      </c>
      <c r="H100" s="64">
        <f t="shared" si="107"/>
        <v>1</v>
      </c>
      <c r="I100" s="63">
        <f t="shared" si="144"/>
        <v>8.8000000000000007</v>
      </c>
      <c r="J100" s="65">
        <f t="shared" si="108"/>
        <v>8.6117892021752077E-4</v>
      </c>
      <c r="K100" s="65">
        <f t="shared" si="109"/>
        <v>8.6117892021752077E-4</v>
      </c>
      <c r="L100" s="65">
        <f t="shared" si="110"/>
        <v>5.1791610661465239E-3</v>
      </c>
      <c r="M100" s="65">
        <f t="shared" si="111"/>
        <v>5.0000000000000001E-3</v>
      </c>
      <c r="N100" s="63">
        <f t="shared" si="112"/>
        <v>0.17071479132833348</v>
      </c>
      <c r="O100" s="64">
        <f t="shared" si="113"/>
        <v>2.1891994411328239</v>
      </c>
      <c r="P100" s="64">
        <f t="shared" si="114"/>
        <v>9.8945997205664131</v>
      </c>
      <c r="Q100" s="64">
        <f t="shared" si="115"/>
        <v>7.7054002794335883</v>
      </c>
      <c r="R100" s="64">
        <f t="shared" si="116"/>
        <v>0</v>
      </c>
      <c r="S100" s="64">
        <f t="shared" si="117"/>
        <v>8.8226630248140712</v>
      </c>
      <c r="T100" s="63">
        <f t="shared" si="145"/>
        <v>0.40314270106659661</v>
      </c>
      <c r="U100" s="63">
        <f t="shared" si="118"/>
        <v>1</v>
      </c>
      <c r="V100" s="63">
        <f t="shared" si="146"/>
        <v>1.4031427010665967</v>
      </c>
      <c r="W100" s="64">
        <f t="shared" si="147"/>
        <v>0.63196744332390709</v>
      </c>
      <c r="X100" s="63">
        <f t="shared" si="119"/>
        <v>7.9876569884271151E-2</v>
      </c>
      <c r="Y100" s="63">
        <f t="shared" si="148"/>
        <v>7.9876569884271151E-2</v>
      </c>
      <c r="Z100" s="64">
        <f t="shared" si="120"/>
        <v>3.3196112474669008</v>
      </c>
      <c r="AA100" s="74">
        <f t="shared" si="121"/>
        <v>1.1019818834308755E-2</v>
      </c>
      <c r="AB100" s="75">
        <f t="shared" si="149"/>
        <v>1.1019818834308755E-2</v>
      </c>
      <c r="AC100" s="63">
        <f t="shared" si="122"/>
        <v>3.6453167215298632</v>
      </c>
      <c r="AD100" s="63">
        <f t="shared" si="150"/>
        <v>1.144363312583818E-2</v>
      </c>
      <c r="AE100" s="63">
        <f t="shared" si="123"/>
        <v>1.5148587736453173E-2</v>
      </c>
      <c r="AF100" s="63">
        <f t="shared" si="124"/>
        <v>0.77890312816057206</v>
      </c>
      <c r="AG100" s="63">
        <f t="shared" si="125"/>
        <v>4.0608000000000005E-2</v>
      </c>
      <c r="AH100" s="63">
        <f t="shared" si="126"/>
        <v>0</v>
      </c>
      <c r="AI100" s="63">
        <f t="shared" si="151"/>
        <v>0.22378064516129031</v>
      </c>
      <c r="AJ100" s="63">
        <f t="shared" si="152"/>
        <v>1.0584403610583155</v>
      </c>
      <c r="AK100" s="63">
        <f t="shared" si="127"/>
        <v>8.0343667360381392</v>
      </c>
      <c r="AL100" s="63">
        <f t="shared" si="128"/>
        <v>5.5590002546824724E-2</v>
      </c>
      <c r="AM100" s="63">
        <f t="shared" si="129"/>
        <v>7.4404568600998824E-2</v>
      </c>
      <c r="AN100" s="63">
        <f t="shared" si="130"/>
        <v>0.19441230505067034</v>
      </c>
      <c r="AO100" s="63">
        <f t="shared" si="131"/>
        <v>1079.9603545564737</v>
      </c>
      <c r="AP100" s="63">
        <f t="shared" si="153"/>
        <v>0.19441230505067034</v>
      </c>
      <c r="AQ100" s="61">
        <f t="shared" si="132"/>
        <v>0.46248</v>
      </c>
      <c r="AR100" s="61">
        <f t="shared" si="133"/>
        <v>50128320000</v>
      </c>
      <c r="AS100" s="61">
        <f t="shared" si="154"/>
        <v>0.46248</v>
      </c>
      <c r="AT100" s="61">
        <f t="shared" si="155"/>
        <v>0.23869935483870966</v>
      </c>
      <c r="AU100" s="63">
        <f t="shared" si="156"/>
        <v>0.50751622849037881</v>
      </c>
      <c r="AV100" s="63">
        <f t="shared" si="134"/>
        <v>0.38919691424710684</v>
      </c>
      <c r="AW100" s="63">
        <f t="shared" si="135"/>
        <v>2.9760000000000003E-3</v>
      </c>
      <c r="AX100" s="63">
        <f t="shared" si="136"/>
        <v>0.24815999999999999</v>
      </c>
      <c r="AY100" s="63">
        <f t="shared" si="137"/>
        <v>0.25113599999999997</v>
      </c>
      <c r="AZ100" s="63">
        <f t="shared" si="138"/>
        <v>3.700328593580978</v>
      </c>
      <c r="BA100" s="64">
        <f t="shared" si="139"/>
        <v>35.200000000000003</v>
      </c>
      <c r="BB100" s="76">
        <f t="shared" si="157"/>
        <v>0.90487667514994785</v>
      </c>
      <c r="BC100" s="64">
        <f t="shared" si="158"/>
        <v>90.487667514994783</v>
      </c>
      <c r="BD100" s="63">
        <f t="shared" si="140"/>
        <v>1.4031427010665967</v>
      </c>
      <c r="BE100" s="63">
        <f t="shared" si="159"/>
        <v>1.5659565895486942</v>
      </c>
      <c r="BF100" s="63">
        <f t="shared" si="141"/>
        <v>1.0584403610583155</v>
      </c>
      <c r="BG100" s="63">
        <f t="shared" si="142"/>
        <v>0.50751622849037881</v>
      </c>
      <c r="BH100" s="63">
        <f t="shared" si="143"/>
        <v>0.38919691424710684</v>
      </c>
      <c r="BI100" s="63">
        <f t="shared" si="160"/>
        <v>0.25113599999999997</v>
      </c>
      <c r="BJ100" s="63">
        <f t="shared" si="161"/>
        <v>1.1019818834308755E-2</v>
      </c>
      <c r="BK100" s="63">
        <f t="shared" si="162"/>
        <v>7.9876569884271151E-2</v>
      </c>
      <c r="BL100" s="63">
        <f t="shared" si="163"/>
        <v>3.700328593580978</v>
      </c>
      <c r="BQ100" s="77"/>
      <c r="BR100" s="78"/>
    </row>
    <row r="101" spans="3:70" x14ac:dyDescent="0.25">
      <c r="C101" s="61">
        <v>89</v>
      </c>
      <c r="D101" s="61">
        <f t="shared" si="103"/>
        <v>105</v>
      </c>
      <c r="E101" s="61">
        <f t="shared" si="104"/>
        <v>105</v>
      </c>
      <c r="F101" s="61">
        <f t="shared" si="105"/>
        <v>105</v>
      </c>
      <c r="G101" s="73">
        <f t="shared" si="106"/>
        <v>24</v>
      </c>
      <c r="H101" s="64">
        <f t="shared" si="107"/>
        <v>1</v>
      </c>
      <c r="I101" s="63">
        <f t="shared" si="144"/>
        <v>8.9</v>
      </c>
      <c r="J101" s="65">
        <f t="shared" si="108"/>
        <v>8.6117892021752077E-4</v>
      </c>
      <c r="K101" s="65">
        <f t="shared" si="109"/>
        <v>8.6117892021752077E-4</v>
      </c>
      <c r="L101" s="65">
        <f t="shared" si="110"/>
        <v>5.1791610661465239E-3</v>
      </c>
      <c r="M101" s="65">
        <f t="shared" si="111"/>
        <v>5.0000000000000001E-3</v>
      </c>
      <c r="N101" s="63">
        <f t="shared" si="112"/>
        <v>0.17076079274494335</v>
      </c>
      <c r="O101" s="64">
        <f t="shared" si="113"/>
        <v>2.1897893506230917</v>
      </c>
      <c r="P101" s="64">
        <f t="shared" si="114"/>
        <v>9.9948946753115457</v>
      </c>
      <c r="Q101" s="64">
        <f t="shared" si="115"/>
        <v>7.805105324688455</v>
      </c>
      <c r="R101" s="64">
        <f t="shared" si="116"/>
        <v>0</v>
      </c>
      <c r="S101" s="64">
        <f t="shared" si="117"/>
        <v>8.9224210905266741</v>
      </c>
      <c r="T101" s="63">
        <f t="shared" si="145"/>
        <v>0.41231093105745581</v>
      </c>
      <c r="U101" s="63">
        <f t="shared" si="118"/>
        <v>1</v>
      </c>
      <c r="V101" s="63">
        <f t="shared" si="146"/>
        <v>1.4123109310574558</v>
      </c>
      <c r="W101" s="64">
        <f t="shared" si="147"/>
        <v>0.63213773552540897</v>
      </c>
      <c r="X101" s="63">
        <f t="shared" si="119"/>
        <v>7.9919623335038381E-2</v>
      </c>
      <c r="Y101" s="63">
        <f t="shared" si="148"/>
        <v>7.9919623335038381E-2</v>
      </c>
      <c r="Z101" s="64">
        <f t="shared" si="120"/>
        <v>3.3575053302812674</v>
      </c>
      <c r="AA101" s="74">
        <f t="shared" si="121"/>
        <v>1.1272842042867123E-2</v>
      </c>
      <c r="AB101" s="75">
        <f t="shared" si="149"/>
        <v>1.1272842042867123E-2</v>
      </c>
      <c r="AC101" s="63">
        <f t="shared" si="122"/>
        <v>3.687031066387942</v>
      </c>
      <c r="AD101" s="63">
        <f t="shared" si="150"/>
        <v>1.1707036827641243E-2</v>
      </c>
      <c r="AE101" s="63">
        <f t="shared" si="123"/>
        <v>1.5498285484220851E-2</v>
      </c>
      <c r="AF101" s="63">
        <f t="shared" si="124"/>
        <v>0.78740381998966824</v>
      </c>
      <c r="AG101" s="63">
        <f t="shared" si="125"/>
        <v>4.0608000000000005E-2</v>
      </c>
      <c r="AH101" s="63">
        <f t="shared" si="126"/>
        <v>0</v>
      </c>
      <c r="AI101" s="63">
        <f t="shared" si="151"/>
        <v>0.22378064516129031</v>
      </c>
      <c r="AJ101" s="63">
        <f t="shared" si="152"/>
        <v>1.0672907506351794</v>
      </c>
      <c r="AK101" s="63">
        <f t="shared" si="127"/>
        <v>8.124986155813767</v>
      </c>
      <c r="AL101" s="63">
        <f t="shared" si="128"/>
        <v>5.6851070917427859E-2</v>
      </c>
      <c r="AM101" s="63">
        <f t="shared" si="129"/>
        <v>7.6116586354312524E-2</v>
      </c>
      <c r="AN101" s="63">
        <f t="shared" si="130"/>
        <v>0.19666719602082861</v>
      </c>
      <c r="AO101" s="63">
        <f t="shared" si="131"/>
        <v>1092.4862738957031</v>
      </c>
      <c r="AP101" s="63">
        <f t="shared" si="153"/>
        <v>0.19666719602082861</v>
      </c>
      <c r="AQ101" s="61">
        <f t="shared" si="132"/>
        <v>0.46248</v>
      </c>
      <c r="AR101" s="61">
        <f t="shared" si="133"/>
        <v>50128320000</v>
      </c>
      <c r="AS101" s="61">
        <f t="shared" si="154"/>
        <v>0.46248</v>
      </c>
      <c r="AT101" s="61">
        <f t="shared" si="155"/>
        <v>0.23869935483870966</v>
      </c>
      <c r="AU101" s="63">
        <f t="shared" si="156"/>
        <v>0.51148313721385075</v>
      </c>
      <c r="AV101" s="63">
        <f t="shared" si="134"/>
        <v>0.39804799058337603</v>
      </c>
      <c r="AW101" s="63">
        <f t="shared" si="135"/>
        <v>2.9760000000000003E-3</v>
      </c>
      <c r="AX101" s="63">
        <f t="shared" si="136"/>
        <v>0.24815999999999999</v>
      </c>
      <c r="AY101" s="63">
        <f t="shared" si="137"/>
        <v>0.25113599999999997</v>
      </c>
      <c r="AZ101" s="63">
        <f t="shared" si="138"/>
        <v>3.7314612748677671</v>
      </c>
      <c r="BA101" s="64">
        <f t="shared" si="139"/>
        <v>35.6</v>
      </c>
      <c r="BB101" s="76">
        <f t="shared" si="157"/>
        <v>0.90512782505611811</v>
      </c>
      <c r="BC101" s="64">
        <f t="shared" si="158"/>
        <v>90.51278250561181</v>
      </c>
      <c r="BD101" s="63">
        <f t="shared" si="140"/>
        <v>1.4123109310574558</v>
      </c>
      <c r="BE101" s="63">
        <f t="shared" si="159"/>
        <v>1.5787738878490303</v>
      </c>
      <c r="BF101" s="63">
        <f t="shared" si="141"/>
        <v>1.0672907506351794</v>
      </c>
      <c r="BG101" s="63">
        <f t="shared" si="142"/>
        <v>0.51148313721385075</v>
      </c>
      <c r="BH101" s="63">
        <f t="shared" si="143"/>
        <v>0.39804799058337603</v>
      </c>
      <c r="BI101" s="63">
        <f t="shared" si="160"/>
        <v>0.25113599999999997</v>
      </c>
      <c r="BJ101" s="63">
        <f t="shared" si="161"/>
        <v>1.1272842042867123E-2</v>
      </c>
      <c r="BK101" s="63">
        <f t="shared" si="162"/>
        <v>7.9919623335038381E-2</v>
      </c>
      <c r="BL101" s="63">
        <f t="shared" si="163"/>
        <v>3.7314612748677671</v>
      </c>
      <c r="BQ101" s="77"/>
      <c r="BR101" s="78"/>
    </row>
    <row r="102" spans="3:70" x14ac:dyDescent="0.25">
      <c r="C102" s="61">
        <v>90</v>
      </c>
      <c r="D102" s="61">
        <f t="shared" si="103"/>
        <v>105</v>
      </c>
      <c r="E102" s="61">
        <f t="shared" si="104"/>
        <v>105</v>
      </c>
      <c r="F102" s="61">
        <f t="shared" si="105"/>
        <v>105</v>
      </c>
      <c r="G102" s="73">
        <f t="shared" si="106"/>
        <v>24</v>
      </c>
      <c r="H102" s="64">
        <f t="shared" si="107"/>
        <v>1</v>
      </c>
      <c r="I102" s="63">
        <f t="shared" si="144"/>
        <v>9</v>
      </c>
      <c r="J102" s="65">
        <f t="shared" si="108"/>
        <v>8.6117892021752077E-4</v>
      </c>
      <c r="K102" s="65">
        <f t="shared" si="109"/>
        <v>8.6117892021752077E-4</v>
      </c>
      <c r="L102" s="65">
        <f t="shared" si="110"/>
        <v>5.1791610661465239E-3</v>
      </c>
      <c r="M102" s="65">
        <f t="shared" si="111"/>
        <v>5.0000000000000001E-3</v>
      </c>
      <c r="N102" s="63">
        <f t="shared" si="112"/>
        <v>0.1708067941615532</v>
      </c>
      <c r="O102" s="64">
        <f t="shared" si="113"/>
        <v>2.1903792601133594</v>
      </c>
      <c r="P102" s="64">
        <f t="shared" si="114"/>
        <v>10.09518963005668</v>
      </c>
      <c r="Q102" s="64">
        <f t="shared" si="115"/>
        <v>7.9048103699433199</v>
      </c>
      <c r="R102" s="64">
        <f t="shared" si="116"/>
        <v>0</v>
      </c>
      <c r="S102" s="64">
        <f t="shared" si="117"/>
        <v>9.0221845160652681</v>
      </c>
      <c r="T102" s="63">
        <f t="shared" si="145"/>
        <v>0.42158274457002332</v>
      </c>
      <c r="U102" s="63">
        <f t="shared" si="118"/>
        <v>1</v>
      </c>
      <c r="V102" s="63">
        <f t="shared" si="146"/>
        <v>1.4215827445700233</v>
      </c>
      <c r="W102" s="64">
        <f t="shared" si="147"/>
        <v>0.63230802772691075</v>
      </c>
      <c r="X102" s="63">
        <f t="shared" si="119"/>
        <v>7.9962688385579156E-2</v>
      </c>
      <c r="Y102" s="63">
        <f t="shared" si="148"/>
        <v>7.9962688385579156E-2</v>
      </c>
      <c r="Z102" s="64">
        <f t="shared" si="120"/>
        <v>3.3954093718349259</v>
      </c>
      <c r="AA102" s="74">
        <f t="shared" si="121"/>
        <v>1.1528804802344446E-2</v>
      </c>
      <c r="AB102" s="75">
        <f t="shared" si="149"/>
        <v>1.1528804802344446E-2</v>
      </c>
      <c r="AC102" s="63">
        <f t="shared" si="122"/>
        <v>3.7287586646716897</v>
      </c>
      <c r="AD102" s="63">
        <f t="shared" si="150"/>
        <v>1.1973522697936721E-2</v>
      </c>
      <c r="AE102" s="63">
        <f t="shared" si="123"/>
        <v>1.5852121784796652E-2</v>
      </c>
      <c r="AF102" s="63">
        <f t="shared" si="124"/>
        <v>0.79590451181876443</v>
      </c>
      <c r="AG102" s="63">
        <f t="shared" si="125"/>
        <v>4.0608000000000005E-2</v>
      </c>
      <c r="AH102" s="63">
        <f t="shared" si="126"/>
        <v>0</v>
      </c>
      <c r="AI102" s="63">
        <f t="shared" si="151"/>
        <v>0.22378064516129031</v>
      </c>
      <c r="AJ102" s="63">
        <f t="shared" si="152"/>
        <v>1.0761452787648513</v>
      </c>
      <c r="AK102" s="63">
        <f t="shared" si="127"/>
        <v>8.2156054105929197</v>
      </c>
      <c r="AL102" s="63">
        <f t="shared" si="128"/>
        <v>5.8126280747890349E-2</v>
      </c>
      <c r="AM102" s="63">
        <f t="shared" si="129"/>
        <v>7.7848907312927415E-2</v>
      </c>
      <c r="AN102" s="63">
        <f t="shared" si="130"/>
        <v>0.1989220869909869</v>
      </c>
      <c r="AO102" s="63">
        <f t="shared" si="131"/>
        <v>1105.0121932349321</v>
      </c>
      <c r="AP102" s="63">
        <f t="shared" si="153"/>
        <v>0.1989220869909869</v>
      </c>
      <c r="AQ102" s="61">
        <f t="shared" si="132"/>
        <v>0.46248</v>
      </c>
      <c r="AR102" s="61">
        <f t="shared" si="133"/>
        <v>50128320000</v>
      </c>
      <c r="AS102" s="61">
        <f t="shared" si="154"/>
        <v>0.46248</v>
      </c>
      <c r="AT102" s="61">
        <f t="shared" si="155"/>
        <v>0.23869935483870966</v>
      </c>
      <c r="AU102" s="63">
        <f t="shared" si="156"/>
        <v>0.51547034914262402</v>
      </c>
      <c r="AV102" s="63">
        <f t="shared" si="134"/>
        <v>0.40699906720963941</v>
      </c>
      <c r="AW102" s="63">
        <f t="shared" si="135"/>
        <v>2.9760000000000003E-3</v>
      </c>
      <c r="AX102" s="63">
        <f t="shared" si="136"/>
        <v>0.24815999999999999</v>
      </c>
      <c r="AY102" s="63">
        <f t="shared" si="137"/>
        <v>0.25113599999999997</v>
      </c>
      <c r="AZ102" s="63">
        <f t="shared" si="138"/>
        <v>3.7628249328750618</v>
      </c>
      <c r="BA102" s="64">
        <f t="shared" si="139"/>
        <v>36</v>
      </c>
      <c r="BB102" s="76">
        <f t="shared" si="157"/>
        <v>0.90536826950229987</v>
      </c>
      <c r="BC102" s="64">
        <f t="shared" si="158"/>
        <v>90.536826950229994</v>
      </c>
      <c r="BD102" s="63">
        <f t="shared" si="140"/>
        <v>1.4215827445700233</v>
      </c>
      <c r="BE102" s="63">
        <f t="shared" si="159"/>
        <v>1.5916156279074753</v>
      </c>
      <c r="BF102" s="63">
        <f t="shared" si="141"/>
        <v>1.0761452787648513</v>
      </c>
      <c r="BG102" s="63">
        <f t="shared" si="142"/>
        <v>0.51547034914262402</v>
      </c>
      <c r="BH102" s="63">
        <f t="shared" si="143"/>
        <v>0.40699906720963941</v>
      </c>
      <c r="BI102" s="63">
        <f t="shared" si="160"/>
        <v>0.25113599999999997</v>
      </c>
      <c r="BJ102" s="63">
        <f t="shared" si="161"/>
        <v>1.1528804802344446E-2</v>
      </c>
      <c r="BK102" s="63">
        <f t="shared" si="162"/>
        <v>7.9962688385579156E-2</v>
      </c>
      <c r="BL102" s="63">
        <f t="shared" si="163"/>
        <v>3.7628249328750618</v>
      </c>
      <c r="BQ102" s="77"/>
      <c r="BR102" s="78"/>
    </row>
    <row r="103" spans="3:70" x14ac:dyDescent="0.25">
      <c r="C103" s="61">
        <v>91</v>
      </c>
      <c r="D103" s="61">
        <f t="shared" si="103"/>
        <v>105</v>
      </c>
      <c r="E103" s="61">
        <f t="shared" si="104"/>
        <v>105</v>
      </c>
      <c r="F103" s="61">
        <f t="shared" si="105"/>
        <v>105</v>
      </c>
      <c r="G103" s="73">
        <f t="shared" si="106"/>
        <v>24</v>
      </c>
      <c r="H103" s="64">
        <f t="shared" si="107"/>
        <v>1</v>
      </c>
      <c r="I103" s="63">
        <f t="shared" si="144"/>
        <v>9.1</v>
      </c>
      <c r="J103" s="65">
        <f t="shared" si="108"/>
        <v>8.6117892021752077E-4</v>
      </c>
      <c r="K103" s="65">
        <f t="shared" si="109"/>
        <v>8.6117892021752077E-4</v>
      </c>
      <c r="L103" s="65">
        <f t="shared" si="110"/>
        <v>5.1791610661465239E-3</v>
      </c>
      <c r="M103" s="65">
        <f t="shared" si="111"/>
        <v>5.0000000000000001E-3</v>
      </c>
      <c r="N103" s="63">
        <f t="shared" si="112"/>
        <v>0.17085279557816302</v>
      </c>
      <c r="O103" s="64">
        <f t="shared" si="113"/>
        <v>2.1909691696036262</v>
      </c>
      <c r="P103" s="64">
        <f t="shared" si="114"/>
        <v>10.195484584801813</v>
      </c>
      <c r="Q103" s="64">
        <f t="shared" si="115"/>
        <v>8.0045154151981865</v>
      </c>
      <c r="R103" s="64">
        <f t="shared" si="116"/>
        <v>0</v>
      </c>
      <c r="S103" s="64">
        <f t="shared" si="117"/>
        <v>9.1219531255745583</v>
      </c>
      <c r="T103" s="63">
        <f t="shared" si="145"/>
        <v>0.43095814160429941</v>
      </c>
      <c r="U103" s="63">
        <f t="shared" si="118"/>
        <v>1</v>
      </c>
      <c r="V103" s="63">
        <f t="shared" si="146"/>
        <v>1.4309581416042993</v>
      </c>
      <c r="W103" s="64">
        <f t="shared" si="147"/>
        <v>0.63247831992841219</v>
      </c>
      <c r="X103" s="63">
        <f t="shared" si="119"/>
        <v>8.0005765035893392E-2</v>
      </c>
      <c r="Y103" s="63">
        <f t="shared" si="148"/>
        <v>8.0005765035893392E-2</v>
      </c>
      <c r="Z103" s="64">
        <f t="shared" si="120"/>
        <v>3.4333233036440745</v>
      </c>
      <c r="AA103" s="74">
        <f t="shared" si="121"/>
        <v>1.1787708907345462E-2</v>
      </c>
      <c r="AB103" s="75">
        <f t="shared" si="149"/>
        <v>1.1787708907345462E-2</v>
      </c>
      <c r="AC103" s="63">
        <f t="shared" si="122"/>
        <v>3.7704994423711877</v>
      </c>
      <c r="AD103" s="63">
        <f t="shared" si="150"/>
        <v>1.2243093113658536E-2</v>
      </c>
      <c r="AE103" s="63">
        <f t="shared" si="123"/>
        <v>1.6210101431769597E-2</v>
      </c>
      <c r="AF103" s="63">
        <f t="shared" si="124"/>
        <v>0.80440520364786072</v>
      </c>
      <c r="AG103" s="63">
        <f t="shared" si="125"/>
        <v>4.0608000000000005E-2</v>
      </c>
      <c r="AH103" s="63">
        <f t="shared" si="126"/>
        <v>0</v>
      </c>
      <c r="AI103" s="63">
        <f t="shared" si="151"/>
        <v>0.22378064516129031</v>
      </c>
      <c r="AJ103" s="63">
        <f t="shared" si="152"/>
        <v>1.0850039502409206</v>
      </c>
      <c r="AK103" s="63">
        <f t="shared" si="127"/>
        <v>8.3062243396297699</v>
      </c>
      <c r="AL103" s="63">
        <f t="shared" si="128"/>
        <v>5.941562966127828E-2</v>
      </c>
      <c r="AM103" s="63">
        <f t="shared" si="129"/>
        <v>7.960156629437154E-2</v>
      </c>
      <c r="AN103" s="63">
        <f t="shared" si="130"/>
        <v>0.2011769779611452</v>
      </c>
      <c r="AO103" s="63">
        <f t="shared" si="131"/>
        <v>1117.5381125741615</v>
      </c>
      <c r="AP103" s="63">
        <f t="shared" si="153"/>
        <v>0.2011769779611452</v>
      </c>
      <c r="AQ103" s="61">
        <f t="shared" si="132"/>
        <v>0.46248</v>
      </c>
      <c r="AR103" s="61">
        <f t="shared" si="133"/>
        <v>50128320000</v>
      </c>
      <c r="AS103" s="61">
        <f t="shared" si="154"/>
        <v>0.46248</v>
      </c>
      <c r="AT103" s="61">
        <f t="shared" si="155"/>
        <v>0.23869935483870966</v>
      </c>
      <c r="AU103" s="63">
        <f t="shared" si="156"/>
        <v>0.51947789909422637</v>
      </c>
      <c r="AV103" s="63">
        <f t="shared" si="134"/>
        <v>0.41605014412589725</v>
      </c>
      <c r="AW103" s="63">
        <f t="shared" si="135"/>
        <v>2.9760000000000003E-3</v>
      </c>
      <c r="AX103" s="63">
        <f t="shared" si="136"/>
        <v>0.24815999999999999</v>
      </c>
      <c r="AY103" s="63">
        <f t="shared" si="137"/>
        <v>0.25113599999999997</v>
      </c>
      <c r="AZ103" s="63">
        <f t="shared" si="138"/>
        <v>3.7944196090085822</v>
      </c>
      <c r="BA103" s="64">
        <f t="shared" si="139"/>
        <v>36.4</v>
      </c>
      <c r="BB103" s="76">
        <f t="shared" si="157"/>
        <v>0.90559834808118089</v>
      </c>
      <c r="BC103" s="64">
        <f t="shared" si="158"/>
        <v>90.559834808118083</v>
      </c>
      <c r="BD103" s="63">
        <f t="shared" si="140"/>
        <v>1.4309581416042993</v>
      </c>
      <c r="BE103" s="63">
        <f t="shared" si="159"/>
        <v>1.6044818493351469</v>
      </c>
      <c r="BF103" s="63">
        <f t="shared" si="141"/>
        <v>1.0850039502409206</v>
      </c>
      <c r="BG103" s="63">
        <f t="shared" si="142"/>
        <v>0.51947789909422637</v>
      </c>
      <c r="BH103" s="63">
        <f t="shared" si="143"/>
        <v>0.41605014412589725</v>
      </c>
      <c r="BI103" s="63">
        <f t="shared" si="160"/>
        <v>0.25113599999999997</v>
      </c>
      <c r="BJ103" s="63">
        <f t="shared" si="161"/>
        <v>1.1787708907345462E-2</v>
      </c>
      <c r="BK103" s="63">
        <f t="shared" si="162"/>
        <v>8.0005765035893392E-2</v>
      </c>
      <c r="BL103" s="63">
        <f t="shared" si="163"/>
        <v>3.7944196090085818</v>
      </c>
      <c r="BQ103" s="77"/>
      <c r="BR103" s="78"/>
    </row>
    <row r="104" spans="3:70" x14ac:dyDescent="0.25">
      <c r="C104" s="61">
        <v>92</v>
      </c>
      <c r="D104" s="61">
        <f t="shared" si="103"/>
        <v>105</v>
      </c>
      <c r="E104" s="61">
        <f t="shared" si="104"/>
        <v>105</v>
      </c>
      <c r="F104" s="61">
        <f t="shared" si="105"/>
        <v>105</v>
      </c>
      <c r="G104" s="73">
        <f t="shared" si="106"/>
        <v>24</v>
      </c>
      <c r="H104" s="64">
        <f t="shared" si="107"/>
        <v>1</v>
      </c>
      <c r="I104" s="63">
        <f t="shared" si="144"/>
        <v>9.1999999999999993</v>
      </c>
      <c r="J104" s="65">
        <f t="shared" si="108"/>
        <v>8.6117892021752077E-4</v>
      </c>
      <c r="K104" s="65">
        <f t="shared" si="109"/>
        <v>8.6117892021752077E-4</v>
      </c>
      <c r="L104" s="65">
        <f t="shared" si="110"/>
        <v>5.1791610661465239E-3</v>
      </c>
      <c r="M104" s="65">
        <f t="shared" si="111"/>
        <v>5.0000000000000001E-3</v>
      </c>
      <c r="N104" s="63">
        <f t="shared" si="112"/>
        <v>0.17089879699477287</v>
      </c>
      <c r="O104" s="64">
        <f t="shared" si="113"/>
        <v>2.1915590790938935</v>
      </c>
      <c r="P104" s="64">
        <f t="shared" si="114"/>
        <v>10.295779539546945</v>
      </c>
      <c r="Q104" s="64">
        <f t="shared" si="115"/>
        <v>8.1042204604530532</v>
      </c>
      <c r="R104" s="64">
        <f t="shared" si="116"/>
        <v>0</v>
      </c>
      <c r="S104" s="64">
        <f t="shared" si="117"/>
        <v>9.221726750800519</v>
      </c>
      <c r="T104" s="63">
        <f t="shared" si="145"/>
        <v>0.44043712216028386</v>
      </c>
      <c r="U104" s="63">
        <f t="shared" si="118"/>
        <v>1</v>
      </c>
      <c r="V104" s="63">
        <f t="shared" si="146"/>
        <v>1.4404371221602839</v>
      </c>
      <c r="W104" s="64">
        <f t="shared" si="147"/>
        <v>0.63264861212991386</v>
      </c>
      <c r="X104" s="63">
        <f t="shared" si="119"/>
        <v>8.0048853285981242E-2</v>
      </c>
      <c r="Y104" s="63">
        <f t="shared" si="148"/>
        <v>8.0048853285981242E-2</v>
      </c>
      <c r="Z104" s="64">
        <f t="shared" si="120"/>
        <v>3.4712470600588219</v>
      </c>
      <c r="AA104" s="74">
        <f t="shared" si="121"/>
        <v>1.2049556151967015E-2</v>
      </c>
      <c r="AB104" s="75">
        <f t="shared" si="149"/>
        <v>1.2049556151967015E-2</v>
      </c>
      <c r="AC104" s="63">
        <f t="shared" si="122"/>
        <v>3.8122533285806832</v>
      </c>
      <c r="AD104" s="63">
        <f t="shared" si="150"/>
        <v>1.2515750451740587E-2</v>
      </c>
      <c r="AE104" s="63">
        <f t="shared" si="123"/>
        <v>1.6572229239925369E-2</v>
      </c>
      <c r="AF104" s="63">
        <f t="shared" si="124"/>
        <v>0.81290589547695691</v>
      </c>
      <c r="AG104" s="63">
        <f t="shared" si="125"/>
        <v>4.0608000000000005E-2</v>
      </c>
      <c r="AH104" s="63">
        <f t="shared" si="126"/>
        <v>0</v>
      </c>
      <c r="AI104" s="63">
        <f t="shared" si="151"/>
        <v>0.22378064516129031</v>
      </c>
      <c r="AJ104" s="63">
        <f t="shared" si="152"/>
        <v>1.0938667698781726</v>
      </c>
      <c r="AK104" s="63">
        <f t="shared" si="127"/>
        <v>8.3968427891175494</v>
      </c>
      <c r="AL104" s="63">
        <f t="shared" si="128"/>
        <v>6.0719115280657709E-2</v>
      </c>
      <c r="AM104" s="63">
        <f t="shared" si="129"/>
        <v>8.1374598591399713E-2</v>
      </c>
      <c r="AN104" s="63">
        <f t="shared" si="130"/>
        <v>0.20343186893130349</v>
      </c>
      <c r="AO104" s="63">
        <f t="shared" si="131"/>
        <v>1130.0640319133909</v>
      </c>
      <c r="AP104" s="63">
        <f t="shared" si="153"/>
        <v>0.20343186893130349</v>
      </c>
      <c r="AQ104" s="61">
        <f t="shared" si="132"/>
        <v>0.46248</v>
      </c>
      <c r="AR104" s="61">
        <f t="shared" si="133"/>
        <v>50128320000</v>
      </c>
      <c r="AS104" s="61">
        <f t="shared" si="154"/>
        <v>0.46248</v>
      </c>
      <c r="AT104" s="61">
        <f t="shared" si="155"/>
        <v>0.23869935483870966</v>
      </c>
      <c r="AU104" s="63">
        <f t="shared" si="156"/>
        <v>0.52350582236141285</v>
      </c>
      <c r="AV104" s="63">
        <f t="shared" si="134"/>
        <v>0.42520122133214949</v>
      </c>
      <c r="AW104" s="63">
        <f t="shared" si="135"/>
        <v>2.9760000000000003E-3</v>
      </c>
      <c r="AX104" s="63">
        <f t="shared" si="136"/>
        <v>0.24815999999999999</v>
      </c>
      <c r="AY104" s="63">
        <f t="shared" si="137"/>
        <v>0.25113599999999997</v>
      </c>
      <c r="AZ104" s="63">
        <f t="shared" si="138"/>
        <v>3.8262453451699669</v>
      </c>
      <c r="BA104" s="64">
        <f t="shared" si="139"/>
        <v>36.799999999999997</v>
      </c>
      <c r="BB104" s="76">
        <f t="shared" si="157"/>
        <v>0.90581838630025246</v>
      </c>
      <c r="BC104" s="64">
        <f t="shared" si="158"/>
        <v>90.581838630025246</v>
      </c>
      <c r="BD104" s="63">
        <f t="shared" si="140"/>
        <v>1.4404371221602839</v>
      </c>
      <c r="BE104" s="63">
        <f t="shared" si="159"/>
        <v>1.6173725922395854</v>
      </c>
      <c r="BF104" s="63">
        <f t="shared" si="141"/>
        <v>1.0938667698781726</v>
      </c>
      <c r="BG104" s="63">
        <f t="shared" si="142"/>
        <v>0.52350582236141285</v>
      </c>
      <c r="BH104" s="63">
        <f t="shared" si="143"/>
        <v>0.42520122133214949</v>
      </c>
      <c r="BI104" s="63">
        <f t="shared" si="160"/>
        <v>0.25113599999999997</v>
      </c>
      <c r="BJ104" s="63">
        <f t="shared" si="161"/>
        <v>1.2049556151967015E-2</v>
      </c>
      <c r="BK104" s="63">
        <f t="shared" si="162"/>
        <v>8.0048853285981242E-2</v>
      </c>
      <c r="BL104" s="63">
        <f t="shared" si="163"/>
        <v>3.8262453451699665</v>
      </c>
      <c r="BQ104" s="77"/>
      <c r="BR104" s="78"/>
    </row>
    <row r="105" spans="3:70" x14ac:dyDescent="0.25">
      <c r="C105" s="61">
        <v>93</v>
      </c>
      <c r="D105" s="61">
        <f t="shared" si="103"/>
        <v>105</v>
      </c>
      <c r="E105" s="61">
        <f t="shared" si="104"/>
        <v>105</v>
      </c>
      <c r="F105" s="61">
        <f t="shared" si="105"/>
        <v>105</v>
      </c>
      <c r="G105" s="73">
        <f t="shared" si="106"/>
        <v>24</v>
      </c>
      <c r="H105" s="64">
        <f t="shared" si="107"/>
        <v>1</v>
      </c>
      <c r="I105" s="63">
        <f t="shared" si="144"/>
        <v>9.3000000000000007</v>
      </c>
      <c r="J105" s="65">
        <f t="shared" si="108"/>
        <v>8.6117892021752077E-4</v>
      </c>
      <c r="K105" s="65">
        <f t="shared" si="109"/>
        <v>8.6117892021752077E-4</v>
      </c>
      <c r="L105" s="65">
        <f t="shared" si="110"/>
        <v>5.1791610661465239E-3</v>
      </c>
      <c r="M105" s="65">
        <f t="shared" si="111"/>
        <v>5.0000000000000001E-3</v>
      </c>
      <c r="N105" s="63">
        <f t="shared" si="112"/>
        <v>0.17094479841138274</v>
      </c>
      <c r="O105" s="64">
        <f t="shared" si="113"/>
        <v>2.1921489885841612</v>
      </c>
      <c r="P105" s="64">
        <f t="shared" si="114"/>
        <v>10.396074494292082</v>
      </c>
      <c r="Q105" s="64">
        <f t="shared" si="115"/>
        <v>8.2039255057079199</v>
      </c>
      <c r="R105" s="64">
        <f t="shared" si="116"/>
        <v>0</v>
      </c>
      <c r="S105" s="64">
        <f t="shared" si="117"/>
        <v>9.3215052306845401</v>
      </c>
      <c r="T105" s="63">
        <f t="shared" si="145"/>
        <v>0.45001968623797695</v>
      </c>
      <c r="U105" s="63">
        <f t="shared" si="118"/>
        <v>1</v>
      </c>
      <c r="V105" s="63">
        <f t="shared" si="146"/>
        <v>1.4500196862379768</v>
      </c>
      <c r="W105" s="64">
        <f t="shared" si="147"/>
        <v>0.63281890433141574</v>
      </c>
      <c r="X105" s="63">
        <f t="shared" si="119"/>
        <v>8.0091953135842706E-2</v>
      </c>
      <c r="Y105" s="63">
        <f t="shared" si="148"/>
        <v>8.0091953135842706E-2</v>
      </c>
      <c r="Z105" s="64">
        <f t="shared" si="120"/>
        <v>3.5091805781119434</v>
      </c>
      <c r="AA105" s="74">
        <f t="shared" si="121"/>
        <v>1.2314348329798074E-2</v>
      </c>
      <c r="AB105" s="75">
        <f t="shared" si="149"/>
        <v>1.2314348329798074E-2</v>
      </c>
      <c r="AC105" s="63">
        <f t="shared" si="122"/>
        <v>3.8540202553329168</v>
      </c>
      <c r="AD105" s="63">
        <f t="shared" si="150"/>
        <v>1.2791497089116794E-2</v>
      </c>
      <c r="AE105" s="63">
        <f t="shared" si="123"/>
        <v>1.6938510045314947E-2</v>
      </c>
      <c r="AF105" s="63">
        <f t="shared" si="124"/>
        <v>0.82140658730605332</v>
      </c>
      <c r="AG105" s="63">
        <f t="shared" si="125"/>
        <v>4.0608000000000005E-2</v>
      </c>
      <c r="AH105" s="63">
        <f t="shared" si="126"/>
        <v>0</v>
      </c>
      <c r="AI105" s="63">
        <f t="shared" si="151"/>
        <v>0.22378064516129031</v>
      </c>
      <c r="AJ105" s="63">
        <f t="shared" si="152"/>
        <v>1.1027337425126587</v>
      </c>
      <c r="AK105" s="63">
        <f t="shared" si="127"/>
        <v>8.4874606118180509</v>
      </c>
      <c r="AL105" s="63">
        <f t="shared" si="128"/>
        <v>6.2036735229094787E-2</v>
      </c>
      <c r="AM105" s="63">
        <f t="shared" si="129"/>
        <v>8.3168039973900265E-2</v>
      </c>
      <c r="AN105" s="63">
        <f t="shared" si="130"/>
        <v>0.20568675990146185</v>
      </c>
      <c r="AO105" s="63">
        <f t="shared" si="131"/>
        <v>1142.5899512526203</v>
      </c>
      <c r="AP105" s="63">
        <f t="shared" si="153"/>
        <v>0.20568675990146185</v>
      </c>
      <c r="AQ105" s="61">
        <f t="shared" si="132"/>
        <v>0.46248</v>
      </c>
      <c r="AR105" s="61">
        <f t="shared" si="133"/>
        <v>50128320000</v>
      </c>
      <c r="AS105" s="61">
        <f t="shared" si="154"/>
        <v>0.46248</v>
      </c>
      <c r="AT105" s="61">
        <f t="shared" si="155"/>
        <v>0.23869935483870966</v>
      </c>
      <c r="AU105" s="63">
        <f t="shared" si="156"/>
        <v>0.52755415471407174</v>
      </c>
      <c r="AV105" s="63">
        <f t="shared" si="134"/>
        <v>0.4344522988283962</v>
      </c>
      <c r="AW105" s="63">
        <f t="shared" si="135"/>
        <v>2.9760000000000003E-3</v>
      </c>
      <c r="AX105" s="63">
        <f t="shared" si="136"/>
        <v>0.24815999999999999</v>
      </c>
      <c r="AY105" s="63">
        <f t="shared" si="137"/>
        <v>0.25113599999999997</v>
      </c>
      <c r="AZ105" s="63">
        <f t="shared" si="138"/>
        <v>3.8583021837587439</v>
      </c>
      <c r="BA105" s="64">
        <f t="shared" si="139"/>
        <v>37.200000000000003</v>
      </c>
      <c r="BB105" s="76">
        <f t="shared" si="157"/>
        <v>0.90602869630383898</v>
      </c>
      <c r="BC105" s="64">
        <f t="shared" si="158"/>
        <v>90.602869630383893</v>
      </c>
      <c r="BD105" s="63">
        <f t="shared" si="140"/>
        <v>1.4500196862379768</v>
      </c>
      <c r="BE105" s="63">
        <f t="shared" si="159"/>
        <v>1.6302878972267303</v>
      </c>
      <c r="BF105" s="63">
        <f t="shared" si="141"/>
        <v>1.1027337425126587</v>
      </c>
      <c r="BG105" s="63">
        <f t="shared" si="142"/>
        <v>0.52755415471407174</v>
      </c>
      <c r="BH105" s="63">
        <f t="shared" si="143"/>
        <v>0.4344522988283962</v>
      </c>
      <c r="BI105" s="63">
        <f t="shared" si="160"/>
        <v>0.25113599999999997</v>
      </c>
      <c r="BJ105" s="63">
        <f t="shared" si="161"/>
        <v>1.2314348329798074E-2</v>
      </c>
      <c r="BK105" s="63">
        <f t="shared" si="162"/>
        <v>8.0091953135842706E-2</v>
      </c>
      <c r="BL105" s="63">
        <f t="shared" si="163"/>
        <v>3.8583021837587439</v>
      </c>
      <c r="BQ105" s="77"/>
      <c r="BR105" s="78"/>
    </row>
    <row r="106" spans="3:70" x14ac:dyDescent="0.25">
      <c r="C106" s="61">
        <v>94</v>
      </c>
      <c r="D106" s="61">
        <f t="shared" si="103"/>
        <v>105</v>
      </c>
      <c r="E106" s="61">
        <f t="shared" si="104"/>
        <v>105</v>
      </c>
      <c r="F106" s="61">
        <f t="shared" si="105"/>
        <v>105</v>
      </c>
      <c r="G106" s="73">
        <f t="shared" si="106"/>
        <v>24</v>
      </c>
      <c r="H106" s="64">
        <f t="shared" si="107"/>
        <v>1</v>
      </c>
      <c r="I106" s="63">
        <f t="shared" si="144"/>
        <v>9.4</v>
      </c>
      <c r="J106" s="65">
        <f t="shared" si="108"/>
        <v>8.6117892021752077E-4</v>
      </c>
      <c r="K106" s="65">
        <f t="shared" si="109"/>
        <v>8.6117892021752077E-4</v>
      </c>
      <c r="L106" s="65">
        <f t="shared" si="110"/>
        <v>5.1791610661465239E-3</v>
      </c>
      <c r="M106" s="65">
        <f t="shared" si="111"/>
        <v>5.0000000000000001E-3</v>
      </c>
      <c r="N106" s="63">
        <f t="shared" si="112"/>
        <v>0.17099079982799259</v>
      </c>
      <c r="O106" s="64">
        <f t="shared" si="113"/>
        <v>2.1927388980744285</v>
      </c>
      <c r="P106" s="64">
        <f t="shared" si="114"/>
        <v>10.496369449037214</v>
      </c>
      <c r="Q106" s="64">
        <f t="shared" si="115"/>
        <v>8.3036305509627866</v>
      </c>
      <c r="R106" s="64">
        <f t="shared" si="116"/>
        <v>0</v>
      </c>
      <c r="S106" s="64">
        <f t="shared" si="117"/>
        <v>9.4212884109832551</v>
      </c>
      <c r="T106" s="63">
        <f t="shared" si="145"/>
        <v>0.45970583383737806</v>
      </c>
      <c r="U106" s="63">
        <f t="shared" si="118"/>
        <v>1</v>
      </c>
      <c r="V106" s="63">
        <f t="shared" si="146"/>
        <v>1.4597058338373781</v>
      </c>
      <c r="W106" s="64">
        <f t="shared" si="147"/>
        <v>0.63298919653291741</v>
      </c>
      <c r="X106" s="63">
        <f t="shared" si="119"/>
        <v>8.0135064585477672E-2</v>
      </c>
      <c r="Y106" s="63">
        <f t="shared" si="148"/>
        <v>8.0135064585477672E-2</v>
      </c>
      <c r="Z106" s="64">
        <f t="shared" si="120"/>
        <v>3.5471237973772123</v>
      </c>
      <c r="AA106" s="74">
        <f t="shared" si="121"/>
        <v>1.2582087233919735E-2</v>
      </c>
      <c r="AB106" s="75">
        <f t="shared" si="149"/>
        <v>1.2582087233919735E-2</v>
      </c>
      <c r="AC106" s="63">
        <f t="shared" si="122"/>
        <v>3.8958001574439258</v>
      </c>
      <c r="AD106" s="63">
        <f t="shared" si="150"/>
        <v>1.3070335402721048E-2</v>
      </c>
      <c r="AE106" s="63">
        <f t="shared" si="123"/>
        <v>1.730894870532346E-2</v>
      </c>
      <c r="AF106" s="63">
        <f t="shared" si="124"/>
        <v>0.8299072791351495</v>
      </c>
      <c r="AG106" s="63">
        <f t="shared" si="125"/>
        <v>4.0608000000000005E-2</v>
      </c>
      <c r="AH106" s="63">
        <f t="shared" si="126"/>
        <v>0</v>
      </c>
      <c r="AI106" s="63">
        <f t="shared" si="151"/>
        <v>0.22378064516129031</v>
      </c>
      <c r="AJ106" s="63">
        <f t="shared" si="152"/>
        <v>1.1116048730017634</v>
      </c>
      <c r="AK106" s="63">
        <f t="shared" si="127"/>
        <v>8.5780776667145684</v>
      </c>
      <c r="AL106" s="63">
        <f t="shared" si="128"/>
        <v>6.3368487129655482E-2</v>
      </c>
      <c r="AM106" s="63">
        <f t="shared" si="129"/>
        <v>8.4981926690830017E-2</v>
      </c>
      <c r="AN106" s="63">
        <f t="shared" si="130"/>
        <v>0.20794165087162014</v>
      </c>
      <c r="AO106" s="63">
        <f t="shared" si="131"/>
        <v>1155.1158705918497</v>
      </c>
      <c r="AP106" s="63">
        <f t="shared" si="153"/>
        <v>0.20794165087162014</v>
      </c>
      <c r="AQ106" s="61">
        <f t="shared" si="132"/>
        <v>0.46248</v>
      </c>
      <c r="AR106" s="61">
        <f t="shared" si="133"/>
        <v>50128320000</v>
      </c>
      <c r="AS106" s="61">
        <f t="shared" si="154"/>
        <v>0.46248</v>
      </c>
      <c r="AT106" s="61">
        <f t="shared" si="155"/>
        <v>0.23869935483870966</v>
      </c>
      <c r="AU106" s="63">
        <f t="shared" si="156"/>
        <v>0.53162293240115976</v>
      </c>
      <c r="AV106" s="63">
        <f t="shared" si="134"/>
        <v>0.44380337661463692</v>
      </c>
      <c r="AW106" s="63">
        <f t="shared" si="135"/>
        <v>2.9760000000000003E-3</v>
      </c>
      <c r="AX106" s="63">
        <f t="shared" si="136"/>
        <v>0.24815999999999999</v>
      </c>
      <c r="AY106" s="63">
        <f t="shared" si="137"/>
        <v>0.25113599999999997</v>
      </c>
      <c r="AZ106" s="63">
        <f t="shared" si="138"/>
        <v>3.8905901676743353</v>
      </c>
      <c r="BA106" s="64">
        <f t="shared" si="139"/>
        <v>37.6</v>
      </c>
      <c r="BB106" s="76">
        <f t="shared" si="157"/>
        <v>0.90622957755116429</v>
      </c>
      <c r="BC106" s="64">
        <f t="shared" si="158"/>
        <v>90.622957755116431</v>
      </c>
      <c r="BD106" s="63">
        <f t="shared" si="140"/>
        <v>1.4597058338373781</v>
      </c>
      <c r="BE106" s="63">
        <f t="shared" si="159"/>
        <v>1.643227805402923</v>
      </c>
      <c r="BF106" s="63">
        <f t="shared" si="141"/>
        <v>1.1116048730017634</v>
      </c>
      <c r="BG106" s="63">
        <f t="shared" si="142"/>
        <v>0.53162293240115976</v>
      </c>
      <c r="BH106" s="63">
        <f t="shared" si="143"/>
        <v>0.44380337661463692</v>
      </c>
      <c r="BI106" s="63">
        <f t="shared" si="160"/>
        <v>0.25113599999999997</v>
      </c>
      <c r="BJ106" s="63">
        <f t="shared" si="161"/>
        <v>1.2582087233919735E-2</v>
      </c>
      <c r="BK106" s="63">
        <f t="shared" si="162"/>
        <v>8.0135064585477672E-2</v>
      </c>
      <c r="BL106" s="63">
        <f t="shared" si="163"/>
        <v>3.8905901676743353</v>
      </c>
      <c r="BQ106" s="77"/>
      <c r="BR106" s="78"/>
    </row>
    <row r="107" spans="3:70" x14ac:dyDescent="0.25">
      <c r="C107" s="61">
        <v>95</v>
      </c>
      <c r="D107" s="61">
        <f t="shared" si="103"/>
        <v>105</v>
      </c>
      <c r="E107" s="61">
        <f t="shared" si="104"/>
        <v>105</v>
      </c>
      <c r="F107" s="61">
        <f t="shared" si="105"/>
        <v>105</v>
      </c>
      <c r="G107" s="73">
        <f t="shared" si="106"/>
        <v>24</v>
      </c>
      <c r="H107" s="64">
        <f t="shared" si="107"/>
        <v>1</v>
      </c>
      <c r="I107" s="63">
        <f t="shared" si="144"/>
        <v>9.5</v>
      </c>
      <c r="J107" s="65">
        <f t="shared" si="108"/>
        <v>8.6117892021752077E-4</v>
      </c>
      <c r="K107" s="65">
        <f t="shared" si="109"/>
        <v>8.6117892021752077E-4</v>
      </c>
      <c r="L107" s="65">
        <f t="shared" si="110"/>
        <v>5.1791610661465239E-3</v>
      </c>
      <c r="M107" s="65">
        <f t="shared" si="111"/>
        <v>5.0000000000000001E-3</v>
      </c>
      <c r="N107" s="63">
        <f t="shared" si="112"/>
        <v>0.17103680124460244</v>
      </c>
      <c r="O107" s="64">
        <f t="shared" si="113"/>
        <v>2.1933288075646957</v>
      </c>
      <c r="P107" s="64">
        <f t="shared" si="114"/>
        <v>10.596664403782349</v>
      </c>
      <c r="Q107" s="64">
        <f t="shared" si="115"/>
        <v>8.4033355962176515</v>
      </c>
      <c r="R107" s="64">
        <f t="shared" si="116"/>
        <v>0</v>
      </c>
      <c r="S107" s="64">
        <f t="shared" si="117"/>
        <v>9.5210761439122216</v>
      </c>
      <c r="T107" s="63">
        <f t="shared" si="145"/>
        <v>0.46949556495848765</v>
      </c>
      <c r="U107" s="63">
        <f t="shared" si="118"/>
        <v>1</v>
      </c>
      <c r="V107" s="63">
        <f t="shared" si="146"/>
        <v>1.4694955649584878</v>
      </c>
      <c r="W107" s="64">
        <f t="shared" si="147"/>
        <v>0.63315948873441907</v>
      </c>
      <c r="X107" s="63">
        <f t="shared" si="119"/>
        <v>8.0178187634886197E-2</v>
      </c>
      <c r="Y107" s="63">
        <f t="shared" si="148"/>
        <v>8.0178187634886197E-2</v>
      </c>
      <c r="Z107" s="64">
        <f t="shared" si="120"/>
        <v>3.5850766598366119</v>
      </c>
      <c r="AA107" s="74">
        <f t="shared" si="121"/>
        <v>1.2852774656905238E-2</v>
      </c>
      <c r="AB107" s="75">
        <f t="shared" si="149"/>
        <v>1.2852774656905238E-2</v>
      </c>
      <c r="AC107" s="63">
        <f t="shared" si="122"/>
        <v>3.9375929723675949</v>
      </c>
      <c r="AD107" s="63">
        <f t="shared" si="150"/>
        <v>1.3352267769487274E-2</v>
      </c>
      <c r="AE107" s="63">
        <f t="shared" si="123"/>
        <v>1.7683550098739512E-2</v>
      </c>
      <c r="AF107" s="63">
        <f t="shared" si="124"/>
        <v>0.8384079709642458</v>
      </c>
      <c r="AG107" s="63">
        <f t="shared" si="125"/>
        <v>4.0608000000000005E-2</v>
      </c>
      <c r="AH107" s="63">
        <f t="shared" si="126"/>
        <v>0</v>
      </c>
      <c r="AI107" s="63">
        <f t="shared" si="151"/>
        <v>0.22378064516129031</v>
      </c>
      <c r="AJ107" s="63">
        <f t="shared" si="152"/>
        <v>1.1204801662242756</v>
      </c>
      <c r="AK107" s="63">
        <f t="shared" si="127"/>
        <v>8.6686938186866271</v>
      </c>
      <c r="AL107" s="63">
        <f t="shared" si="128"/>
        <v>6.4714368605405997E-2</v>
      </c>
      <c r="AM107" s="63">
        <f t="shared" si="129"/>
        <v>8.6816295472179242E-2</v>
      </c>
      <c r="AN107" s="63">
        <f t="shared" si="130"/>
        <v>0.21019654184177838</v>
      </c>
      <c r="AO107" s="63">
        <f t="shared" si="131"/>
        <v>1167.6417899310788</v>
      </c>
      <c r="AP107" s="63">
        <f t="shared" si="153"/>
        <v>0.21019654184177838</v>
      </c>
      <c r="AQ107" s="61">
        <f t="shared" si="132"/>
        <v>0.46248</v>
      </c>
      <c r="AR107" s="61">
        <f t="shared" si="133"/>
        <v>50128320000</v>
      </c>
      <c r="AS107" s="61">
        <f t="shared" si="154"/>
        <v>0.46248</v>
      </c>
      <c r="AT107" s="61">
        <f t="shared" si="155"/>
        <v>0.23869935483870966</v>
      </c>
      <c r="AU107" s="63">
        <f t="shared" si="156"/>
        <v>0.5357121921526673</v>
      </c>
      <c r="AV107" s="63">
        <f t="shared" si="134"/>
        <v>0.45325445469087206</v>
      </c>
      <c r="AW107" s="63">
        <f t="shared" si="135"/>
        <v>2.9760000000000003E-3</v>
      </c>
      <c r="AX107" s="63">
        <f t="shared" si="136"/>
        <v>0.24815999999999999</v>
      </c>
      <c r="AY107" s="63">
        <f t="shared" si="137"/>
        <v>0.25113599999999997</v>
      </c>
      <c r="AZ107" s="63">
        <f t="shared" si="138"/>
        <v>3.9231093403180939</v>
      </c>
      <c r="BA107" s="64">
        <f t="shared" si="139"/>
        <v>38</v>
      </c>
      <c r="BB107" s="76">
        <f t="shared" si="157"/>
        <v>0.9064213174535416</v>
      </c>
      <c r="BC107" s="64">
        <f t="shared" si="158"/>
        <v>90.642131745354163</v>
      </c>
      <c r="BD107" s="63">
        <f t="shared" si="140"/>
        <v>1.4694955649584878</v>
      </c>
      <c r="BE107" s="63">
        <f t="shared" si="159"/>
        <v>1.6561923583769429</v>
      </c>
      <c r="BF107" s="63">
        <f t="shared" si="141"/>
        <v>1.1204801662242756</v>
      </c>
      <c r="BG107" s="63">
        <f t="shared" si="142"/>
        <v>0.5357121921526673</v>
      </c>
      <c r="BH107" s="63">
        <f t="shared" si="143"/>
        <v>0.45325445469087206</v>
      </c>
      <c r="BI107" s="63">
        <f t="shared" si="160"/>
        <v>0.25113599999999997</v>
      </c>
      <c r="BJ107" s="63">
        <f t="shared" si="161"/>
        <v>1.2852774656905238E-2</v>
      </c>
      <c r="BK107" s="63">
        <f t="shared" si="162"/>
        <v>8.0178187634886197E-2</v>
      </c>
      <c r="BL107" s="63">
        <f t="shared" si="163"/>
        <v>3.9231093403180939</v>
      </c>
      <c r="BQ107" s="77"/>
      <c r="BR107" s="78"/>
    </row>
    <row r="108" spans="3:70" x14ac:dyDescent="0.25">
      <c r="C108" s="61">
        <v>96</v>
      </c>
      <c r="D108" s="61">
        <f t="shared" si="103"/>
        <v>105</v>
      </c>
      <c r="E108" s="61">
        <f t="shared" si="104"/>
        <v>105</v>
      </c>
      <c r="F108" s="61">
        <f t="shared" si="105"/>
        <v>105</v>
      </c>
      <c r="G108" s="73">
        <f t="shared" si="106"/>
        <v>24</v>
      </c>
      <c r="H108" s="64">
        <f t="shared" si="107"/>
        <v>1</v>
      </c>
      <c r="I108" s="63">
        <f t="shared" si="144"/>
        <v>9.6</v>
      </c>
      <c r="J108" s="65">
        <f t="shared" si="108"/>
        <v>8.6117892021752077E-4</v>
      </c>
      <c r="K108" s="65">
        <f t="shared" si="109"/>
        <v>8.6117892021752077E-4</v>
      </c>
      <c r="L108" s="65">
        <f t="shared" si="110"/>
        <v>5.1791610661465239E-3</v>
      </c>
      <c r="M108" s="65">
        <f t="shared" si="111"/>
        <v>5.0000000000000001E-3</v>
      </c>
      <c r="N108" s="63">
        <f>(V.load+I108*(K108+L108+M108))/(V.supply_typ+I108*(K108-J108))</f>
        <v>0.17108280266121226</v>
      </c>
      <c r="O108" s="64">
        <f>(V.supply_typ-I.load*(J108+L108+M108)-V.load)*N108/(f.sw*L.out)</f>
        <v>2.1939187170549626</v>
      </c>
      <c r="P108" s="64">
        <f>I108+O108/2</f>
        <v>10.696959358527481</v>
      </c>
      <c r="Q108" s="64">
        <f t="shared" si="115"/>
        <v>8.5030406414725181</v>
      </c>
      <c r="R108" s="64">
        <f>IF(MIN(V.supply_typ, -Q108/(C.oss_hs+C.oss_ls)*0.00000002)&lt;0, 0, MIN(V.supply_typ, -Q108/(C.oss_hs+C.oss_ls)*0.00000002))</f>
        <v>0</v>
      </c>
      <c r="S108" s="64">
        <f t="shared" si="117"/>
        <v>9.6208682878116747</v>
      </c>
      <c r="T108" s="63">
        <f t="shared" si="145"/>
        <v>0.47938887960130583</v>
      </c>
      <c r="U108" s="63">
        <f t="shared" si="118"/>
        <v>1</v>
      </c>
      <c r="V108" s="63">
        <f t="shared" si="146"/>
        <v>1.4793888796013057</v>
      </c>
      <c r="W108" s="64">
        <f t="shared" si="147"/>
        <v>0.63332978093592052</v>
      </c>
      <c r="X108" s="63">
        <f>R.esrb*W108^2</f>
        <v>8.0221322284068225E-2</v>
      </c>
      <c r="Y108" s="63">
        <f t="shared" si="148"/>
        <v>8.0221322284068225E-2</v>
      </c>
      <c r="Z108" s="64">
        <f t="shared" si="120"/>
        <v>3.6230391097557777</v>
      </c>
      <c r="AA108" s="74">
        <f>R.esr_cin*Z108^2</f>
        <v>1.3126412390819939E-2</v>
      </c>
      <c r="AB108" s="75">
        <f t="shared" si="149"/>
        <v>1.3126412390819939E-2</v>
      </c>
      <c r="AC108" s="63">
        <f t="shared" si="122"/>
        <v>3.9793986400592058</v>
      </c>
      <c r="AD108" s="63">
        <f t="shared" si="150"/>
        <v>1.3637296566349381E-2</v>
      </c>
      <c r="AE108" s="63">
        <f>AD108*(1+TC_rdson_hs*(T.amb-25))/(1-AD108*TC_rdson_hs*theta.ja_hs)</f>
        <v>1.8062319125824726E-2</v>
      </c>
      <c r="AF108" s="63">
        <f t="shared" si="124"/>
        <v>0.84690866279334198</v>
      </c>
      <c r="AG108" s="63">
        <f t="shared" si="125"/>
        <v>4.0608000000000005E-2</v>
      </c>
      <c r="AH108" s="63">
        <f t="shared" si="126"/>
        <v>0</v>
      </c>
      <c r="AI108" s="63">
        <f t="shared" si="151"/>
        <v>0.22378064516129031</v>
      </c>
      <c r="AJ108" s="63">
        <f t="shared" si="152"/>
        <v>1.1293596270804569</v>
      </c>
      <c r="AK108" s="63">
        <f t="shared" si="127"/>
        <v>8.7593089382048444</v>
      </c>
      <c r="AL108" s="63">
        <f>K108*AK108^2</f>
        <v>6.60743772794124E-2</v>
      </c>
      <c r="AM108" s="63">
        <f>AL108*(1+TC_rdson_ls*(T.amb-25))/(1-AL108*TC_rdson_ls*theta.ja_ls)</f>
        <v>8.8671183530964731E-2</v>
      </c>
      <c r="AN108" s="63">
        <f t="shared" si="130"/>
        <v>0.21245143281193668</v>
      </c>
      <c r="AO108" s="63">
        <f t="shared" si="131"/>
        <v>1180.1677092703083</v>
      </c>
      <c r="AP108" s="63">
        <f t="shared" si="153"/>
        <v>0.21245143281193668</v>
      </c>
      <c r="AQ108" s="61">
        <f t="shared" si="132"/>
        <v>0.46248</v>
      </c>
      <c r="AR108" s="61">
        <f t="shared" si="133"/>
        <v>50128320000</v>
      </c>
      <c r="AS108" s="61">
        <f t="shared" si="154"/>
        <v>0.46248</v>
      </c>
      <c r="AT108" s="61">
        <f t="shared" si="155"/>
        <v>0.23869935483870966</v>
      </c>
      <c r="AU108" s="63">
        <f t="shared" si="156"/>
        <v>0.53982197118161102</v>
      </c>
      <c r="AV108" s="63">
        <f t="shared" si="134"/>
        <v>0.4628055330571017</v>
      </c>
      <c r="AW108" s="63">
        <f t="shared" si="135"/>
        <v>2.9760000000000003E-3</v>
      </c>
      <c r="AX108" s="63">
        <f t="shared" si="136"/>
        <v>0.24815999999999999</v>
      </c>
      <c r="AY108" s="63">
        <f>SUM(AW108:AX108)</f>
        <v>0.25113599999999997</v>
      </c>
      <c r="AZ108" s="63">
        <f>V108+Y108+AB108+AJ108+AU108+AV108+AY108</f>
        <v>3.9558597455953635</v>
      </c>
      <c r="BA108" s="64">
        <f t="shared" si="139"/>
        <v>38.4</v>
      </c>
      <c r="BB108" s="76">
        <f t="shared" si="157"/>
        <v>0.90660419197353825</v>
      </c>
      <c r="BC108" s="64">
        <f t="shared" si="158"/>
        <v>90.660419197353832</v>
      </c>
      <c r="BD108" s="63">
        <f t="shared" si="140"/>
        <v>1.4793888796013057</v>
      </c>
      <c r="BE108" s="63">
        <f t="shared" si="159"/>
        <v>1.6691815982620679</v>
      </c>
      <c r="BF108" s="63">
        <f t="shared" si="141"/>
        <v>1.1293596270804569</v>
      </c>
      <c r="BG108" s="63">
        <f t="shared" si="142"/>
        <v>0.53982197118161102</v>
      </c>
      <c r="BH108" s="63">
        <f t="shared" si="143"/>
        <v>0.4628055330571017</v>
      </c>
      <c r="BI108" s="63">
        <f t="shared" si="160"/>
        <v>0.25113599999999997</v>
      </c>
      <c r="BJ108" s="63">
        <f t="shared" si="161"/>
        <v>1.3126412390819939E-2</v>
      </c>
      <c r="BK108" s="63">
        <f t="shared" si="162"/>
        <v>8.0221322284068225E-2</v>
      </c>
      <c r="BL108" s="63">
        <f t="shared" si="163"/>
        <v>3.955859745595363</v>
      </c>
      <c r="BQ108" s="77"/>
      <c r="BR108" s="78"/>
    </row>
    <row r="109" spans="3:70" x14ac:dyDescent="0.25">
      <c r="C109" s="61">
        <v>97</v>
      </c>
      <c r="D109" s="61">
        <f t="shared" si="103"/>
        <v>105</v>
      </c>
      <c r="E109" s="61">
        <f t="shared" si="104"/>
        <v>105</v>
      </c>
      <c r="F109" s="61">
        <f t="shared" si="105"/>
        <v>105</v>
      </c>
      <c r="G109" s="73">
        <f t="shared" si="106"/>
        <v>24</v>
      </c>
      <c r="H109" s="64">
        <f t="shared" si="107"/>
        <v>1</v>
      </c>
      <c r="I109" s="63">
        <f t="shared" si="144"/>
        <v>9.6999999999999993</v>
      </c>
      <c r="J109" s="65">
        <f t="shared" si="108"/>
        <v>8.6117892021752077E-4</v>
      </c>
      <c r="K109" s="65">
        <f t="shared" si="109"/>
        <v>8.6117892021752077E-4</v>
      </c>
      <c r="L109" s="65">
        <f t="shared" si="110"/>
        <v>5.1791610661465239E-3</v>
      </c>
      <c r="M109" s="65">
        <f t="shared" si="111"/>
        <v>5.0000000000000001E-3</v>
      </c>
      <c r="N109" s="63">
        <f>(V.load+I109*(K109+L109+M109))/(V.supply_typ+I109*(K109-J109))</f>
        <v>0.17112880407782213</v>
      </c>
      <c r="O109" s="64">
        <f>(V.supply_typ-I.load*(J109+L109+M109)-V.load)*N109/(f.sw*L.out)</f>
        <v>2.1945086265452307</v>
      </c>
      <c r="P109" s="64">
        <f>I109+O109/2</f>
        <v>10.797254313272614</v>
      </c>
      <c r="Q109" s="64">
        <f t="shared" si="115"/>
        <v>8.6027456867273848</v>
      </c>
      <c r="R109" s="64">
        <f>IF(MIN(V.supply_typ, -Q109/(C.oss_hs+C.oss_ls)*0.00000002)&lt;0, 0, MIN(V.supply_typ, -Q109/(C.oss_hs+C.oss_ls)*0.00000002))</f>
        <v>0</v>
      </c>
      <c r="S109" s="64">
        <f t="shared" si="117"/>
        <v>9.7206647068328156</v>
      </c>
      <c r="T109" s="63">
        <f t="shared" si="145"/>
        <v>0.48938577776583231</v>
      </c>
      <c r="U109" s="63">
        <f t="shared" si="118"/>
        <v>1</v>
      </c>
      <c r="V109" s="63">
        <f t="shared" si="146"/>
        <v>1.4893857777658324</v>
      </c>
      <c r="W109" s="64">
        <f t="shared" si="147"/>
        <v>0.63350007313742251</v>
      </c>
      <c r="X109" s="63">
        <f>R.esrb*W109^2</f>
        <v>8.0264468533023936E-2</v>
      </c>
      <c r="Y109" s="63">
        <f t="shared" si="148"/>
        <v>8.0264468533023936E-2</v>
      </c>
      <c r="Z109" s="64">
        <f t="shared" si="120"/>
        <v>3.6610110935670934</v>
      </c>
      <c r="AA109" s="74">
        <f>R.esr_cin*Z109^2</f>
        <v>1.3403002227221326E-2</v>
      </c>
      <c r="AB109" s="75">
        <f t="shared" si="149"/>
        <v>1.3403002227221326E-2</v>
      </c>
      <c r="AC109" s="63">
        <f t="shared" si="122"/>
        <v>4.0212171028473795</v>
      </c>
      <c r="AD109" s="63">
        <f t="shared" si="150"/>
        <v>1.3925424170241275E-2</v>
      </c>
      <c r="AE109" s="63">
        <f>AD109*(1+TC_rdson_hs*(T.amb-25))/(1-AD109*TC_rdson_hs*theta.ja_hs)</f>
        <v>1.8445260708383624E-2</v>
      </c>
      <c r="AF109" s="63">
        <f t="shared" si="124"/>
        <v>0.85540935462243806</v>
      </c>
      <c r="AG109" s="63">
        <f t="shared" si="125"/>
        <v>4.0608000000000005E-2</v>
      </c>
      <c r="AH109" s="63">
        <f t="shared" si="126"/>
        <v>0</v>
      </c>
      <c r="AI109" s="63">
        <f t="shared" si="151"/>
        <v>0.22378064516129031</v>
      </c>
      <c r="AJ109" s="63">
        <f t="shared" si="152"/>
        <v>1.138243260492112</v>
      </c>
      <c r="AK109" s="63">
        <f t="shared" si="127"/>
        <v>8.8499229010445521</v>
      </c>
      <c r="AL109" s="63">
        <f>K109*AK109^2</f>
        <v>6.7448510774740747E-2</v>
      </c>
      <c r="AM109" s="63">
        <f>AL109*(1+TC_rdson_ls*(T.amb-25))/(1-AL109*TC_rdson_ls*theta.ja_ls)</f>
        <v>9.054662856525296E-2</v>
      </c>
      <c r="AN109" s="63">
        <f t="shared" si="130"/>
        <v>0.21470632378209498</v>
      </c>
      <c r="AO109" s="63">
        <f t="shared" si="131"/>
        <v>1192.6936286095379</v>
      </c>
      <c r="AP109" s="63">
        <f t="shared" si="153"/>
        <v>0.21470632378209498</v>
      </c>
      <c r="AQ109" s="61">
        <f t="shared" si="132"/>
        <v>0.46248</v>
      </c>
      <c r="AR109" s="61">
        <f t="shared" si="133"/>
        <v>50128320000</v>
      </c>
      <c r="AS109" s="61">
        <f t="shared" si="154"/>
        <v>0.46248</v>
      </c>
      <c r="AT109" s="61">
        <f t="shared" si="155"/>
        <v>0.23869935483870966</v>
      </c>
      <c r="AU109" s="63">
        <f t="shared" si="156"/>
        <v>0.54395230718605758</v>
      </c>
      <c r="AV109" s="63">
        <f t="shared" si="134"/>
        <v>0.47245661171332559</v>
      </c>
      <c r="AW109" s="63">
        <f t="shared" si="135"/>
        <v>2.9760000000000003E-3</v>
      </c>
      <c r="AX109" s="63">
        <f t="shared" si="136"/>
        <v>0.24815999999999999</v>
      </c>
      <c r="AY109" s="63">
        <f>SUM(AW109:AX109)</f>
        <v>0.25113599999999997</v>
      </c>
      <c r="AZ109" s="63">
        <f>V109+Y109+AB109+AJ109+AU109+AV109+AY109</f>
        <v>3.9888414279175723</v>
      </c>
      <c r="BA109" s="64">
        <f t="shared" si="139"/>
        <v>38.799999999999997</v>
      </c>
      <c r="BB109" s="76">
        <f t="shared" si="157"/>
        <v>0.9067784661887327</v>
      </c>
      <c r="BC109" s="64">
        <f t="shared" si="158"/>
        <v>90.677846618873275</v>
      </c>
      <c r="BD109" s="63">
        <f t="shared" si="140"/>
        <v>1.4893857777658324</v>
      </c>
      <c r="BE109" s="63">
        <f t="shared" si="159"/>
        <v>1.6821955676781695</v>
      </c>
      <c r="BF109" s="63">
        <f t="shared" si="141"/>
        <v>1.138243260492112</v>
      </c>
      <c r="BG109" s="63">
        <f t="shared" si="142"/>
        <v>0.54395230718605758</v>
      </c>
      <c r="BH109" s="63">
        <f t="shared" si="143"/>
        <v>0.47245661171332559</v>
      </c>
      <c r="BI109" s="63">
        <f t="shared" si="160"/>
        <v>0.25113599999999997</v>
      </c>
      <c r="BJ109" s="63">
        <f t="shared" si="161"/>
        <v>1.3403002227221326E-2</v>
      </c>
      <c r="BK109" s="63">
        <f t="shared" si="162"/>
        <v>8.0264468533023936E-2</v>
      </c>
      <c r="BL109" s="63">
        <f t="shared" si="163"/>
        <v>3.9888414279175723</v>
      </c>
      <c r="BQ109" s="77"/>
      <c r="BR109" s="78"/>
    </row>
    <row r="110" spans="3:70" x14ac:dyDescent="0.25">
      <c r="C110" s="61">
        <v>98</v>
      </c>
      <c r="D110" s="61">
        <f t="shared" si="103"/>
        <v>105</v>
      </c>
      <c r="E110" s="61">
        <f t="shared" si="104"/>
        <v>105</v>
      </c>
      <c r="F110" s="61">
        <f t="shared" si="105"/>
        <v>105</v>
      </c>
      <c r="G110" s="73">
        <f t="shared" si="106"/>
        <v>24</v>
      </c>
      <c r="H110" s="64">
        <f t="shared" si="107"/>
        <v>1</v>
      </c>
      <c r="I110" s="63">
        <f t="shared" si="144"/>
        <v>9.8000000000000007</v>
      </c>
      <c r="J110" s="65">
        <f t="shared" si="108"/>
        <v>8.6117892021752077E-4</v>
      </c>
      <c r="K110" s="65">
        <f t="shared" si="109"/>
        <v>8.6117892021752077E-4</v>
      </c>
      <c r="L110" s="65">
        <f t="shared" si="110"/>
        <v>5.1791610661465239E-3</v>
      </c>
      <c r="M110" s="65">
        <f t="shared" si="111"/>
        <v>5.0000000000000001E-3</v>
      </c>
      <c r="N110" s="63">
        <f>(V.load+I110*(K110+L110+M110))/(V.supply_typ+I110*(K110-J110))</f>
        <v>0.17117480549443198</v>
      </c>
      <c r="O110" s="64">
        <f>(V.supply_typ-I.load*(J110+L110+M110)-V.load)*N110/(f.sw*L.out)</f>
        <v>2.195098536035498</v>
      </c>
      <c r="P110" s="64">
        <f>I110+O110/2</f>
        <v>10.89754926801775</v>
      </c>
      <c r="Q110" s="64">
        <f t="shared" si="115"/>
        <v>8.7024507319822515</v>
      </c>
      <c r="R110" s="64">
        <f>IF(MIN(V.supply_typ, -Q110/(C.oss_hs+C.oss_ls)*0.00000002)&lt;0, 0, MIN(V.supply_typ, -Q110/(C.oss_hs+C.oss_ls)*0.00000002))</f>
        <v>0</v>
      </c>
      <c r="S110" s="64">
        <f t="shared" si="117"/>
        <v>9.8204652706431776</v>
      </c>
      <c r="T110" s="63">
        <f t="shared" si="145"/>
        <v>0.49948625945206732</v>
      </c>
      <c r="U110" s="63">
        <f t="shared" si="118"/>
        <v>1</v>
      </c>
      <c r="V110" s="63">
        <f t="shared" si="146"/>
        <v>1.4994862594520673</v>
      </c>
      <c r="W110" s="64">
        <f t="shared" si="147"/>
        <v>0.63367036533892418</v>
      </c>
      <c r="X110" s="63">
        <f>R.esrb*W110^2</f>
        <v>8.0307626381753136E-2</v>
      </c>
      <c r="Y110" s="63">
        <f t="shared" si="148"/>
        <v>8.0307626381753136E-2</v>
      </c>
      <c r="Z110" s="64">
        <f t="shared" si="120"/>
        <v>3.6989925597598883</v>
      </c>
      <c r="AA110" s="74">
        <f>R.esr_cin*Z110^2</f>
        <v>1.3682545957159011E-2</v>
      </c>
      <c r="AB110" s="75">
        <f t="shared" si="149"/>
        <v>1.3682545957159011E-2</v>
      </c>
      <c r="AC110" s="63">
        <f t="shared" si="122"/>
        <v>4.0630483053137985</v>
      </c>
      <c r="AD110" s="63">
        <f t="shared" si="150"/>
        <v>1.4216652958096871E-2</v>
      </c>
      <c r="AE110" s="63">
        <f>AD110*(1+TC_rdson_hs*(T.amb-25))/(1-AD110*TC_rdson_hs*theta.ja_hs)</f>
        <v>1.8832379789833962E-2</v>
      </c>
      <c r="AF110" s="63">
        <f t="shared" si="124"/>
        <v>0.86391004645153457</v>
      </c>
      <c r="AG110" s="63">
        <f t="shared" si="125"/>
        <v>4.0608000000000005E-2</v>
      </c>
      <c r="AH110" s="63">
        <f t="shared" si="126"/>
        <v>0</v>
      </c>
      <c r="AI110" s="63">
        <f t="shared" si="151"/>
        <v>0.22378064516129031</v>
      </c>
      <c r="AJ110" s="63">
        <f t="shared" si="152"/>
        <v>1.1471310714026588</v>
      </c>
      <c r="AK110" s="63">
        <f t="shared" si="127"/>
        <v>8.9405355880168305</v>
      </c>
      <c r="AL110" s="63">
        <f>K110*AK110^2</f>
        <v>6.8836766714457195E-2</v>
      </c>
      <c r="AM110" s="63">
        <f>AL110*(1+TC_rdson_ls*(T.amb-25))/(1-AL110*TC_rdson_ls*theta.ja_ls)</f>
        <v>9.2442668760212843E-2</v>
      </c>
      <c r="AN110" s="63">
        <f t="shared" si="130"/>
        <v>0.2169612147522533</v>
      </c>
      <c r="AO110" s="63">
        <f t="shared" si="131"/>
        <v>1205.2195479487671</v>
      </c>
      <c r="AP110" s="63">
        <f t="shared" si="153"/>
        <v>0.2169612147522533</v>
      </c>
      <c r="AQ110" s="61">
        <f t="shared" si="132"/>
        <v>0.46248</v>
      </c>
      <c r="AR110" s="61">
        <f t="shared" si="133"/>
        <v>50128320000</v>
      </c>
      <c r="AS110" s="61">
        <f t="shared" si="154"/>
        <v>0.46248</v>
      </c>
      <c r="AT110" s="61">
        <f t="shared" si="155"/>
        <v>0.23869935483870966</v>
      </c>
      <c r="AU110" s="63">
        <f t="shared" si="156"/>
        <v>0.5481032383511758</v>
      </c>
      <c r="AV110" s="63">
        <f t="shared" si="134"/>
        <v>0.48220769065954394</v>
      </c>
      <c r="AW110" s="63">
        <f t="shared" si="135"/>
        <v>2.9760000000000003E-3</v>
      </c>
      <c r="AX110" s="63">
        <f t="shared" si="136"/>
        <v>0.24815999999999999</v>
      </c>
      <c r="AY110" s="63">
        <f>SUM(AW110:AX110)</f>
        <v>0.25113599999999997</v>
      </c>
      <c r="AZ110" s="63">
        <f>V110+Y110+AB110+AJ110+AU110+AV110+AY110</f>
        <v>4.0220544322043583</v>
      </c>
      <c r="BA110" s="64">
        <f t="shared" si="139"/>
        <v>39.200000000000003</v>
      </c>
      <c r="BB110" s="76">
        <f t="shared" si="157"/>
        <v>0.90694439482248301</v>
      </c>
      <c r="BC110" s="64">
        <f t="shared" si="158"/>
        <v>90.694439482248299</v>
      </c>
      <c r="BD110" s="63">
        <f t="shared" si="140"/>
        <v>1.4994862594520673</v>
      </c>
      <c r="BE110" s="63">
        <f t="shared" si="159"/>
        <v>1.6952343097538347</v>
      </c>
      <c r="BF110" s="63">
        <f t="shared" si="141"/>
        <v>1.1471310714026588</v>
      </c>
      <c r="BG110" s="63">
        <f t="shared" si="142"/>
        <v>0.5481032383511758</v>
      </c>
      <c r="BH110" s="63">
        <f t="shared" si="143"/>
        <v>0.48220769065954394</v>
      </c>
      <c r="BI110" s="63">
        <f t="shared" si="160"/>
        <v>0.25113599999999997</v>
      </c>
      <c r="BJ110" s="63">
        <f t="shared" si="161"/>
        <v>1.3682545957159011E-2</v>
      </c>
      <c r="BK110" s="63">
        <f t="shared" si="162"/>
        <v>8.0307626381753136E-2</v>
      </c>
      <c r="BL110" s="63">
        <f t="shared" si="163"/>
        <v>4.0220544322043583</v>
      </c>
      <c r="BQ110" s="77"/>
      <c r="BR110" s="78"/>
    </row>
    <row r="111" spans="3:70" x14ac:dyDescent="0.25">
      <c r="C111" s="61">
        <v>99</v>
      </c>
      <c r="D111" s="61">
        <f t="shared" si="103"/>
        <v>105</v>
      </c>
      <c r="E111" s="61">
        <f t="shared" si="104"/>
        <v>105</v>
      </c>
      <c r="F111" s="61">
        <f t="shared" si="105"/>
        <v>105</v>
      </c>
      <c r="G111" s="73">
        <f t="shared" si="106"/>
        <v>24</v>
      </c>
      <c r="H111" s="64">
        <f t="shared" si="107"/>
        <v>1</v>
      </c>
      <c r="I111" s="63">
        <f t="shared" si="144"/>
        <v>9.9</v>
      </c>
      <c r="J111" s="65">
        <f t="shared" si="108"/>
        <v>8.6117892021752077E-4</v>
      </c>
      <c r="K111" s="65">
        <f t="shared" si="109"/>
        <v>8.6117892021752077E-4</v>
      </c>
      <c r="L111" s="65">
        <f t="shared" si="110"/>
        <v>5.1791610661465239E-3</v>
      </c>
      <c r="M111" s="65">
        <f t="shared" si="111"/>
        <v>5.0000000000000001E-3</v>
      </c>
      <c r="N111" s="63">
        <f>(V.load+I111*(K111+L111+M111))/(V.supply_typ+I111*(K111-J111))</f>
        <v>0.17122080691104183</v>
      </c>
      <c r="O111" s="64">
        <f>(V.supply_typ-I.load*(J111+L111+M111)-V.load)*N111/(f.sw*L.out)</f>
        <v>2.1956884455257653</v>
      </c>
      <c r="P111" s="64">
        <f>I111+O111/2</f>
        <v>10.997844222762883</v>
      </c>
      <c r="Q111" s="64">
        <f t="shared" si="115"/>
        <v>8.8021557772371182</v>
      </c>
      <c r="R111" s="64">
        <f>IF(MIN(V.supply_typ, -Q111/(C.oss_hs+C.oss_ls)*0.00000002)&lt;0, 0, MIN(V.supply_typ, -Q111/(C.oss_hs+C.oss_ls)*0.00000002))</f>
        <v>0</v>
      </c>
      <c r="S111" s="64">
        <f t="shared" si="117"/>
        <v>9.9202698541496996</v>
      </c>
      <c r="T111" s="63">
        <f t="shared" si="145"/>
        <v>0.50969032466001063</v>
      </c>
      <c r="U111" s="63">
        <f t="shared" si="118"/>
        <v>1</v>
      </c>
      <c r="V111" s="63">
        <f t="shared" si="146"/>
        <v>1.5096903246600106</v>
      </c>
      <c r="W111" s="64">
        <f t="shared" si="147"/>
        <v>0.63384065754042584</v>
      </c>
      <c r="X111" s="63">
        <f>R.esrb*W111^2</f>
        <v>8.0350795830255894E-2</v>
      </c>
      <c r="Y111" s="63">
        <f t="shared" si="148"/>
        <v>8.0350795830255894E-2</v>
      </c>
      <c r="Z111" s="64">
        <f t="shared" si="120"/>
        <v>3.7369834587772424</v>
      </c>
      <c r="AA111" s="74">
        <f>R.esr_cin*Z111^2</f>
        <v>1.3965045371174722E-2</v>
      </c>
      <c r="AB111" s="75">
        <f t="shared" si="149"/>
        <v>1.3965045371174722E-2</v>
      </c>
      <c r="AC111" s="63">
        <f t="shared" si="122"/>
        <v>4.1048921941801613</v>
      </c>
      <c r="AD111" s="63">
        <f t="shared" si="150"/>
        <v>1.4510985306850077E-2</v>
      </c>
      <c r="AE111" s="63">
        <f>AD111*(1+TC_rdson_hs*(T.amb-25))/(1-AD111*TC_rdson_hs*theta.ja_hs)</f>
        <v>1.9223681335277246E-2</v>
      </c>
      <c r="AF111" s="63">
        <f t="shared" si="124"/>
        <v>0.87241073828063087</v>
      </c>
      <c r="AG111" s="63">
        <f t="shared" si="125"/>
        <v>4.0608000000000005E-2</v>
      </c>
      <c r="AH111" s="63">
        <f t="shared" si="126"/>
        <v>0</v>
      </c>
      <c r="AI111" s="63">
        <f t="shared" si="151"/>
        <v>0.22378064516129031</v>
      </c>
      <c r="AJ111" s="63">
        <f t="shared" si="152"/>
        <v>1.1560230647771985</v>
      </c>
      <c r="AK111" s="63">
        <f t="shared" si="127"/>
        <v>9.0311468847156995</v>
      </c>
      <c r="AL111" s="63">
        <f>K111*AK111^2</f>
        <v>7.0239142721627748E-2</v>
      </c>
      <c r="AM111" s="63">
        <f>AL111*(1+TC_rdson_ls*(T.amb-25))/(1-AL111*TC_rdson_ls*theta.ja_ls)</f>
        <v>9.4359342790197837E-2</v>
      </c>
      <c r="AN111" s="63">
        <f t="shared" si="130"/>
        <v>0.21921610572241157</v>
      </c>
      <c r="AO111" s="63">
        <f t="shared" si="131"/>
        <v>1217.7454672879962</v>
      </c>
      <c r="AP111" s="63">
        <f t="shared" si="153"/>
        <v>0.21921610572241157</v>
      </c>
      <c r="AQ111" s="61">
        <f t="shared" si="132"/>
        <v>0.46248</v>
      </c>
      <c r="AR111" s="61">
        <f t="shared" si="133"/>
        <v>50128320000</v>
      </c>
      <c r="AS111" s="61">
        <f t="shared" si="154"/>
        <v>0.46248</v>
      </c>
      <c r="AT111" s="61">
        <f t="shared" si="155"/>
        <v>0.23869935483870966</v>
      </c>
      <c r="AU111" s="63">
        <f t="shared" si="156"/>
        <v>0.55227480335131907</v>
      </c>
      <c r="AV111" s="63">
        <f t="shared" si="134"/>
        <v>0.49205876989575653</v>
      </c>
      <c r="AW111" s="63">
        <f t="shared" si="135"/>
        <v>2.9760000000000003E-3</v>
      </c>
      <c r="AX111" s="63">
        <f t="shared" si="136"/>
        <v>0.24815999999999999</v>
      </c>
      <c r="AY111" s="63">
        <f>SUM(AW111:AX111)</f>
        <v>0.25113599999999997</v>
      </c>
      <c r="AZ111" s="63">
        <f>V111+Y111+AB111+AJ111+AU111+AV111+AY111</f>
        <v>4.0554988038857154</v>
      </c>
      <c r="BA111" s="64">
        <f t="shared" si="139"/>
        <v>39.6</v>
      </c>
      <c r="BB111" s="76">
        <f t="shared" si="157"/>
        <v>0.90710222274393659</v>
      </c>
      <c r="BC111" s="64">
        <f t="shared" si="158"/>
        <v>90.710222274393658</v>
      </c>
      <c r="BD111" s="63">
        <f t="shared" si="140"/>
        <v>1.5096903246600106</v>
      </c>
      <c r="BE111" s="63">
        <f t="shared" si="159"/>
        <v>1.7082978681285175</v>
      </c>
      <c r="BF111" s="63">
        <f t="shared" si="141"/>
        <v>1.1560230647771985</v>
      </c>
      <c r="BG111" s="63">
        <f t="shared" si="142"/>
        <v>0.55227480335131907</v>
      </c>
      <c r="BH111" s="63">
        <f t="shared" si="143"/>
        <v>0.49205876989575653</v>
      </c>
      <c r="BI111" s="63">
        <f t="shared" si="160"/>
        <v>0.25113599999999997</v>
      </c>
      <c r="BJ111" s="63">
        <f t="shared" si="161"/>
        <v>1.3965045371174722E-2</v>
      </c>
      <c r="BK111" s="63">
        <f t="shared" si="162"/>
        <v>8.0350795830255894E-2</v>
      </c>
      <c r="BL111" s="63">
        <f t="shared" si="163"/>
        <v>4.0554988038857145</v>
      </c>
      <c r="BQ111" s="77"/>
      <c r="BR111" s="78"/>
    </row>
    <row r="112" spans="3:70" s="81" customFormat="1" ht="15.6" x14ac:dyDescent="0.3">
      <c r="C112" s="81">
        <v>100</v>
      </c>
      <c r="D112" s="61">
        <f t="shared" si="103"/>
        <v>105</v>
      </c>
      <c r="E112" s="61">
        <f t="shared" si="104"/>
        <v>105</v>
      </c>
      <c r="F112" s="61">
        <f t="shared" si="105"/>
        <v>105</v>
      </c>
      <c r="G112" s="89">
        <f t="shared" si="106"/>
        <v>24</v>
      </c>
      <c r="H112" s="85">
        <f t="shared" si="107"/>
        <v>1</v>
      </c>
      <c r="I112" s="86">
        <f t="shared" si="144"/>
        <v>10</v>
      </c>
      <c r="J112" s="90">
        <f t="shared" si="108"/>
        <v>8.6117892021752077E-4</v>
      </c>
      <c r="K112" s="90">
        <f t="shared" si="109"/>
        <v>8.6117892021752077E-4</v>
      </c>
      <c r="L112" s="90">
        <f t="shared" si="110"/>
        <v>5.1791610661465239E-3</v>
      </c>
      <c r="M112" s="90">
        <f t="shared" si="111"/>
        <v>5.0000000000000001E-3</v>
      </c>
      <c r="N112" s="86">
        <f>(V.load+I112*(K112+L112+M112))/(V.supply_typ+I112*(K112-J112))</f>
        <v>0.1712668083276517</v>
      </c>
      <c r="O112" s="85">
        <f>(V.supply_typ-I.load*(J112+L112+M112)-V.load)*N112/(f.sw*L.out)</f>
        <v>2.196278355016033</v>
      </c>
      <c r="P112" s="85">
        <f>I112+O112/2</f>
        <v>11.098139177508017</v>
      </c>
      <c r="Q112" s="85">
        <f t="shared" si="115"/>
        <v>8.9018608224919831</v>
      </c>
      <c r="R112" s="85">
        <f>IF(MIN(V.supply_typ, -Q112/(C.oss_hs+C.oss_ls)*0.00000002)&lt;0, 0, MIN(V.supply_typ, -Q112/(C.oss_hs+C.oss_ls)*0.00000002))</f>
        <v>0</v>
      </c>
      <c r="S112" s="85">
        <f t="shared" si="117"/>
        <v>10.020078337238321</v>
      </c>
      <c r="T112" s="86">
        <f t="shared" si="145"/>
        <v>0.51999797338966236</v>
      </c>
      <c r="U112" s="86">
        <f t="shared" si="118"/>
        <v>1</v>
      </c>
      <c r="V112" s="94">
        <f t="shared" si="146"/>
        <v>1.5199979733896622</v>
      </c>
      <c r="W112" s="85">
        <f t="shared" si="147"/>
        <v>0.63401094974192762</v>
      </c>
      <c r="X112" s="86">
        <f>R.esrb*W112^2</f>
        <v>8.0393976878532225E-2</v>
      </c>
      <c r="Y112" s="94">
        <f t="shared" si="148"/>
        <v>8.0393976878532225E-2</v>
      </c>
      <c r="Z112" s="85">
        <f t="shared" si="120"/>
        <v>3.7749837429189457</v>
      </c>
      <c r="AA112" s="88">
        <f>R.esr_cin*Z112^2</f>
        <v>1.4250502259302333E-2</v>
      </c>
      <c r="AB112" s="95">
        <f t="shared" si="149"/>
        <v>1.4250502259302333E-2</v>
      </c>
      <c r="AC112" s="86">
        <f t="shared" si="122"/>
        <v>4.1467487182018807</v>
      </c>
      <c r="AD112" s="86">
        <f t="shared" si="150"/>
        <v>1.4808423593434801E-2</v>
      </c>
      <c r="AE112" s="86">
        <f>AD112*(1+TC_rdson_hs*(T.amb-25))/(1-AD112*TC_rdson_hs*theta.ja_hs)</f>
        <v>1.9619170331569701E-2</v>
      </c>
      <c r="AF112" s="86">
        <f t="shared" si="124"/>
        <v>0.88091143010972695</v>
      </c>
      <c r="AG112" s="86">
        <f t="shared" si="125"/>
        <v>4.0608000000000005E-2</v>
      </c>
      <c r="AH112" s="86">
        <f t="shared" si="126"/>
        <v>0</v>
      </c>
      <c r="AI112" s="63">
        <f t="shared" si="151"/>
        <v>0.22378064516129031</v>
      </c>
      <c r="AJ112" s="83">
        <f t="shared" si="152"/>
        <v>1.164919245602587</v>
      </c>
      <c r="AK112" s="86">
        <f t="shared" si="127"/>
        <v>9.1217566812804058</v>
      </c>
      <c r="AL112" s="86">
        <f>K112*AK112^2</f>
        <v>7.1655636419318519E-2</v>
      </c>
      <c r="AM112" s="86">
        <f>AL112*(1+TC_rdson_ls*(T.amb-25))/(1-AL112*TC_rdson_ls*theta.ja_ls)</f>
        <v>9.6296689820858913E-2</v>
      </c>
      <c r="AN112" s="86">
        <f t="shared" si="130"/>
        <v>0.22147099669256989</v>
      </c>
      <c r="AO112" s="86">
        <f t="shared" si="131"/>
        <v>1230.2713866272256</v>
      </c>
      <c r="AP112" s="86">
        <f t="shared" si="153"/>
        <v>0.22147099669256989</v>
      </c>
      <c r="AQ112" s="81">
        <f t="shared" si="132"/>
        <v>0.46248</v>
      </c>
      <c r="AR112" s="81">
        <f t="shared" si="133"/>
        <v>50128320000</v>
      </c>
      <c r="AS112" s="81">
        <f t="shared" si="154"/>
        <v>0.46248</v>
      </c>
      <c r="AT112" s="61">
        <f t="shared" si="155"/>
        <v>0.23869935483870966</v>
      </c>
      <c r="AU112" s="83">
        <f t="shared" si="156"/>
        <v>0.55646704135213843</v>
      </c>
      <c r="AV112" s="94">
        <f t="shared" si="134"/>
        <v>0.50200984942196336</v>
      </c>
      <c r="AW112" s="86">
        <f t="shared" si="135"/>
        <v>2.9760000000000003E-3</v>
      </c>
      <c r="AX112" s="86">
        <f t="shared" si="136"/>
        <v>0.24815999999999999</v>
      </c>
      <c r="AY112" s="94">
        <f>SUM(AW112:AX112)</f>
        <v>0.25113599999999997</v>
      </c>
      <c r="AZ112" s="94">
        <f>V112+Y112+AB112+AJ112+AU112+AV112+AY112</f>
        <v>4.0891745889041848</v>
      </c>
      <c r="BA112" s="85">
        <f t="shared" si="139"/>
        <v>40</v>
      </c>
      <c r="BB112" s="96">
        <f t="shared" si="157"/>
        <v>0.90725218543934139</v>
      </c>
      <c r="BC112" s="79">
        <f t="shared" si="158"/>
        <v>90.725218543934133</v>
      </c>
      <c r="BD112" s="80">
        <f t="shared" si="140"/>
        <v>1.5199979733896622</v>
      </c>
      <c r="BE112" s="80">
        <f t="shared" si="159"/>
        <v>1.7213862869547254</v>
      </c>
      <c r="BF112" s="80">
        <f t="shared" si="141"/>
        <v>1.164919245602587</v>
      </c>
      <c r="BG112" s="80">
        <f t="shared" si="142"/>
        <v>0.55646704135213843</v>
      </c>
      <c r="BH112" s="80">
        <f t="shared" si="143"/>
        <v>0.50200984942196336</v>
      </c>
      <c r="BI112" s="80">
        <f t="shared" si="160"/>
        <v>0.25113599999999997</v>
      </c>
      <c r="BJ112" s="80">
        <f t="shared" si="161"/>
        <v>1.4250502259302333E-2</v>
      </c>
      <c r="BK112" s="80">
        <f t="shared" si="162"/>
        <v>8.0393976878532225E-2</v>
      </c>
      <c r="BL112" s="80">
        <f t="shared" si="163"/>
        <v>4.0891745889041857</v>
      </c>
      <c r="BQ112" s="92"/>
      <c r="BR112" s="93"/>
    </row>
    <row r="113" spans="7:63" x14ac:dyDescent="0.25">
      <c r="G113" s="73"/>
      <c r="H113" s="64"/>
      <c r="I113" s="64"/>
      <c r="S113" s="63"/>
      <c r="T113" s="63"/>
      <c r="U113" s="63"/>
      <c r="V113" s="63" t="s">
        <v>147</v>
      </c>
      <c r="X113" s="63"/>
      <c r="Y113" s="63" t="s">
        <v>287</v>
      </c>
      <c r="Z113" s="63"/>
      <c r="AA113" s="74"/>
      <c r="AB113" s="75" t="s">
        <v>288</v>
      </c>
      <c r="AC113" s="63"/>
      <c r="AD113" s="63"/>
      <c r="AE113" s="63"/>
      <c r="AF113" s="63"/>
      <c r="AG113" s="63"/>
      <c r="AJ113" s="63" t="s">
        <v>350</v>
      </c>
      <c r="AK113" s="63"/>
      <c r="AL113" s="63"/>
      <c r="AM113" s="63"/>
      <c r="AN113" s="63"/>
      <c r="AO113" s="63"/>
      <c r="AP113" s="63"/>
      <c r="AQ113" s="63"/>
      <c r="AR113" s="63"/>
      <c r="AS113" s="63"/>
      <c r="AT113" s="63"/>
      <c r="AU113" s="63" t="s">
        <v>351</v>
      </c>
      <c r="AV113" s="63" t="s">
        <v>331</v>
      </c>
      <c r="AW113" s="63"/>
      <c r="AX113" s="63"/>
      <c r="AY113" s="63" t="s">
        <v>362</v>
      </c>
      <c r="AZ113" s="63" t="s">
        <v>363</v>
      </c>
      <c r="BB113" s="76" t="s">
        <v>364</v>
      </c>
      <c r="BC113" s="82"/>
      <c r="BE113" s="63"/>
      <c r="BF113" s="63"/>
      <c r="BG113" s="63"/>
      <c r="BH113" s="63"/>
      <c r="BI113" s="63"/>
      <c r="BJ113" s="63"/>
      <c r="BK113" s="63"/>
    </row>
    <row r="114" spans="7:63" x14ac:dyDescent="0.25">
      <c r="G114" s="73"/>
      <c r="H114" s="64"/>
      <c r="I114" s="64"/>
      <c r="S114" s="63"/>
      <c r="T114" s="63"/>
      <c r="U114" s="63"/>
      <c r="V114" s="63"/>
      <c r="X114" s="63"/>
      <c r="Y114" s="63"/>
      <c r="Z114" s="63"/>
      <c r="AA114" s="74"/>
      <c r="AB114" s="75"/>
      <c r="AC114" s="63"/>
      <c r="AD114" s="63"/>
      <c r="AE114" s="63"/>
      <c r="AF114" s="63"/>
      <c r="AG114" s="63"/>
      <c r="AJ114" s="63"/>
      <c r="AK114" s="63"/>
      <c r="AL114" s="63"/>
      <c r="AM114" s="63"/>
      <c r="AN114" s="63"/>
      <c r="AO114" s="63"/>
      <c r="AP114" s="63"/>
      <c r="AQ114" s="63"/>
      <c r="AR114" s="63"/>
      <c r="AS114" s="63"/>
      <c r="AT114" s="63"/>
      <c r="AU114" s="63"/>
      <c r="AV114" s="63"/>
      <c r="AW114" s="63"/>
      <c r="AX114" s="63"/>
      <c r="AY114" s="63"/>
      <c r="AZ114" s="63"/>
      <c r="BB114" s="76"/>
      <c r="BC114" s="82"/>
      <c r="BD114" s="63"/>
      <c r="BE114" s="63"/>
      <c r="BF114" s="63"/>
      <c r="BG114" s="63"/>
      <c r="BH114" s="63"/>
      <c r="BI114" s="63"/>
      <c r="BJ114" s="63"/>
      <c r="BK114" s="63"/>
    </row>
    <row r="115" spans="7:63" x14ac:dyDescent="0.25">
      <c r="G115" s="73"/>
      <c r="H115" s="64"/>
      <c r="I115" s="64"/>
      <c r="S115" s="63"/>
      <c r="T115" s="63"/>
      <c r="U115" s="63"/>
      <c r="V115" s="63"/>
      <c r="X115" s="63"/>
      <c r="Y115" s="63"/>
      <c r="Z115" s="63"/>
      <c r="AA115" s="74"/>
      <c r="AB115" s="75"/>
      <c r="AC115" s="63"/>
      <c r="AD115" s="63"/>
      <c r="AE115" s="63"/>
      <c r="AF115" s="63"/>
      <c r="AG115" s="63"/>
      <c r="AJ115" s="63"/>
      <c r="AK115" s="63"/>
      <c r="AL115" s="63"/>
      <c r="AM115" s="63"/>
      <c r="AN115" s="63"/>
      <c r="AO115" s="63"/>
      <c r="AP115" s="63"/>
      <c r="AQ115" s="63"/>
      <c r="AR115" s="63"/>
      <c r="AS115" s="63"/>
      <c r="AT115" s="63"/>
      <c r="AU115" s="63"/>
      <c r="AV115" s="63"/>
      <c r="AW115" s="63"/>
      <c r="AX115" s="63"/>
      <c r="AY115" s="63"/>
      <c r="AZ115" s="63"/>
      <c r="BB115" s="76"/>
      <c r="BC115" s="82"/>
      <c r="BD115" s="63"/>
      <c r="BE115" s="63"/>
      <c r="BF115" s="63"/>
      <c r="BG115" s="63"/>
      <c r="BH115" s="63"/>
      <c r="BI115" s="63"/>
      <c r="BJ115" s="63"/>
      <c r="BK115" s="63"/>
    </row>
    <row r="116" spans="7:63" x14ac:dyDescent="0.25">
      <c r="G116" s="73"/>
      <c r="H116" s="64"/>
      <c r="I116" s="64"/>
      <c r="S116" s="63"/>
      <c r="T116" s="63"/>
      <c r="U116" s="63"/>
      <c r="V116" s="63"/>
      <c r="X116" s="63"/>
      <c r="Y116" s="63"/>
      <c r="Z116" s="63"/>
      <c r="AA116" s="74"/>
      <c r="AB116" s="75"/>
      <c r="AC116" s="63"/>
      <c r="AD116" s="63"/>
      <c r="AE116" s="63"/>
      <c r="AF116" s="63"/>
      <c r="AG116" s="63"/>
      <c r="AJ116" s="63"/>
      <c r="AK116" s="63"/>
      <c r="AL116" s="63"/>
      <c r="AM116" s="63"/>
      <c r="AN116" s="63"/>
      <c r="AO116" s="63"/>
      <c r="AP116" s="63"/>
      <c r="AQ116" s="63"/>
      <c r="AR116" s="63"/>
      <c r="AS116" s="63"/>
      <c r="AT116" s="63"/>
      <c r="AU116" s="63"/>
      <c r="AV116" s="63"/>
      <c r="AW116" s="63"/>
      <c r="AX116" s="63"/>
      <c r="AY116" s="63"/>
      <c r="AZ116" s="63"/>
      <c r="BB116" s="76"/>
      <c r="BC116" s="82"/>
      <c r="BD116" s="63"/>
      <c r="BE116" s="63"/>
      <c r="BF116" s="63"/>
      <c r="BG116" s="63"/>
      <c r="BH116" s="63"/>
      <c r="BI116" s="63"/>
      <c r="BJ116" s="63"/>
      <c r="BK116" s="63"/>
    </row>
    <row r="117" spans="7:63" x14ac:dyDescent="0.25">
      <c r="G117" s="73"/>
      <c r="H117" s="64"/>
      <c r="I117" s="64"/>
      <c r="S117" s="63"/>
      <c r="T117" s="63"/>
      <c r="U117" s="63"/>
      <c r="V117" s="63"/>
      <c r="X117" s="63"/>
      <c r="Y117" s="63"/>
      <c r="Z117" s="63"/>
      <c r="AA117" s="74"/>
      <c r="AB117" s="75"/>
      <c r="AC117" s="63"/>
      <c r="AD117" s="63"/>
      <c r="AE117" s="63"/>
      <c r="AF117" s="63"/>
      <c r="AG117" s="63"/>
      <c r="AJ117" s="63"/>
      <c r="AK117" s="63"/>
      <c r="AL117" s="63"/>
      <c r="AM117" s="63"/>
      <c r="AN117" s="63"/>
      <c r="AO117" s="63"/>
      <c r="AP117" s="63"/>
      <c r="AQ117" s="63"/>
      <c r="AR117" s="63"/>
      <c r="AS117" s="63"/>
      <c r="AT117" s="63"/>
      <c r="AU117" s="63"/>
      <c r="AV117" s="63"/>
      <c r="AW117" s="63"/>
      <c r="AX117" s="63"/>
      <c r="AY117" s="63"/>
      <c r="AZ117" s="63"/>
      <c r="BB117" s="76"/>
      <c r="BC117" s="82"/>
      <c r="BD117" s="63"/>
      <c r="BE117" s="63"/>
      <c r="BF117" s="63"/>
      <c r="BG117" s="63"/>
      <c r="BH117" s="63"/>
      <c r="BI117" s="63"/>
      <c r="BJ117" s="63"/>
      <c r="BK117" s="63"/>
    </row>
    <row r="118" spans="7:63" x14ac:dyDescent="0.25">
      <c r="G118" s="73"/>
      <c r="H118" s="64"/>
      <c r="I118" s="64"/>
      <c r="S118" s="63"/>
      <c r="T118" s="63"/>
      <c r="U118" s="63"/>
      <c r="V118" s="63"/>
      <c r="X118" s="63"/>
      <c r="Y118" s="63"/>
      <c r="Z118" s="63"/>
      <c r="AA118" s="74"/>
      <c r="AB118" s="75"/>
      <c r="AC118" s="63"/>
      <c r="AD118" s="63"/>
      <c r="AE118" s="63"/>
      <c r="AF118" s="63"/>
      <c r="AG118" s="63"/>
      <c r="AJ118" s="63"/>
      <c r="AK118" s="63"/>
      <c r="AL118" s="63"/>
      <c r="AM118" s="63"/>
      <c r="AN118" s="63"/>
      <c r="AO118" s="63"/>
      <c r="AP118" s="63"/>
      <c r="AQ118" s="63"/>
      <c r="AR118" s="63"/>
      <c r="AS118" s="63"/>
      <c r="AT118" s="63"/>
      <c r="AU118" s="63"/>
      <c r="AV118" s="63"/>
      <c r="AW118" s="63"/>
      <c r="AX118" s="63"/>
      <c r="AY118" s="63"/>
      <c r="AZ118" s="63"/>
      <c r="BB118" s="76"/>
      <c r="BC118" s="82"/>
      <c r="BD118" s="63"/>
      <c r="BE118" s="63"/>
      <c r="BF118" s="63"/>
      <c r="BG118" s="63"/>
      <c r="BH118" s="63"/>
      <c r="BI118" s="63"/>
      <c r="BJ118" s="63"/>
      <c r="BK118" s="63"/>
    </row>
    <row r="119" spans="7:63" x14ac:dyDescent="0.25">
      <c r="G119" s="73"/>
      <c r="H119" s="64"/>
      <c r="I119" s="64"/>
      <c r="S119" s="63"/>
      <c r="T119" s="63"/>
      <c r="U119" s="63"/>
      <c r="V119" s="63"/>
      <c r="X119" s="63"/>
      <c r="Y119" s="63"/>
      <c r="Z119" s="63"/>
      <c r="AA119" s="74"/>
      <c r="AB119" s="75"/>
      <c r="AC119" s="63"/>
      <c r="AD119" s="63"/>
      <c r="AE119" s="63"/>
      <c r="AF119" s="63"/>
      <c r="AG119" s="63"/>
      <c r="AJ119" s="63"/>
      <c r="AK119" s="63"/>
      <c r="AL119" s="63"/>
      <c r="AM119" s="63"/>
      <c r="AN119" s="63"/>
      <c r="AO119" s="63"/>
      <c r="AP119" s="63"/>
      <c r="AQ119" s="63"/>
      <c r="AR119" s="63"/>
      <c r="AS119" s="63"/>
      <c r="AT119" s="63"/>
      <c r="AU119" s="63"/>
      <c r="AV119" s="63"/>
      <c r="AW119" s="63"/>
      <c r="AX119" s="63"/>
      <c r="AY119" s="63"/>
      <c r="AZ119" s="63"/>
      <c r="BB119" s="76"/>
      <c r="BC119" s="82"/>
      <c r="BD119" s="63"/>
      <c r="BE119" s="63"/>
      <c r="BF119" s="63"/>
      <c r="BG119" s="63"/>
      <c r="BH119" s="63"/>
      <c r="BI119" s="63"/>
      <c r="BJ119" s="63"/>
      <c r="BK119" s="63"/>
    </row>
    <row r="120" spans="7:63" x14ac:dyDescent="0.25">
      <c r="G120" s="73"/>
      <c r="H120" s="64"/>
      <c r="I120" s="64"/>
      <c r="S120" s="63"/>
      <c r="T120" s="63"/>
      <c r="U120" s="63"/>
      <c r="V120" s="63"/>
      <c r="X120" s="63"/>
      <c r="Y120" s="63"/>
      <c r="Z120" s="63"/>
      <c r="AA120" s="74"/>
      <c r="AB120" s="75"/>
      <c r="AC120" s="63"/>
      <c r="AD120" s="63"/>
      <c r="AE120" s="63"/>
      <c r="AF120" s="63"/>
      <c r="AG120" s="63"/>
      <c r="AJ120" s="63"/>
      <c r="AK120" s="63"/>
      <c r="AL120" s="63"/>
      <c r="AM120" s="63"/>
      <c r="AN120" s="63"/>
      <c r="AO120" s="63"/>
      <c r="AP120" s="63"/>
      <c r="AQ120" s="63"/>
      <c r="AR120" s="63"/>
      <c r="AS120" s="63"/>
      <c r="AT120" s="63"/>
      <c r="AU120" s="63"/>
      <c r="AV120" s="63"/>
      <c r="AW120" s="63"/>
      <c r="AX120" s="63"/>
      <c r="AY120" s="63"/>
      <c r="AZ120" s="63"/>
      <c r="BB120" s="76"/>
      <c r="BC120" s="82"/>
      <c r="BD120" s="63"/>
      <c r="BE120" s="63"/>
      <c r="BF120" s="63"/>
      <c r="BG120" s="63"/>
      <c r="BH120" s="63"/>
      <c r="BI120" s="63"/>
      <c r="BJ120" s="63"/>
      <c r="BK120" s="63"/>
    </row>
    <row r="121" spans="7:63" x14ac:dyDescent="0.25">
      <c r="G121" s="73"/>
      <c r="H121" s="64"/>
      <c r="I121" s="64"/>
      <c r="S121" s="63"/>
      <c r="T121" s="63"/>
      <c r="U121" s="63"/>
      <c r="V121" s="63"/>
      <c r="X121" s="63"/>
      <c r="Y121" s="63"/>
      <c r="Z121" s="63"/>
      <c r="AA121" s="74"/>
      <c r="AB121" s="75"/>
      <c r="AC121" s="63"/>
      <c r="AD121" s="63"/>
      <c r="AE121" s="63"/>
      <c r="AF121" s="63"/>
      <c r="AG121" s="63"/>
      <c r="AJ121" s="63"/>
      <c r="AK121" s="63"/>
      <c r="AL121" s="63"/>
      <c r="AM121" s="63"/>
      <c r="AN121" s="63"/>
      <c r="AO121" s="63"/>
      <c r="AP121" s="63"/>
      <c r="AQ121" s="63"/>
      <c r="AR121" s="63"/>
      <c r="AS121" s="63"/>
      <c r="AT121" s="63"/>
      <c r="AU121" s="63"/>
      <c r="AV121" s="63"/>
      <c r="AW121" s="63"/>
      <c r="AX121" s="63"/>
      <c r="AY121" s="63"/>
      <c r="AZ121" s="63"/>
      <c r="BB121" s="76"/>
      <c r="BC121" s="82"/>
      <c r="BD121" s="63"/>
      <c r="BE121" s="63"/>
      <c r="BF121" s="63"/>
      <c r="BG121" s="63"/>
      <c r="BH121" s="63"/>
      <c r="BI121" s="63"/>
      <c r="BJ121" s="63"/>
      <c r="BK121" s="63"/>
    </row>
    <row r="122" spans="7:63" x14ac:dyDescent="0.25">
      <c r="G122" s="73"/>
      <c r="H122" s="64"/>
      <c r="I122" s="64"/>
      <c r="S122" s="63"/>
      <c r="T122" s="63"/>
      <c r="U122" s="63"/>
      <c r="V122" s="63"/>
      <c r="X122" s="63"/>
      <c r="Y122" s="63"/>
      <c r="Z122" s="63"/>
      <c r="AA122" s="74"/>
      <c r="AB122" s="75"/>
      <c r="AC122" s="63"/>
      <c r="AD122" s="63"/>
      <c r="AE122" s="63"/>
      <c r="AF122" s="63"/>
      <c r="AG122" s="63"/>
      <c r="AJ122" s="63"/>
      <c r="AK122" s="63"/>
      <c r="AL122" s="63"/>
      <c r="AM122" s="63"/>
      <c r="AN122" s="63"/>
      <c r="AO122" s="63"/>
      <c r="AP122" s="63"/>
      <c r="AQ122" s="63"/>
      <c r="AR122" s="63"/>
      <c r="AS122" s="63"/>
      <c r="AT122" s="63"/>
      <c r="AU122" s="63"/>
      <c r="AV122" s="63"/>
      <c r="AW122" s="63"/>
      <c r="AX122" s="63"/>
      <c r="AY122" s="63"/>
      <c r="AZ122" s="63"/>
      <c r="BB122" s="76"/>
      <c r="BC122" s="82"/>
      <c r="BD122" s="63"/>
      <c r="BE122" s="63"/>
      <c r="BF122" s="63"/>
      <c r="BG122" s="63"/>
      <c r="BH122" s="63"/>
      <c r="BI122" s="63"/>
      <c r="BJ122" s="63"/>
      <c r="BK122" s="63"/>
    </row>
    <row r="123" spans="7:63" x14ac:dyDescent="0.25">
      <c r="G123" s="73"/>
      <c r="H123" s="64"/>
      <c r="I123" s="64"/>
      <c r="S123" s="63"/>
      <c r="T123" s="63"/>
      <c r="U123" s="63"/>
      <c r="V123" s="63"/>
      <c r="X123" s="63"/>
      <c r="Y123" s="63"/>
      <c r="Z123" s="63"/>
      <c r="AA123" s="74"/>
      <c r="AB123" s="75"/>
      <c r="AC123" s="63"/>
      <c r="AD123" s="63"/>
      <c r="AE123" s="63"/>
      <c r="AF123" s="63"/>
      <c r="AG123" s="63"/>
      <c r="AJ123" s="63"/>
      <c r="AK123" s="63"/>
      <c r="AL123" s="63"/>
      <c r="AM123" s="63"/>
      <c r="AN123" s="63"/>
      <c r="AO123" s="63"/>
      <c r="AP123" s="63"/>
      <c r="AQ123" s="63"/>
      <c r="AR123" s="63"/>
      <c r="AS123" s="63"/>
      <c r="AT123" s="63"/>
      <c r="AU123" s="63"/>
      <c r="AV123" s="63"/>
      <c r="AW123" s="63"/>
      <c r="AX123" s="63"/>
      <c r="AY123" s="63"/>
      <c r="AZ123" s="63"/>
      <c r="BB123" s="76"/>
      <c r="BC123" s="82"/>
      <c r="BD123" s="63"/>
      <c r="BE123" s="63"/>
      <c r="BF123" s="63"/>
      <c r="BG123" s="63"/>
      <c r="BH123" s="63"/>
      <c r="BI123" s="63"/>
      <c r="BJ123" s="63"/>
      <c r="BK123" s="63"/>
    </row>
    <row r="124" spans="7:63" x14ac:dyDescent="0.25">
      <c r="G124" s="73"/>
      <c r="H124" s="64"/>
      <c r="I124" s="64"/>
      <c r="S124" s="63"/>
      <c r="T124" s="63"/>
      <c r="U124" s="63"/>
      <c r="V124" s="63"/>
      <c r="X124" s="63"/>
      <c r="Y124" s="63"/>
      <c r="Z124" s="63"/>
      <c r="AA124" s="74"/>
      <c r="AB124" s="75"/>
      <c r="AC124" s="63"/>
      <c r="AD124" s="63"/>
      <c r="AE124" s="63"/>
      <c r="AF124" s="63"/>
      <c r="AG124" s="63"/>
      <c r="AJ124" s="63"/>
      <c r="AK124" s="63"/>
      <c r="AL124" s="63"/>
      <c r="AM124" s="63"/>
      <c r="AN124" s="63"/>
      <c r="AO124" s="63"/>
      <c r="AP124" s="63"/>
      <c r="AQ124" s="63"/>
      <c r="AR124" s="63"/>
      <c r="AS124" s="63"/>
      <c r="AT124" s="63"/>
      <c r="AU124" s="63"/>
      <c r="AV124" s="63"/>
      <c r="AW124" s="63"/>
      <c r="AX124" s="63"/>
      <c r="AY124" s="63"/>
      <c r="AZ124" s="63"/>
      <c r="BB124" s="76"/>
      <c r="BC124" s="82"/>
      <c r="BD124" s="63"/>
      <c r="BE124" s="63"/>
      <c r="BF124" s="63"/>
      <c r="BG124" s="63"/>
      <c r="BH124" s="63"/>
      <c r="BI124" s="63"/>
      <c r="BJ124" s="63"/>
      <c r="BK124" s="63"/>
    </row>
    <row r="125" spans="7:63" x14ac:dyDescent="0.25">
      <c r="G125" s="73"/>
      <c r="H125" s="64"/>
      <c r="I125" s="64"/>
      <c r="S125" s="63"/>
      <c r="T125" s="63"/>
      <c r="U125" s="63"/>
      <c r="V125" s="63"/>
      <c r="X125" s="63"/>
      <c r="Y125" s="63"/>
      <c r="Z125" s="63"/>
      <c r="AA125" s="74"/>
      <c r="AB125" s="75"/>
      <c r="AC125" s="63"/>
      <c r="AD125" s="63"/>
      <c r="AE125" s="63"/>
      <c r="AF125" s="63"/>
      <c r="AG125" s="63"/>
      <c r="AJ125" s="63"/>
      <c r="AK125" s="63"/>
      <c r="AL125" s="63"/>
      <c r="AM125" s="63"/>
      <c r="AN125" s="63"/>
      <c r="AO125" s="63"/>
      <c r="AP125" s="63"/>
      <c r="AQ125" s="63"/>
      <c r="AR125" s="63"/>
      <c r="AS125" s="63"/>
      <c r="AT125" s="63"/>
      <c r="AU125" s="63"/>
      <c r="AV125" s="63"/>
      <c r="AW125" s="63"/>
      <c r="AX125" s="63"/>
      <c r="AY125" s="63"/>
      <c r="AZ125" s="63"/>
      <c r="BB125" s="76"/>
      <c r="BC125" s="82"/>
      <c r="BD125" s="63"/>
      <c r="BE125" s="63"/>
      <c r="BF125" s="63"/>
      <c r="BG125" s="63"/>
      <c r="BH125" s="63"/>
      <c r="BI125" s="63"/>
      <c r="BJ125" s="63"/>
      <c r="BK125" s="63"/>
    </row>
    <row r="126" spans="7:63" x14ac:dyDescent="0.25">
      <c r="G126" s="73"/>
      <c r="H126" s="64"/>
      <c r="I126" s="64"/>
      <c r="S126" s="63"/>
      <c r="T126" s="63"/>
      <c r="U126" s="63"/>
      <c r="V126" s="63"/>
      <c r="X126" s="63"/>
      <c r="Y126" s="63"/>
      <c r="Z126" s="63"/>
      <c r="AA126" s="74"/>
      <c r="AB126" s="75"/>
      <c r="AC126" s="63"/>
      <c r="AD126" s="63"/>
      <c r="AE126" s="63"/>
      <c r="AF126" s="63"/>
      <c r="AG126" s="63"/>
      <c r="AJ126" s="63"/>
      <c r="AK126" s="63"/>
      <c r="AL126" s="63"/>
      <c r="AM126" s="63"/>
      <c r="AN126" s="63"/>
      <c r="AO126" s="63"/>
      <c r="AP126" s="63"/>
      <c r="AQ126" s="63"/>
      <c r="AR126" s="63"/>
      <c r="AS126" s="63"/>
      <c r="AT126" s="63"/>
      <c r="AU126" s="63"/>
      <c r="AV126" s="63"/>
      <c r="AW126" s="63"/>
      <c r="AX126" s="63"/>
      <c r="AY126" s="63"/>
      <c r="AZ126" s="63"/>
      <c r="BB126" s="76"/>
      <c r="BC126" s="82"/>
      <c r="BD126" s="63"/>
      <c r="BE126" s="63"/>
      <c r="BF126" s="63"/>
      <c r="BG126" s="63"/>
      <c r="BH126" s="63"/>
      <c r="BI126" s="63"/>
      <c r="BJ126" s="63"/>
      <c r="BK126" s="63"/>
    </row>
    <row r="127" spans="7:63" x14ac:dyDescent="0.25">
      <c r="G127" s="73"/>
      <c r="H127" s="64"/>
      <c r="I127" s="64"/>
      <c r="S127" s="63"/>
      <c r="T127" s="63"/>
      <c r="U127" s="63"/>
      <c r="V127" s="63"/>
      <c r="X127" s="63"/>
      <c r="Y127" s="63"/>
      <c r="Z127" s="63"/>
      <c r="AA127" s="74"/>
      <c r="AB127" s="75"/>
      <c r="AC127" s="63"/>
      <c r="AD127" s="63"/>
      <c r="AE127" s="63"/>
      <c r="AF127" s="63"/>
      <c r="AG127" s="63"/>
      <c r="AJ127" s="63"/>
      <c r="AK127" s="63"/>
      <c r="AL127" s="63"/>
      <c r="AM127" s="63"/>
      <c r="AN127" s="63"/>
      <c r="AO127" s="63"/>
      <c r="AP127" s="63"/>
      <c r="AQ127" s="63"/>
      <c r="AR127" s="63"/>
      <c r="AS127" s="63"/>
      <c r="AT127" s="63"/>
      <c r="AU127" s="63"/>
      <c r="AV127" s="63"/>
      <c r="AW127" s="63"/>
      <c r="AX127" s="63"/>
      <c r="AY127" s="63"/>
      <c r="AZ127" s="63"/>
      <c r="BB127" s="76"/>
      <c r="BC127" s="82"/>
      <c r="BD127" s="63"/>
      <c r="BE127" s="63"/>
      <c r="BF127" s="63"/>
      <c r="BG127" s="63"/>
      <c r="BH127" s="63"/>
      <c r="BI127" s="63"/>
      <c r="BJ127" s="63"/>
      <c r="BK127" s="63"/>
    </row>
    <row r="128" spans="7:63" x14ac:dyDescent="0.25">
      <c r="G128" s="73"/>
      <c r="H128" s="64"/>
      <c r="I128" s="64"/>
      <c r="S128" s="63"/>
      <c r="T128" s="63"/>
      <c r="U128" s="63"/>
      <c r="V128" s="63"/>
      <c r="X128" s="63"/>
      <c r="Y128" s="63"/>
      <c r="Z128" s="63"/>
      <c r="AA128" s="74"/>
      <c r="AB128" s="75"/>
      <c r="AC128" s="63"/>
      <c r="AD128" s="63"/>
      <c r="AE128" s="63"/>
      <c r="AF128" s="63"/>
      <c r="AG128" s="63"/>
      <c r="AJ128" s="63"/>
      <c r="AK128" s="63"/>
      <c r="AL128" s="63"/>
      <c r="AM128" s="63"/>
      <c r="AN128" s="63"/>
      <c r="AO128" s="63"/>
      <c r="AP128" s="63"/>
      <c r="AQ128" s="63"/>
      <c r="AR128" s="63"/>
      <c r="AS128" s="63"/>
      <c r="AT128" s="63"/>
      <c r="AU128" s="63"/>
      <c r="AV128" s="63"/>
      <c r="AW128" s="63"/>
      <c r="AX128" s="63"/>
      <c r="AY128" s="63"/>
      <c r="AZ128" s="63"/>
      <c r="BB128" s="76"/>
      <c r="BC128" s="82"/>
      <c r="BD128" s="63"/>
      <c r="BE128" s="63"/>
      <c r="BF128" s="63"/>
      <c r="BG128" s="63"/>
      <c r="BH128" s="63"/>
      <c r="BI128" s="63"/>
      <c r="BJ128" s="63"/>
      <c r="BK128" s="63"/>
    </row>
    <row r="129" spans="7:63" x14ac:dyDescent="0.25">
      <c r="G129" s="73"/>
      <c r="H129" s="64"/>
      <c r="I129" s="64"/>
      <c r="S129" s="63"/>
      <c r="T129" s="63"/>
      <c r="U129" s="63"/>
      <c r="V129" s="63"/>
      <c r="X129" s="63"/>
      <c r="Y129" s="63"/>
      <c r="Z129" s="63"/>
      <c r="AA129" s="74"/>
      <c r="AB129" s="75"/>
      <c r="AC129" s="63"/>
      <c r="AD129" s="63"/>
      <c r="AE129" s="63"/>
      <c r="AF129" s="63"/>
      <c r="AG129" s="63"/>
      <c r="AJ129" s="63"/>
      <c r="AK129" s="63"/>
      <c r="AL129" s="63"/>
      <c r="AM129" s="63"/>
      <c r="AN129" s="63"/>
      <c r="AO129" s="63"/>
      <c r="AP129" s="63"/>
      <c r="AQ129" s="63"/>
      <c r="AR129" s="63"/>
      <c r="AS129" s="63"/>
      <c r="AT129" s="63"/>
      <c r="AU129" s="63"/>
      <c r="AV129" s="63"/>
      <c r="AW129" s="63"/>
      <c r="AX129" s="63"/>
      <c r="AY129" s="63"/>
      <c r="AZ129" s="63"/>
      <c r="BB129" s="76"/>
      <c r="BC129" s="82"/>
      <c r="BD129" s="63"/>
      <c r="BE129" s="63"/>
      <c r="BF129" s="63"/>
      <c r="BG129" s="63"/>
      <c r="BH129" s="63"/>
      <c r="BI129" s="63"/>
      <c r="BJ129" s="63"/>
      <c r="BK129" s="63"/>
    </row>
    <row r="130" spans="7:63" x14ac:dyDescent="0.25">
      <c r="G130" s="73"/>
      <c r="H130" s="64"/>
      <c r="I130" s="64"/>
      <c r="S130" s="63"/>
      <c r="T130" s="63"/>
      <c r="U130" s="63"/>
      <c r="V130" s="63"/>
      <c r="X130" s="63"/>
      <c r="Y130" s="63"/>
      <c r="Z130" s="63"/>
      <c r="AA130" s="74"/>
      <c r="AB130" s="75"/>
      <c r="AC130" s="63"/>
      <c r="AD130" s="63"/>
      <c r="AE130" s="63"/>
      <c r="AF130" s="63"/>
      <c r="AG130" s="63"/>
      <c r="AJ130" s="63"/>
      <c r="AK130" s="63"/>
      <c r="AL130" s="63"/>
      <c r="AM130" s="63"/>
      <c r="AN130" s="63"/>
      <c r="AO130" s="63"/>
      <c r="AP130" s="63"/>
      <c r="AQ130" s="63"/>
      <c r="AR130" s="63"/>
      <c r="AS130" s="63"/>
      <c r="AT130" s="63"/>
      <c r="AU130" s="63"/>
      <c r="AV130" s="63"/>
      <c r="AW130" s="63"/>
      <c r="AX130" s="63"/>
      <c r="AY130" s="63"/>
      <c r="AZ130" s="63"/>
      <c r="BB130" s="76"/>
      <c r="BC130" s="82"/>
      <c r="BD130" s="63"/>
      <c r="BE130" s="63"/>
      <c r="BF130" s="63"/>
      <c r="BG130" s="63"/>
      <c r="BH130" s="63"/>
      <c r="BI130" s="63"/>
      <c r="BJ130" s="63"/>
      <c r="BK130" s="63"/>
    </row>
    <row r="131" spans="7:63" x14ac:dyDescent="0.25">
      <c r="G131" s="73"/>
      <c r="H131" s="64"/>
      <c r="I131" s="64"/>
      <c r="S131" s="63"/>
      <c r="T131" s="63"/>
      <c r="U131" s="63"/>
      <c r="V131" s="63"/>
      <c r="X131" s="63"/>
      <c r="Y131" s="63"/>
      <c r="Z131" s="63"/>
      <c r="AA131" s="74"/>
      <c r="AB131" s="75"/>
      <c r="AC131" s="63"/>
      <c r="AD131" s="63"/>
      <c r="AE131" s="63"/>
      <c r="AF131" s="63"/>
      <c r="AG131" s="63"/>
      <c r="AJ131" s="63"/>
      <c r="AK131" s="63"/>
      <c r="AL131" s="63"/>
      <c r="AM131" s="63"/>
      <c r="AN131" s="63"/>
      <c r="AO131" s="63"/>
      <c r="AP131" s="63"/>
      <c r="AQ131" s="63"/>
      <c r="AR131" s="63"/>
      <c r="AS131" s="63"/>
      <c r="AT131" s="63"/>
      <c r="AU131" s="63"/>
      <c r="AV131" s="63"/>
      <c r="AW131" s="63"/>
      <c r="AX131" s="63"/>
      <c r="AY131" s="63"/>
      <c r="AZ131" s="63"/>
      <c r="BB131" s="76"/>
      <c r="BC131" s="82"/>
      <c r="BD131" s="63"/>
      <c r="BE131" s="63"/>
      <c r="BF131" s="63"/>
      <c r="BG131" s="63"/>
      <c r="BH131" s="63"/>
      <c r="BI131" s="63"/>
      <c r="BJ131" s="63"/>
      <c r="BK131" s="63"/>
    </row>
    <row r="132" spans="7:63" x14ac:dyDescent="0.25">
      <c r="G132" s="73"/>
      <c r="H132" s="64"/>
      <c r="I132" s="64"/>
      <c r="S132" s="63"/>
      <c r="T132" s="63"/>
      <c r="U132" s="63"/>
      <c r="V132" s="63"/>
      <c r="X132" s="63"/>
      <c r="Y132" s="63"/>
      <c r="Z132" s="63"/>
      <c r="AA132" s="74"/>
      <c r="AB132" s="75"/>
      <c r="AC132" s="63"/>
      <c r="AD132" s="63"/>
      <c r="AE132" s="63"/>
      <c r="AF132" s="63"/>
      <c r="AG132" s="63"/>
      <c r="AJ132" s="63"/>
      <c r="AK132" s="63"/>
      <c r="AL132" s="63"/>
      <c r="AM132" s="63"/>
      <c r="AN132" s="63"/>
      <c r="AO132" s="63"/>
      <c r="AP132" s="63"/>
      <c r="AQ132" s="63"/>
      <c r="AR132" s="63"/>
      <c r="AS132" s="63"/>
      <c r="AT132" s="63"/>
      <c r="AU132" s="63"/>
      <c r="AV132" s="63"/>
      <c r="AW132" s="63"/>
      <c r="AX132" s="63"/>
      <c r="AY132" s="63"/>
      <c r="AZ132" s="63"/>
      <c r="BB132" s="76"/>
      <c r="BC132" s="82"/>
      <c r="BD132" s="63"/>
      <c r="BE132" s="63"/>
      <c r="BF132" s="63"/>
      <c r="BG132" s="63"/>
      <c r="BH132" s="63"/>
      <c r="BI132" s="63"/>
      <c r="BJ132" s="63"/>
      <c r="BK132" s="63"/>
    </row>
    <row r="133" spans="7:63" x14ac:dyDescent="0.25">
      <c r="G133" s="73"/>
      <c r="H133" s="64"/>
      <c r="I133" s="64"/>
      <c r="S133" s="63"/>
      <c r="T133" s="63"/>
      <c r="U133" s="63"/>
      <c r="V133" s="63"/>
      <c r="X133" s="63"/>
      <c r="Y133" s="63"/>
      <c r="Z133" s="63"/>
      <c r="AA133" s="74"/>
      <c r="AB133" s="75"/>
      <c r="AC133" s="63"/>
      <c r="AD133" s="63"/>
      <c r="AE133" s="63"/>
      <c r="AF133" s="63"/>
      <c r="AG133" s="63"/>
      <c r="AJ133" s="63"/>
      <c r="AK133" s="63"/>
      <c r="AL133" s="63"/>
      <c r="AM133" s="63"/>
      <c r="AN133" s="63"/>
      <c r="AO133" s="63"/>
      <c r="AP133" s="63"/>
      <c r="AQ133" s="63"/>
      <c r="AR133" s="63"/>
      <c r="AS133" s="63"/>
      <c r="AT133" s="63"/>
      <c r="AU133" s="63"/>
      <c r="AV133" s="63"/>
      <c r="AW133" s="63"/>
      <c r="AX133" s="63"/>
      <c r="AY133" s="63"/>
      <c r="AZ133" s="63"/>
      <c r="BB133" s="76"/>
      <c r="BC133" s="82"/>
      <c r="BD133" s="63"/>
      <c r="BE133" s="63"/>
      <c r="BF133" s="63"/>
      <c r="BG133" s="63"/>
      <c r="BH133" s="63"/>
      <c r="BI133" s="63"/>
      <c r="BJ133" s="63"/>
      <c r="BK133" s="63"/>
    </row>
    <row r="134" spans="7:63" x14ac:dyDescent="0.25">
      <c r="G134" s="73"/>
      <c r="H134" s="64"/>
      <c r="I134" s="64"/>
      <c r="S134" s="63"/>
      <c r="T134" s="63"/>
      <c r="U134" s="63"/>
      <c r="V134" s="63"/>
      <c r="X134" s="63"/>
      <c r="Y134" s="63"/>
      <c r="Z134" s="63"/>
      <c r="AA134" s="74"/>
      <c r="AB134" s="75"/>
      <c r="AC134" s="63"/>
      <c r="AD134" s="63"/>
      <c r="AE134" s="63"/>
      <c r="AF134" s="63"/>
      <c r="AG134" s="63"/>
      <c r="AJ134" s="63"/>
      <c r="AK134" s="63"/>
      <c r="AL134" s="63"/>
      <c r="AM134" s="63"/>
      <c r="AN134" s="63"/>
      <c r="AO134" s="63"/>
      <c r="AP134" s="63"/>
      <c r="AQ134" s="63"/>
      <c r="AR134" s="63"/>
      <c r="AS134" s="63"/>
      <c r="AT134" s="63"/>
      <c r="AU134" s="63"/>
      <c r="AV134" s="63"/>
      <c r="AW134" s="63"/>
      <c r="AX134" s="63"/>
      <c r="AY134" s="63"/>
      <c r="AZ134" s="63"/>
      <c r="BB134" s="76"/>
      <c r="BC134" s="82"/>
      <c r="BD134" s="63"/>
      <c r="BE134" s="63"/>
      <c r="BF134" s="63"/>
      <c r="BG134" s="63"/>
      <c r="BH134" s="63"/>
      <c r="BI134" s="63"/>
      <c r="BJ134" s="63"/>
      <c r="BK134" s="63"/>
    </row>
    <row r="135" spans="7:63" x14ac:dyDescent="0.25">
      <c r="G135" s="73"/>
      <c r="H135" s="64"/>
      <c r="I135" s="64"/>
      <c r="S135" s="63"/>
      <c r="T135" s="63"/>
      <c r="U135" s="63"/>
      <c r="V135" s="63"/>
      <c r="X135" s="63"/>
      <c r="Y135" s="63"/>
      <c r="Z135" s="63"/>
      <c r="AA135" s="74"/>
      <c r="AB135" s="75"/>
      <c r="AC135" s="63"/>
      <c r="AD135" s="63"/>
      <c r="AE135" s="63"/>
      <c r="AF135" s="63"/>
      <c r="AG135" s="63"/>
      <c r="AJ135" s="63"/>
      <c r="AK135" s="63"/>
      <c r="AL135" s="63"/>
      <c r="AM135" s="63"/>
      <c r="AN135" s="63"/>
      <c r="AO135" s="63"/>
      <c r="AP135" s="63"/>
      <c r="AQ135" s="63"/>
      <c r="AR135" s="63"/>
      <c r="AS135" s="63"/>
      <c r="AT135" s="63"/>
      <c r="AU135" s="63"/>
      <c r="AV135" s="63"/>
      <c r="AW135" s="63"/>
      <c r="AX135" s="63"/>
      <c r="AY135" s="63"/>
      <c r="AZ135" s="63"/>
      <c r="BB135" s="76"/>
      <c r="BC135" s="82"/>
      <c r="BD135" s="63"/>
      <c r="BE135" s="63"/>
      <c r="BF135" s="63"/>
      <c r="BG135" s="63"/>
      <c r="BH135" s="63"/>
      <c r="BI135" s="63"/>
      <c r="BJ135" s="63"/>
      <c r="BK135" s="63"/>
    </row>
    <row r="136" spans="7:63" x14ac:dyDescent="0.25">
      <c r="G136" s="73"/>
      <c r="H136" s="64"/>
      <c r="I136" s="64"/>
      <c r="S136" s="63"/>
      <c r="T136" s="63"/>
      <c r="U136" s="63"/>
      <c r="V136" s="63"/>
      <c r="X136" s="63"/>
      <c r="Y136" s="63"/>
      <c r="Z136" s="63"/>
      <c r="AA136" s="74"/>
      <c r="AB136" s="75"/>
      <c r="AC136" s="63"/>
      <c r="AD136" s="63"/>
      <c r="AE136" s="63"/>
      <c r="AF136" s="63"/>
      <c r="AG136" s="63"/>
      <c r="AJ136" s="63"/>
      <c r="AK136" s="63"/>
      <c r="AL136" s="63"/>
      <c r="AM136" s="63"/>
      <c r="AN136" s="63"/>
      <c r="AO136" s="63"/>
      <c r="AP136" s="63"/>
      <c r="AQ136" s="63"/>
      <c r="AR136" s="63"/>
      <c r="AS136" s="63"/>
      <c r="AT136" s="63"/>
      <c r="AU136" s="63"/>
      <c r="AV136" s="63"/>
      <c r="AW136" s="63"/>
      <c r="AX136" s="63"/>
      <c r="AY136" s="63"/>
      <c r="AZ136" s="63"/>
      <c r="BB136" s="76"/>
      <c r="BC136" s="82"/>
      <c r="BD136" s="63"/>
      <c r="BE136" s="63"/>
      <c r="BF136" s="63"/>
      <c r="BG136" s="63"/>
      <c r="BH136" s="63"/>
      <c r="BI136" s="63"/>
      <c r="BJ136" s="63"/>
      <c r="BK136" s="63"/>
    </row>
    <row r="137" spans="7:63" x14ac:dyDescent="0.25">
      <c r="G137" s="73"/>
      <c r="H137" s="64"/>
      <c r="I137" s="64"/>
      <c r="S137" s="63"/>
      <c r="T137" s="63"/>
      <c r="U137" s="63"/>
      <c r="V137" s="63"/>
      <c r="X137" s="63"/>
      <c r="Y137" s="63"/>
      <c r="Z137" s="63"/>
      <c r="AA137" s="74"/>
      <c r="AB137" s="75"/>
      <c r="AC137" s="63"/>
      <c r="AD137" s="63"/>
      <c r="AE137" s="63"/>
      <c r="AF137" s="63"/>
      <c r="AG137" s="63"/>
      <c r="AJ137" s="63"/>
      <c r="AK137" s="63"/>
      <c r="AL137" s="63"/>
      <c r="AM137" s="63"/>
      <c r="AN137" s="63"/>
      <c r="AO137" s="63"/>
      <c r="AP137" s="63"/>
      <c r="AQ137" s="63"/>
      <c r="AR137" s="63"/>
      <c r="AS137" s="63"/>
      <c r="AT137" s="63"/>
      <c r="AU137" s="63"/>
      <c r="AV137" s="63"/>
      <c r="AW137" s="63"/>
      <c r="AX137" s="63"/>
      <c r="AY137" s="63"/>
      <c r="AZ137" s="63"/>
      <c r="BB137" s="76"/>
      <c r="BC137" s="82"/>
      <c r="BD137" s="63"/>
      <c r="BE137" s="63"/>
      <c r="BF137" s="63"/>
      <c r="BG137" s="63"/>
      <c r="BH137" s="63"/>
      <c r="BI137" s="63"/>
      <c r="BJ137" s="63"/>
      <c r="BK137" s="63"/>
    </row>
    <row r="138" spans="7:63" x14ac:dyDescent="0.25">
      <c r="G138" s="73"/>
      <c r="H138" s="64"/>
      <c r="I138" s="64"/>
      <c r="S138" s="63"/>
      <c r="T138" s="63"/>
      <c r="U138" s="63"/>
      <c r="V138" s="63"/>
      <c r="X138" s="63"/>
      <c r="Y138" s="63"/>
      <c r="Z138" s="63"/>
      <c r="AA138" s="74"/>
      <c r="AB138" s="75"/>
      <c r="AC138" s="63"/>
      <c r="AD138" s="63"/>
      <c r="AE138" s="63"/>
      <c r="AF138" s="63"/>
      <c r="AG138" s="63"/>
      <c r="AJ138" s="63"/>
      <c r="AK138" s="63"/>
      <c r="AL138" s="63"/>
      <c r="AM138" s="63"/>
      <c r="AN138" s="63"/>
      <c r="AO138" s="63"/>
      <c r="AP138" s="63"/>
      <c r="AQ138" s="63"/>
      <c r="AR138" s="63"/>
      <c r="AS138" s="63"/>
      <c r="AT138" s="63"/>
      <c r="AU138" s="63"/>
      <c r="AV138" s="63"/>
      <c r="AW138" s="63"/>
      <c r="AX138" s="63"/>
      <c r="AY138" s="63"/>
      <c r="AZ138" s="63"/>
      <c r="BB138" s="76"/>
      <c r="BC138" s="82"/>
      <c r="BD138" s="63"/>
      <c r="BE138" s="63"/>
      <c r="BF138" s="63"/>
      <c r="BG138" s="63"/>
      <c r="BH138" s="63"/>
      <c r="BI138" s="63"/>
      <c r="BJ138" s="63"/>
      <c r="BK138" s="63"/>
    </row>
    <row r="139" spans="7:63" x14ac:dyDescent="0.25">
      <c r="G139" s="73"/>
      <c r="H139" s="64"/>
      <c r="I139" s="64"/>
      <c r="S139" s="63"/>
      <c r="T139" s="63"/>
      <c r="U139" s="63"/>
      <c r="V139" s="63"/>
      <c r="X139" s="63"/>
      <c r="Y139" s="63"/>
      <c r="Z139" s="63"/>
      <c r="AA139" s="74"/>
      <c r="AB139" s="75"/>
      <c r="AC139" s="63"/>
      <c r="AD139" s="63"/>
      <c r="AE139" s="63"/>
      <c r="AF139" s="63"/>
      <c r="AG139" s="63"/>
      <c r="AJ139" s="63"/>
      <c r="AK139" s="63"/>
      <c r="AL139" s="63"/>
      <c r="AM139" s="63"/>
      <c r="AN139" s="63"/>
      <c r="AO139" s="63"/>
      <c r="AP139" s="63"/>
      <c r="AQ139" s="63"/>
      <c r="AR139" s="63"/>
      <c r="AS139" s="63"/>
      <c r="AT139" s="63"/>
      <c r="AU139" s="63"/>
      <c r="AV139" s="63"/>
      <c r="AW139" s="63"/>
      <c r="AX139" s="63"/>
      <c r="AY139" s="63"/>
      <c r="AZ139" s="63"/>
      <c r="BB139" s="76"/>
      <c r="BC139" s="82"/>
      <c r="BD139" s="63"/>
      <c r="BE139" s="63"/>
      <c r="BF139" s="63"/>
      <c r="BG139" s="63"/>
      <c r="BH139" s="63"/>
      <c r="BI139" s="63"/>
      <c r="BJ139" s="63"/>
      <c r="BK139" s="63"/>
    </row>
    <row r="140" spans="7:63" x14ac:dyDescent="0.25">
      <c r="G140" s="73"/>
      <c r="H140" s="64"/>
      <c r="I140" s="64"/>
      <c r="S140" s="63"/>
      <c r="T140" s="63"/>
      <c r="U140" s="63"/>
      <c r="V140" s="63"/>
      <c r="X140" s="63"/>
      <c r="Y140" s="63"/>
      <c r="Z140" s="63"/>
      <c r="AA140" s="74"/>
      <c r="AB140" s="75"/>
      <c r="AC140" s="63"/>
      <c r="AD140" s="63"/>
      <c r="AE140" s="63"/>
      <c r="AF140" s="63"/>
      <c r="AG140" s="63"/>
      <c r="AJ140" s="63"/>
      <c r="AK140" s="63"/>
      <c r="AL140" s="63"/>
      <c r="AM140" s="63"/>
      <c r="AN140" s="63"/>
      <c r="AO140" s="63"/>
      <c r="AP140" s="63"/>
      <c r="AQ140" s="63"/>
      <c r="AR140" s="63"/>
      <c r="AS140" s="63"/>
      <c r="AT140" s="63"/>
      <c r="AU140" s="63"/>
      <c r="AV140" s="63"/>
      <c r="AW140" s="63"/>
      <c r="AX140" s="63"/>
      <c r="AY140" s="63"/>
      <c r="AZ140" s="63"/>
      <c r="BB140" s="76"/>
      <c r="BC140" s="82"/>
      <c r="BD140" s="63"/>
      <c r="BE140" s="63"/>
      <c r="BF140" s="63"/>
      <c r="BG140" s="63"/>
      <c r="BH140" s="63"/>
      <c r="BI140" s="63"/>
      <c r="BJ140" s="63"/>
      <c r="BK140" s="63"/>
    </row>
    <row r="141" spans="7:63" x14ac:dyDescent="0.25">
      <c r="G141" s="73"/>
      <c r="H141" s="64"/>
      <c r="I141" s="64"/>
      <c r="S141" s="63"/>
      <c r="T141" s="63"/>
      <c r="U141" s="63"/>
      <c r="V141" s="63"/>
      <c r="X141" s="63"/>
      <c r="Y141" s="63"/>
      <c r="Z141" s="63"/>
      <c r="AA141" s="74"/>
      <c r="AB141" s="75"/>
      <c r="AC141" s="63"/>
      <c r="AD141" s="63"/>
      <c r="AE141" s="63"/>
      <c r="AF141" s="63"/>
      <c r="AG141" s="63"/>
      <c r="AJ141" s="63"/>
      <c r="AK141" s="63"/>
      <c r="AL141" s="63"/>
      <c r="AM141" s="63"/>
      <c r="AN141" s="63"/>
      <c r="AO141" s="63"/>
      <c r="AP141" s="63"/>
      <c r="AQ141" s="63"/>
      <c r="AR141" s="63"/>
      <c r="AS141" s="63"/>
      <c r="AT141" s="63"/>
      <c r="AU141" s="63"/>
      <c r="AV141" s="63"/>
      <c r="AW141" s="63"/>
      <c r="AX141" s="63"/>
      <c r="AY141" s="63"/>
      <c r="AZ141" s="63"/>
      <c r="BB141" s="76"/>
      <c r="BC141" s="82"/>
      <c r="BD141" s="63"/>
      <c r="BE141" s="63"/>
      <c r="BF141" s="63"/>
      <c r="BG141" s="63"/>
      <c r="BH141" s="63"/>
      <c r="BI141" s="63"/>
      <c r="BJ141" s="63"/>
      <c r="BK141" s="63"/>
    </row>
    <row r="142" spans="7:63" x14ac:dyDescent="0.25">
      <c r="G142" s="73"/>
      <c r="H142" s="64"/>
      <c r="I142" s="64"/>
      <c r="S142" s="63"/>
      <c r="T142" s="63"/>
      <c r="U142" s="63"/>
      <c r="V142" s="63"/>
      <c r="X142" s="63"/>
      <c r="Y142" s="63"/>
      <c r="Z142" s="63"/>
      <c r="AA142" s="74"/>
      <c r="AB142" s="75"/>
      <c r="AC142" s="63"/>
      <c r="AD142" s="63"/>
      <c r="AE142" s="63"/>
      <c r="AF142" s="63"/>
      <c r="AG142" s="63"/>
      <c r="AJ142" s="63"/>
      <c r="AK142" s="63"/>
      <c r="AL142" s="63"/>
      <c r="AM142" s="63"/>
      <c r="AN142" s="63"/>
      <c r="AO142" s="63"/>
      <c r="AP142" s="63"/>
      <c r="AQ142" s="63"/>
      <c r="AR142" s="63"/>
      <c r="AS142" s="63"/>
      <c r="AT142" s="63"/>
      <c r="AU142" s="63"/>
      <c r="AV142" s="63"/>
      <c r="AW142" s="63"/>
      <c r="AX142" s="63"/>
      <c r="AY142" s="63"/>
      <c r="AZ142" s="63"/>
      <c r="BB142" s="76"/>
      <c r="BC142" s="82"/>
      <c r="BD142" s="63"/>
      <c r="BE142" s="63"/>
      <c r="BF142" s="63"/>
      <c r="BG142" s="63"/>
      <c r="BH142" s="63"/>
      <c r="BI142" s="63"/>
      <c r="BJ142" s="63"/>
      <c r="BK142" s="63"/>
    </row>
    <row r="143" spans="7:63" x14ac:dyDescent="0.25">
      <c r="G143" s="73"/>
      <c r="H143" s="64"/>
      <c r="I143" s="64"/>
      <c r="S143" s="63"/>
      <c r="T143" s="63"/>
      <c r="U143" s="63"/>
      <c r="V143" s="63"/>
      <c r="X143" s="63"/>
      <c r="Y143" s="63"/>
      <c r="Z143" s="63"/>
      <c r="AA143" s="74"/>
      <c r="AB143" s="75"/>
      <c r="AC143" s="63"/>
      <c r="AD143" s="63"/>
      <c r="AE143" s="63"/>
      <c r="AF143" s="63"/>
      <c r="AG143" s="63"/>
      <c r="AJ143" s="63"/>
      <c r="AK143" s="63"/>
      <c r="AL143" s="63"/>
      <c r="AM143" s="63"/>
      <c r="AN143" s="63"/>
      <c r="AO143" s="63"/>
      <c r="AP143" s="63"/>
      <c r="AQ143" s="63"/>
      <c r="AR143" s="63"/>
      <c r="AS143" s="63"/>
      <c r="AT143" s="63"/>
      <c r="AU143" s="63"/>
      <c r="AV143" s="63"/>
      <c r="AW143" s="63"/>
      <c r="AX143" s="63"/>
      <c r="AY143" s="63"/>
      <c r="AZ143" s="63"/>
      <c r="BB143" s="76"/>
      <c r="BC143" s="82"/>
      <c r="BD143" s="63"/>
      <c r="BE143" s="63"/>
      <c r="BF143" s="63"/>
      <c r="BG143" s="63"/>
      <c r="BH143" s="63"/>
      <c r="BI143" s="63"/>
      <c r="BJ143" s="63"/>
      <c r="BK143" s="63"/>
    </row>
    <row r="144" spans="7:63" x14ac:dyDescent="0.25">
      <c r="G144" s="73"/>
      <c r="H144" s="64"/>
      <c r="I144" s="64"/>
      <c r="S144" s="63"/>
      <c r="T144" s="63"/>
      <c r="U144" s="63"/>
      <c r="V144" s="63"/>
      <c r="X144" s="63"/>
      <c r="Y144" s="63"/>
      <c r="Z144" s="63"/>
      <c r="AA144" s="74"/>
      <c r="AB144" s="75"/>
      <c r="AC144" s="63"/>
      <c r="AD144" s="63"/>
      <c r="AE144" s="63"/>
      <c r="AF144" s="63"/>
      <c r="AG144" s="63"/>
      <c r="AJ144" s="63"/>
      <c r="AK144" s="63"/>
      <c r="AL144" s="63"/>
      <c r="AM144" s="63"/>
      <c r="AN144" s="63"/>
      <c r="AO144" s="63"/>
      <c r="AP144" s="63"/>
      <c r="AQ144" s="63"/>
      <c r="AR144" s="63"/>
      <c r="AS144" s="63"/>
      <c r="AT144" s="63"/>
      <c r="AU144" s="63"/>
      <c r="AV144" s="63"/>
      <c r="AW144" s="63"/>
      <c r="AX144" s="63"/>
      <c r="AY144" s="63"/>
      <c r="AZ144" s="63"/>
      <c r="BB144" s="76"/>
      <c r="BC144" s="82"/>
      <c r="BD144" s="63"/>
      <c r="BE144" s="63"/>
      <c r="BF144" s="63"/>
      <c r="BG144" s="63"/>
      <c r="BH144" s="63"/>
      <c r="BI144" s="63"/>
      <c r="BJ144" s="63"/>
      <c r="BK144" s="63"/>
    </row>
    <row r="145" spans="7:63" x14ac:dyDescent="0.25">
      <c r="G145" s="73"/>
      <c r="H145" s="64"/>
      <c r="I145" s="64"/>
      <c r="S145" s="63"/>
      <c r="T145" s="63"/>
      <c r="U145" s="63"/>
      <c r="V145" s="63"/>
      <c r="X145" s="63"/>
      <c r="Y145" s="63"/>
      <c r="Z145" s="63"/>
      <c r="AA145" s="74"/>
      <c r="AB145" s="75"/>
      <c r="AC145" s="63"/>
      <c r="AD145" s="63"/>
      <c r="AE145" s="63"/>
      <c r="AF145" s="63"/>
      <c r="AG145" s="63"/>
      <c r="AJ145" s="63"/>
      <c r="AK145" s="63"/>
      <c r="AL145" s="63"/>
      <c r="AM145" s="63"/>
      <c r="AN145" s="63"/>
      <c r="AO145" s="63"/>
      <c r="AP145" s="63"/>
      <c r="AQ145" s="63"/>
      <c r="AR145" s="63"/>
      <c r="AS145" s="63"/>
      <c r="AT145" s="63"/>
      <c r="AU145" s="63"/>
      <c r="AV145" s="63"/>
      <c r="AW145" s="63"/>
      <c r="AX145" s="63"/>
      <c r="AY145" s="63"/>
      <c r="AZ145" s="63"/>
      <c r="BB145" s="76"/>
      <c r="BC145" s="82"/>
      <c r="BD145" s="63"/>
      <c r="BE145" s="63"/>
      <c r="BF145" s="63"/>
      <c r="BG145" s="63"/>
      <c r="BH145" s="63"/>
      <c r="BI145" s="63"/>
      <c r="BJ145" s="63"/>
      <c r="BK145" s="63"/>
    </row>
    <row r="146" spans="7:63" x14ac:dyDescent="0.25">
      <c r="G146" s="73"/>
      <c r="H146" s="64"/>
      <c r="I146" s="64"/>
      <c r="S146" s="63"/>
      <c r="T146" s="63"/>
      <c r="U146" s="63"/>
      <c r="V146" s="63"/>
      <c r="X146" s="63"/>
      <c r="Y146" s="63"/>
      <c r="Z146" s="63"/>
      <c r="AA146" s="74"/>
      <c r="AB146" s="75"/>
      <c r="AC146" s="63"/>
      <c r="AD146" s="63"/>
      <c r="AE146" s="63"/>
      <c r="AF146" s="63"/>
      <c r="AG146" s="63"/>
      <c r="AJ146" s="63"/>
      <c r="AK146" s="63"/>
      <c r="AL146" s="63"/>
      <c r="AM146" s="63"/>
      <c r="AN146" s="63"/>
      <c r="AO146" s="63"/>
      <c r="AP146" s="63"/>
      <c r="AQ146" s="63"/>
      <c r="AR146" s="63"/>
      <c r="AS146" s="63"/>
      <c r="AT146" s="63"/>
      <c r="AU146" s="63"/>
      <c r="AV146" s="63"/>
      <c r="AW146" s="63"/>
      <c r="AX146" s="63"/>
      <c r="AY146" s="63"/>
      <c r="AZ146" s="63"/>
      <c r="BB146" s="76"/>
      <c r="BC146" s="82"/>
      <c r="BD146" s="63"/>
      <c r="BE146" s="63"/>
      <c r="BF146" s="63"/>
      <c r="BG146" s="63"/>
      <c r="BH146" s="63"/>
      <c r="BI146" s="63"/>
      <c r="BJ146" s="63"/>
      <c r="BK146" s="63"/>
    </row>
    <row r="147" spans="7:63" x14ac:dyDescent="0.25">
      <c r="G147" s="73"/>
      <c r="H147" s="64"/>
      <c r="I147" s="64"/>
      <c r="S147" s="63"/>
      <c r="T147" s="63"/>
      <c r="U147" s="63"/>
      <c r="V147" s="63"/>
      <c r="X147" s="63"/>
      <c r="Y147" s="63"/>
      <c r="Z147" s="63"/>
      <c r="AA147" s="74"/>
      <c r="AB147" s="75"/>
      <c r="AC147" s="63"/>
      <c r="AD147" s="63"/>
      <c r="AE147" s="63"/>
      <c r="AF147" s="63"/>
      <c r="AG147" s="63"/>
      <c r="AJ147" s="63"/>
      <c r="AK147" s="63"/>
      <c r="AL147" s="63"/>
      <c r="AM147" s="63"/>
      <c r="AN147" s="63"/>
      <c r="AO147" s="63"/>
      <c r="AP147" s="63"/>
      <c r="AQ147" s="63"/>
      <c r="AR147" s="63"/>
      <c r="AS147" s="63"/>
      <c r="AT147" s="63"/>
      <c r="AU147" s="63"/>
      <c r="AV147" s="63"/>
      <c r="AW147" s="63"/>
      <c r="AX147" s="63"/>
      <c r="AY147" s="63"/>
      <c r="AZ147" s="63"/>
      <c r="BB147" s="76"/>
      <c r="BC147" s="82"/>
      <c r="BD147" s="63"/>
      <c r="BE147" s="63"/>
      <c r="BF147" s="63"/>
      <c r="BG147" s="63"/>
      <c r="BH147" s="63"/>
      <c r="BI147" s="63"/>
      <c r="BJ147" s="63"/>
      <c r="BK147" s="63"/>
    </row>
    <row r="148" spans="7:63" x14ac:dyDescent="0.25">
      <c r="G148" s="73"/>
      <c r="H148" s="64"/>
      <c r="I148" s="64"/>
      <c r="S148" s="63"/>
      <c r="T148" s="63"/>
      <c r="U148" s="63"/>
      <c r="V148" s="63"/>
      <c r="X148" s="63"/>
      <c r="Y148" s="63"/>
      <c r="Z148" s="63"/>
      <c r="AA148" s="74"/>
      <c r="AB148" s="75"/>
      <c r="AC148" s="63"/>
      <c r="AD148" s="63"/>
      <c r="AE148" s="63"/>
      <c r="AF148" s="63"/>
      <c r="AG148" s="63"/>
      <c r="AJ148" s="63"/>
      <c r="AK148" s="63"/>
      <c r="AL148" s="63"/>
      <c r="AM148" s="63"/>
      <c r="AN148" s="63"/>
      <c r="AO148" s="63"/>
      <c r="AP148" s="63"/>
      <c r="AQ148" s="63"/>
      <c r="AR148" s="63"/>
      <c r="AS148" s="63"/>
      <c r="AT148" s="63"/>
      <c r="AU148" s="63"/>
      <c r="AV148" s="63"/>
      <c r="AW148" s="63"/>
      <c r="AX148" s="63"/>
      <c r="AY148" s="63"/>
      <c r="AZ148" s="63"/>
      <c r="BB148" s="76"/>
      <c r="BC148" s="82"/>
      <c r="BD148" s="63"/>
      <c r="BE148" s="63"/>
      <c r="BF148" s="63"/>
      <c r="BG148" s="63"/>
      <c r="BH148" s="63"/>
      <c r="BI148" s="63"/>
      <c r="BJ148" s="63"/>
      <c r="BK148" s="63"/>
    </row>
    <row r="149" spans="7:63" x14ac:dyDescent="0.25">
      <c r="G149" s="73"/>
      <c r="H149" s="64"/>
      <c r="I149" s="64"/>
      <c r="S149" s="63"/>
      <c r="T149" s="63"/>
      <c r="U149" s="63"/>
      <c r="V149" s="63"/>
      <c r="X149" s="63"/>
      <c r="Y149" s="63"/>
      <c r="Z149" s="63"/>
      <c r="AA149" s="74"/>
      <c r="AB149" s="75"/>
      <c r="AC149" s="63"/>
      <c r="AD149" s="63"/>
      <c r="AE149" s="63"/>
      <c r="AF149" s="63"/>
      <c r="AG149" s="63"/>
      <c r="AJ149" s="63"/>
      <c r="AK149" s="63"/>
      <c r="AL149" s="63"/>
      <c r="AM149" s="63"/>
      <c r="AN149" s="63"/>
      <c r="AO149" s="63"/>
      <c r="AP149" s="63"/>
      <c r="AQ149" s="63"/>
      <c r="AR149" s="63"/>
      <c r="AS149" s="63"/>
      <c r="AT149" s="63"/>
      <c r="AU149" s="63"/>
      <c r="AV149" s="63"/>
      <c r="AW149" s="63"/>
      <c r="AX149" s="63"/>
      <c r="AY149" s="63"/>
      <c r="AZ149" s="63"/>
      <c r="BB149" s="76"/>
      <c r="BC149" s="82"/>
      <c r="BD149" s="63"/>
      <c r="BE149" s="63"/>
      <c r="BF149" s="63"/>
      <c r="BG149" s="63"/>
      <c r="BH149" s="63"/>
      <c r="BI149" s="63"/>
      <c r="BJ149" s="63"/>
      <c r="BK149" s="63"/>
    </row>
    <row r="150" spans="7:63" x14ac:dyDescent="0.25">
      <c r="G150" s="73"/>
      <c r="H150" s="64"/>
      <c r="I150" s="64"/>
      <c r="S150" s="63"/>
      <c r="T150" s="63"/>
      <c r="U150" s="63"/>
      <c r="V150" s="63"/>
      <c r="X150" s="63"/>
      <c r="Y150" s="63"/>
      <c r="Z150" s="63"/>
      <c r="AA150" s="74"/>
      <c r="AB150" s="75"/>
      <c r="AC150" s="63"/>
      <c r="AD150" s="63"/>
      <c r="AE150" s="63"/>
      <c r="AF150" s="63"/>
      <c r="AG150" s="63"/>
      <c r="AJ150" s="63"/>
      <c r="AK150" s="63"/>
      <c r="AL150" s="63"/>
      <c r="AM150" s="63"/>
      <c r="AN150" s="63"/>
      <c r="AO150" s="63"/>
      <c r="AP150" s="63"/>
      <c r="AQ150" s="63"/>
      <c r="AR150" s="63"/>
      <c r="AS150" s="63"/>
      <c r="AT150" s="63"/>
      <c r="AU150" s="63"/>
      <c r="AV150" s="63"/>
      <c r="AW150" s="63"/>
      <c r="AX150" s="63"/>
      <c r="AY150" s="63"/>
      <c r="AZ150" s="63"/>
      <c r="BB150" s="76"/>
      <c r="BC150" s="82"/>
      <c r="BD150" s="63"/>
      <c r="BE150" s="63"/>
      <c r="BF150" s="63"/>
      <c r="BG150" s="63"/>
      <c r="BH150" s="63"/>
      <c r="BI150" s="63"/>
      <c r="BJ150" s="63"/>
      <c r="BK150" s="63"/>
    </row>
    <row r="151" spans="7:63" x14ac:dyDescent="0.25">
      <c r="G151" s="73"/>
      <c r="H151" s="64"/>
      <c r="I151" s="64"/>
      <c r="S151" s="63"/>
      <c r="T151" s="63"/>
      <c r="U151" s="63"/>
      <c r="V151" s="63"/>
      <c r="X151" s="63"/>
      <c r="Y151" s="63"/>
      <c r="Z151" s="63"/>
      <c r="AA151" s="74"/>
      <c r="AB151" s="75"/>
      <c r="AC151" s="63"/>
      <c r="AD151" s="63"/>
      <c r="AE151" s="63"/>
      <c r="AF151" s="63"/>
      <c r="AG151" s="63"/>
      <c r="AJ151" s="63"/>
      <c r="AK151" s="63"/>
      <c r="AL151" s="63"/>
      <c r="AM151" s="63"/>
      <c r="AN151" s="63"/>
      <c r="AO151" s="63"/>
      <c r="AP151" s="63"/>
      <c r="AQ151" s="63"/>
      <c r="AR151" s="63"/>
      <c r="AS151" s="63"/>
      <c r="AT151" s="63"/>
      <c r="AU151" s="63"/>
      <c r="AV151" s="63"/>
      <c r="AW151" s="63"/>
      <c r="AX151" s="63"/>
      <c r="AY151" s="63"/>
      <c r="AZ151" s="63"/>
      <c r="BB151" s="76"/>
      <c r="BC151" s="82"/>
      <c r="BD151" s="63"/>
      <c r="BE151" s="63"/>
      <c r="BF151" s="63"/>
      <c r="BG151" s="63"/>
      <c r="BH151" s="63"/>
      <c r="BI151" s="63"/>
      <c r="BJ151" s="63"/>
      <c r="BK151" s="63"/>
    </row>
    <row r="152" spans="7:63" x14ac:dyDescent="0.25">
      <c r="G152" s="73"/>
      <c r="H152" s="64"/>
      <c r="I152" s="64"/>
      <c r="S152" s="63"/>
      <c r="T152" s="63"/>
      <c r="U152" s="63"/>
      <c r="V152" s="63"/>
      <c r="X152" s="63"/>
      <c r="Y152" s="63"/>
      <c r="Z152" s="63"/>
      <c r="AA152" s="74"/>
      <c r="AB152" s="75"/>
      <c r="AC152" s="63"/>
      <c r="AD152" s="63"/>
      <c r="AE152" s="63"/>
      <c r="AF152" s="63"/>
      <c r="AG152" s="63"/>
      <c r="AJ152" s="63"/>
      <c r="AK152" s="63"/>
      <c r="AL152" s="63"/>
      <c r="AM152" s="63"/>
      <c r="AN152" s="63"/>
      <c r="AO152" s="63"/>
      <c r="AP152" s="63"/>
      <c r="AQ152" s="63"/>
      <c r="AR152" s="63"/>
      <c r="AS152" s="63"/>
      <c r="AT152" s="63"/>
      <c r="AU152" s="63"/>
      <c r="AV152" s="63"/>
      <c r="AW152" s="63"/>
      <c r="AX152" s="63"/>
      <c r="AY152" s="63"/>
      <c r="AZ152" s="63"/>
      <c r="BB152" s="76"/>
      <c r="BC152" s="82"/>
      <c r="BD152" s="63"/>
      <c r="BE152" s="63"/>
      <c r="BF152" s="63"/>
      <c r="BG152" s="63"/>
      <c r="BH152" s="63"/>
      <c r="BI152" s="63"/>
      <c r="BJ152" s="63"/>
      <c r="BK152" s="63"/>
    </row>
    <row r="153" spans="7:63" x14ac:dyDescent="0.25">
      <c r="G153" s="73"/>
      <c r="H153" s="64"/>
      <c r="I153" s="64"/>
      <c r="S153" s="63"/>
      <c r="T153" s="63"/>
      <c r="U153" s="63"/>
      <c r="V153" s="63"/>
      <c r="X153" s="63"/>
      <c r="Y153" s="63"/>
      <c r="Z153" s="63"/>
      <c r="AA153" s="74"/>
      <c r="AB153" s="75"/>
      <c r="AC153" s="63"/>
      <c r="AD153" s="63"/>
      <c r="AE153" s="63"/>
      <c r="AF153" s="63"/>
      <c r="AG153" s="63"/>
      <c r="AJ153" s="63"/>
      <c r="AK153" s="63"/>
      <c r="AL153" s="63"/>
      <c r="AM153" s="63"/>
      <c r="AN153" s="63"/>
      <c r="AO153" s="63"/>
      <c r="AP153" s="63"/>
      <c r="AQ153" s="63"/>
      <c r="AR153" s="63"/>
      <c r="AS153" s="63"/>
      <c r="AT153" s="63"/>
      <c r="AU153" s="63"/>
      <c r="AV153" s="63"/>
      <c r="AW153" s="63"/>
      <c r="AX153" s="63"/>
      <c r="AY153" s="63"/>
      <c r="AZ153" s="63"/>
      <c r="BB153" s="76"/>
      <c r="BC153" s="82"/>
      <c r="BD153" s="63"/>
      <c r="BE153" s="63"/>
      <c r="BF153" s="63"/>
      <c r="BG153" s="63"/>
      <c r="BH153" s="63"/>
      <c r="BI153" s="63"/>
      <c r="BJ153" s="63"/>
      <c r="BK153" s="63"/>
    </row>
    <row r="154" spans="7:63" x14ac:dyDescent="0.25">
      <c r="G154" s="73"/>
      <c r="H154" s="64"/>
      <c r="I154" s="64"/>
      <c r="S154" s="63"/>
      <c r="T154" s="63"/>
      <c r="U154" s="63"/>
      <c r="V154" s="63"/>
      <c r="X154" s="63"/>
      <c r="Y154" s="63"/>
      <c r="Z154" s="63"/>
      <c r="AA154" s="74"/>
      <c r="AB154" s="75"/>
      <c r="AC154" s="63"/>
      <c r="AD154" s="63"/>
      <c r="AE154" s="63"/>
      <c r="AF154" s="63"/>
      <c r="AG154" s="63"/>
      <c r="AJ154" s="63"/>
      <c r="AK154" s="63"/>
      <c r="AL154" s="63"/>
      <c r="AM154" s="63"/>
      <c r="AN154" s="63"/>
      <c r="AO154" s="63"/>
      <c r="AP154" s="63"/>
      <c r="AQ154" s="63"/>
      <c r="AR154" s="63"/>
      <c r="AS154" s="63"/>
      <c r="AT154" s="63"/>
      <c r="AU154" s="63"/>
      <c r="AV154" s="63"/>
      <c r="AW154" s="63"/>
      <c r="AX154" s="63"/>
      <c r="AY154" s="63"/>
      <c r="AZ154" s="63"/>
      <c r="BB154" s="76"/>
      <c r="BC154" s="82"/>
      <c r="BD154" s="63"/>
      <c r="BE154" s="63"/>
      <c r="BF154" s="63"/>
      <c r="BG154" s="63"/>
      <c r="BH154" s="63"/>
      <c r="BI154" s="63"/>
      <c r="BJ154" s="63"/>
      <c r="BK154" s="63"/>
    </row>
    <row r="155" spans="7:63" x14ac:dyDescent="0.25">
      <c r="G155" s="73"/>
      <c r="H155" s="64"/>
      <c r="I155" s="64"/>
      <c r="S155" s="63"/>
      <c r="T155" s="63"/>
      <c r="U155" s="63"/>
      <c r="V155" s="63"/>
      <c r="X155" s="63"/>
      <c r="Y155" s="63"/>
      <c r="Z155" s="63"/>
      <c r="AA155" s="74"/>
      <c r="AB155" s="75"/>
      <c r="AC155" s="63"/>
      <c r="AD155" s="63"/>
      <c r="AE155" s="63"/>
      <c r="AF155" s="63"/>
      <c r="AG155" s="63"/>
      <c r="AJ155" s="63"/>
      <c r="AK155" s="63"/>
      <c r="AL155" s="63"/>
      <c r="AM155" s="63"/>
      <c r="AN155" s="63"/>
      <c r="AO155" s="63"/>
      <c r="AP155" s="63"/>
      <c r="AQ155" s="63"/>
      <c r="AR155" s="63"/>
      <c r="AS155" s="63"/>
      <c r="AT155" s="63"/>
      <c r="AU155" s="63"/>
      <c r="AV155" s="63"/>
      <c r="AW155" s="63"/>
      <c r="AX155" s="63"/>
      <c r="AY155" s="63"/>
      <c r="AZ155" s="63"/>
      <c r="BB155" s="76"/>
      <c r="BC155" s="82"/>
      <c r="BD155" s="63"/>
      <c r="BE155" s="63"/>
      <c r="BF155" s="63"/>
      <c r="BG155" s="63"/>
      <c r="BH155" s="63"/>
      <c r="BI155" s="63"/>
      <c r="BJ155" s="63"/>
      <c r="BK155" s="63"/>
    </row>
    <row r="156" spans="7:63" x14ac:dyDescent="0.25">
      <c r="G156" s="73"/>
      <c r="H156" s="64"/>
      <c r="I156" s="64"/>
      <c r="S156" s="63"/>
      <c r="T156" s="63"/>
      <c r="U156" s="63"/>
      <c r="V156" s="63"/>
      <c r="X156" s="63"/>
      <c r="Y156" s="63"/>
      <c r="Z156" s="63"/>
      <c r="AA156" s="74"/>
      <c r="AB156" s="75"/>
      <c r="AC156" s="63"/>
      <c r="AD156" s="63"/>
      <c r="AE156" s="63"/>
      <c r="AF156" s="63"/>
      <c r="AG156" s="63"/>
      <c r="AJ156" s="63"/>
      <c r="AK156" s="63"/>
      <c r="AL156" s="63"/>
      <c r="AM156" s="63"/>
      <c r="AN156" s="63"/>
      <c r="AO156" s="63"/>
      <c r="AP156" s="63"/>
      <c r="AQ156" s="63"/>
      <c r="AR156" s="63"/>
      <c r="AS156" s="63"/>
      <c r="AT156" s="63"/>
      <c r="AU156" s="63"/>
      <c r="AV156" s="63"/>
      <c r="AW156" s="63"/>
      <c r="AX156" s="63"/>
      <c r="AY156" s="63"/>
      <c r="AZ156" s="63"/>
      <c r="BB156" s="76"/>
      <c r="BC156" s="82"/>
      <c r="BD156" s="63"/>
      <c r="BE156" s="63"/>
      <c r="BF156" s="63"/>
      <c r="BG156" s="63"/>
      <c r="BH156" s="63"/>
      <c r="BI156" s="63"/>
      <c r="BJ156" s="63"/>
      <c r="BK156" s="63"/>
    </row>
    <row r="157" spans="7:63" x14ac:dyDescent="0.25">
      <c r="G157" s="73"/>
      <c r="H157" s="64"/>
      <c r="I157" s="64"/>
      <c r="S157" s="63"/>
      <c r="T157" s="63"/>
      <c r="U157" s="63"/>
      <c r="V157" s="63"/>
      <c r="X157" s="63"/>
      <c r="Y157" s="63"/>
      <c r="Z157" s="63"/>
      <c r="AA157" s="74"/>
      <c r="AB157" s="75"/>
      <c r="AC157" s="63"/>
      <c r="AD157" s="63"/>
      <c r="AE157" s="63"/>
      <c r="AF157" s="63"/>
      <c r="AG157" s="63"/>
      <c r="AJ157" s="63"/>
      <c r="AK157" s="63"/>
      <c r="AL157" s="63"/>
      <c r="AM157" s="63"/>
      <c r="AN157" s="63"/>
      <c r="AO157" s="63"/>
      <c r="AP157" s="63"/>
      <c r="AQ157" s="63"/>
      <c r="AR157" s="63"/>
      <c r="AS157" s="63"/>
      <c r="AT157" s="63"/>
      <c r="AU157" s="63"/>
      <c r="AV157" s="63"/>
      <c r="AW157" s="63"/>
      <c r="AX157" s="63"/>
      <c r="AY157" s="63"/>
      <c r="AZ157" s="63"/>
      <c r="BB157" s="76"/>
      <c r="BC157" s="82"/>
      <c r="BD157" s="63"/>
      <c r="BE157" s="63"/>
      <c r="BF157" s="63"/>
      <c r="BG157" s="63"/>
      <c r="BH157" s="63"/>
      <c r="BI157" s="63"/>
      <c r="BJ157" s="63"/>
      <c r="BK157" s="63"/>
    </row>
    <row r="158" spans="7:63" x14ac:dyDescent="0.25">
      <c r="G158" s="73"/>
      <c r="H158" s="64"/>
      <c r="I158" s="64"/>
      <c r="S158" s="63"/>
      <c r="T158" s="63"/>
      <c r="U158" s="63"/>
      <c r="V158" s="63"/>
      <c r="X158" s="63"/>
      <c r="Y158" s="63"/>
      <c r="Z158" s="63"/>
      <c r="AA158" s="74"/>
      <c r="AB158" s="75"/>
      <c r="AC158" s="63"/>
      <c r="AD158" s="63"/>
      <c r="AE158" s="63"/>
      <c r="AF158" s="63"/>
      <c r="AG158" s="63"/>
      <c r="AJ158" s="63"/>
      <c r="AK158" s="63"/>
      <c r="AL158" s="63"/>
      <c r="AM158" s="63"/>
      <c r="AN158" s="63"/>
      <c r="AO158" s="63"/>
      <c r="AP158" s="63"/>
      <c r="AQ158" s="63"/>
      <c r="AR158" s="63"/>
      <c r="AS158" s="63"/>
      <c r="AT158" s="63"/>
      <c r="AU158" s="63"/>
      <c r="AV158" s="63"/>
      <c r="AW158" s="63"/>
      <c r="AX158" s="63"/>
      <c r="AY158" s="63"/>
      <c r="AZ158" s="63"/>
      <c r="BB158" s="76"/>
      <c r="BC158" s="82"/>
      <c r="BD158" s="63"/>
      <c r="BE158" s="63"/>
      <c r="BF158" s="63"/>
      <c r="BG158" s="63"/>
      <c r="BH158" s="63"/>
      <c r="BI158" s="63"/>
      <c r="BJ158" s="63"/>
      <c r="BK158" s="63"/>
    </row>
    <row r="159" spans="7:63" x14ac:dyDescent="0.25">
      <c r="G159" s="73"/>
      <c r="H159" s="64"/>
      <c r="I159" s="64"/>
      <c r="S159" s="63"/>
      <c r="T159" s="63"/>
      <c r="U159" s="63"/>
      <c r="V159" s="63"/>
      <c r="X159" s="63"/>
      <c r="Y159" s="63"/>
      <c r="Z159" s="63"/>
      <c r="AA159" s="74"/>
      <c r="AB159" s="75"/>
      <c r="AC159" s="63"/>
      <c r="AD159" s="63"/>
      <c r="AE159" s="63"/>
      <c r="AF159" s="63"/>
      <c r="AG159" s="63"/>
      <c r="AJ159" s="63"/>
      <c r="AK159" s="63"/>
      <c r="AL159" s="63"/>
      <c r="AM159" s="63"/>
      <c r="AN159" s="63"/>
      <c r="AO159" s="63"/>
      <c r="AP159" s="63"/>
      <c r="AQ159" s="63"/>
      <c r="AR159" s="63"/>
      <c r="AS159" s="63"/>
      <c r="AT159" s="63"/>
      <c r="AU159" s="63"/>
      <c r="AV159" s="63"/>
      <c r="AW159" s="63"/>
      <c r="AX159" s="63"/>
      <c r="AY159" s="63"/>
      <c r="AZ159" s="63"/>
      <c r="BB159" s="76"/>
      <c r="BC159" s="82"/>
      <c r="BD159" s="63"/>
      <c r="BE159" s="63"/>
      <c r="BF159" s="63"/>
      <c r="BG159" s="63"/>
      <c r="BH159" s="63"/>
      <c r="BI159" s="63"/>
      <c r="BJ159" s="63"/>
      <c r="BK159" s="63"/>
    </row>
    <row r="160" spans="7:63" x14ac:dyDescent="0.25">
      <c r="G160" s="73"/>
      <c r="H160" s="64"/>
      <c r="I160" s="64"/>
      <c r="S160" s="63"/>
      <c r="T160" s="63"/>
      <c r="U160" s="63"/>
      <c r="V160" s="63"/>
      <c r="X160" s="63"/>
      <c r="Y160" s="63"/>
      <c r="Z160" s="63"/>
      <c r="AA160" s="74"/>
      <c r="AB160" s="75"/>
      <c r="AC160" s="63"/>
      <c r="AD160" s="63"/>
      <c r="AE160" s="63"/>
      <c r="AF160" s="63"/>
      <c r="AG160" s="63"/>
      <c r="AJ160" s="63"/>
      <c r="AK160" s="63"/>
      <c r="AL160" s="63"/>
      <c r="AM160" s="63"/>
      <c r="AN160" s="63"/>
      <c r="AO160" s="63"/>
      <c r="AP160" s="63"/>
      <c r="AQ160" s="63"/>
      <c r="AR160" s="63"/>
      <c r="AS160" s="63"/>
      <c r="AT160" s="63"/>
      <c r="AU160" s="63"/>
      <c r="AV160" s="63"/>
      <c r="AW160" s="63"/>
      <c r="AX160" s="63"/>
      <c r="AY160" s="63"/>
      <c r="AZ160" s="63"/>
      <c r="BB160" s="76"/>
      <c r="BC160" s="82"/>
      <c r="BD160" s="63"/>
      <c r="BE160" s="63"/>
      <c r="BF160" s="63"/>
      <c r="BG160" s="63"/>
      <c r="BH160" s="63"/>
      <c r="BI160" s="63"/>
      <c r="BJ160" s="63"/>
      <c r="BK160" s="63"/>
    </row>
    <row r="161" spans="7:63" x14ac:dyDescent="0.25">
      <c r="G161" s="73"/>
      <c r="H161" s="64"/>
      <c r="I161" s="64"/>
      <c r="S161" s="63"/>
      <c r="T161" s="63"/>
      <c r="U161" s="63"/>
      <c r="V161" s="63"/>
      <c r="X161" s="63"/>
      <c r="Y161" s="63"/>
      <c r="Z161" s="63"/>
      <c r="AA161" s="74"/>
      <c r="AB161" s="75"/>
      <c r="AC161" s="63"/>
      <c r="AD161" s="63"/>
      <c r="AE161" s="63"/>
      <c r="AF161" s="63"/>
      <c r="AG161" s="63"/>
      <c r="AJ161" s="63"/>
      <c r="AK161" s="63"/>
      <c r="AL161" s="63"/>
      <c r="AM161" s="63"/>
      <c r="AN161" s="63"/>
      <c r="AO161" s="63"/>
      <c r="AP161" s="63"/>
      <c r="AQ161" s="63"/>
      <c r="AR161" s="63"/>
      <c r="AS161" s="63"/>
      <c r="AT161" s="63"/>
      <c r="AU161" s="63"/>
      <c r="AV161" s="63"/>
      <c r="AW161" s="63"/>
      <c r="AX161" s="63"/>
      <c r="AY161" s="63"/>
      <c r="AZ161" s="63"/>
      <c r="BB161" s="76"/>
      <c r="BC161" s="82"/>
      <c r="BD161" s="63"/>
      <c r="BE161" s="63"/>
      <c r="BF161" s="63"/>
      <c r="BG161" s="63"/>
      <c r="BH161" s="63"/>
      <c r="BI161" s="63"/>
      <c r="BJ161" s="63"/>
      <c r="BK161" s="63"/>
    </row>
    <row r="162" spans="7:63" x14ac:dyDescent="0.25">
      <c r="G162" s="73"/>
      <c r="H162" s="64"/>
      <c r="I162" s="64"/>
      <c r="S162" s="63"/>
      <c r="T162" s="63"/>
      <c r="U162" s="63"/>
      <c r="V162" s="63"/>
      <c r="X162" s="63"/>
      <c r="Y162" s="63"/>
      <c r="Z162" s="63"/>
      <c r="AA162" s="74"/>
      <c r="AB162" s="75"/>
      <c r="AC162" s="63"/>
      <c r="AD162" s="63"/>
      <c r="AE162" s="63"/>
      <c r="AF162" s="63"/>
      <c r="AG162" s="63"/>
      <c r="AJ162" s="63"/>
      <c r="AK162" s="63"/>
      <c r="AL162" s="63"/>
      <c r="AM162" s="63"/>
      <c r="AN162" s="63"/>
      <c r="AO162" s="63"/>
      <c r="AP162" s="63"/>
      <c r="AQ162" s="63"/>
      <c r="AR162" s="63"/>
      <c r="AS162" s="63"/>
      <c r="AT162" s="63"/>
      <c r="AU162" s="63"/>
      <c r="AV162" s="63"/>
      <c r="AW162" s="63"/>
      <c r="AX162" s="63"/>
      <c r="AY162" s="63"/>
      <c r="AZ162" s="63"/>
      <c r="BB162" s="76"/>
      <c r="BC162" s="82"/>
      <c r="BD162" s="63"/>
      <c r="BE162" s="63"/>
      <c r="BF162" s="63"/>
      <c r="BG162" s="63"/>
      <c r="BH162" s="63"/>
      <c r="BI162" s="63"/>
      <c r="BJ162" s="63"/>
      <c r="BK162" s="63"/>
    </row>
    <row r="163" spans="7:63" x14ac:dyDescent="0.25">
      <c r="G163" s="73"/>
      <c r="H163" s="64"/>
      <c r="I163" s="64"/>
      <c r="S163" s="63"/>
      <c r="T163" s="63"/>
      <c r="U163" s="63"/>
      <c r="V163" s="63"/>
      <c r="X163" s="63"/>
      <c r="Y163" s="63"/>
      <c r="Z163" s="63"/>
      <c r="AA163" s="74"/>
      <c r="AB163" s="75"/>
      <c r="AC163" s="63"/>
      <c r="AD163" s="63"/>
      <c r="AE163" s="63"/>
      <c r="AF163" s="63"/>
      <c r="AG163" s="63"/>
      <c r="AJ163" s="63"/>
      <c r="AK163" s="63"/>
      <c r="AL163" s="63"/>
      <c r="AM163" s="63"/>
      <c r="AN163" s="63"/>
      <c r="AO163" s="63"/>
      <c r="AP163" s="63"/>
      <c r="AQ163" s="63"/>
      <c r="AR163" s="63"/>
      <c r="AS163" s="63"/>
      <c r="AT163" s="63"/>
      <c r="AU163" s="63"/>
      <c r="AV163" s="63"/>
      <c r="AW163" s="63"/>
      <c r="AX163" s="63"/>
      <c r="AY163" s="63"/>
      <c r="AZ163" s="63"/>
      <c r="BB163" s="76"/>
      <c r="BC163" s="82"/>
      <c r="BD163" s="63"/>
      <c r="BE163" s="63"/>
      <c r="BF163" s="63"/>
      <c r="BG163" s="63"/>
      <c r="BH163" s="63"/>
      <c r="BI163" s="63"/>
      <c r="BJ163" s="63"/>
      <c r="BK163" s="63"/>
    </row>
    <row r="164" spans="7:63" x14ac:dyDescent="0.25">
      <c r="G164" s="73"/>
      <c r="H164" s="64"/>
      <c r="I164" s="64"/>
      <c r="S164" s="63"/>
      <c r="T164" s="63"/>
      <c r="U164" s="63"/>
      <c r="V164" s="63"/>
      <c r="X164" s="63"/>
      <c r="Y164" s="63"/>
      <c r="Z164" s="63"/>
      <c r="AA164" s="74"/>
      <c r="AB164" s="75"/>
      <c r="AC164" s="63"/>
      <c r="AD164" s="63"/>
      <c r="AE164" s="63"/>
      <c r="AF164" s="63"/>
      <c r="AG164" s="63"/>
      <c r="AJ164" s="63"/>
      <c r="AK164" s="63"/>
      <c r="AL164" s="63"/>
      <c r="AM164" s="63"/>
      <c r="AN164" s="63"/>
      <c r="AO164" s="63"/>
      <c r="AP164" s="63"/>
      <c r="AQ164" s="63"/>
      <c r="AR164" s="63"/>
      <c r="AS164" s="63"/>
      <c r="AT164" s="63"/>
      <c r="AU164" s="63"/>
      <c r="AV164" s="63"/>
      <c r="AW164" s="63"/>
      <c r="AX164" s="63"/>
      <c r="AY164" s="63"/>
      <c r="AZ164" s="63"/>
      <c r="BB164" s="76"/>
      <c r="BC164" s="82"/>
      <c r="BD164" s="63"/>
      <c r="BE164" s="63"/>
      <c r="BF164" s="63"/>
      <c r="BG164" s="63"/>
      <c r="BH164" s="63"/>
      <c r="BI164" s="63"/>
      <c r="BJ164" s="63"/>
      <c r="BK164" s="63"/>
    </row>
    <row r="165" spans="7:63" x14ac:dyDescent="0.25">
      <c r="G165" s="73"/>
      <c r="H165" s="64"/>
      <c r="I165" s="64"/>
      <c r="S165" s="63"/>
      <c r="T165" s="63"/>
      <c r="U165" s="63"/>
      <c r="V165" s="63"/>
      <c r="X165" s="63"/>
      <c r="Y165" s="63"/>
      <c r="Z165" s="63"/>
      <c r="AA165" s="74"/>
      <c r="AB165" s="75"/>
      <c r="AC165" s="63"/>
      <c r="AD165" s="63"/>
      <c r="AE165" s="63"/>
      <c r="AF165" s="63"/>
      <c r="AG165" s="63"/>
      <c r="AJ165" s="63"/>
      <c r="AK165" s="63"/>
      <c r="AL165" s="63"/>
      <c r="AM165" s="63"/>
      <c r="AN165" s="63"/>
      <c r="AO165" s="63"/>
      <c r="AP165" s="63"/>
      <c r="AQ165" s="63"/>
      <c r="AR165" s="63"/>
      <c r="AS165" s="63"/>
      <c r="AT165" s="63"/>
      <c r="AU165" s="63"/>
      <c r="AV165" s="63"/>
      <c r="AW165" s="63"/>
      <c r="AX165" s="63"/>
      <c r="AY165" s="63"/>
      <c r="AZ165" s="63"/>
      <c r="BB165" s="76"/>
      <c r="BC165" s="82"/>
      <c r="BD165" s="63"/>
      <c r="BE165" s="63"/>
      <c r="BF165" s="63"/>
      <c r="BG165" s="63"/>
      <c r="BH165" s="63"/>
      <c r="BI165" s="63"/>
      <c r="BJ165" s="63"/>
      <c r="BK165" s="63"/>
    </row>
    <row r="166" spans="7:63" x14ac:dyDescent="0.25">
      <c r="G166" s="73"/>
      <c r="H166" s="64"/>
      <c r="I166" s="64"/>
      <c r="S166" s="63"/>
      <c r="T166" s="63"/>
      <c r="U166" s="63"/>
      <c r="V166" s="63"/>
      <c r="X166" s="63"/>
      <c r="Y166" s="63"/>
      <c r="Z166" s="63"/>
      <c r="AA166" s="74"/>
      <c r="AB166" s="75"/>
      <c r="AC166" s="63"/>
      <c r="AD166" s="63"/>
      <c r="AE166" s="63"/>
      <c r="AF166" s="63"/>
      <c r="AG166" s="63"/>
      <c r="AJ166" s="63"/>
      <c r="AK166" s="63"/>
      <c r="AL166" s="63"/>
      <c r="AM166" s="63"/>
      <c r="AN166" s="63"/>
      <c r="AO166" s="63"/>
      <c r="AP166" s="63"/>
      <c r="AQ166" s="63"/>
      <c r="AR166" s="63"/>
      <c r="AS166" s="63"/>
      <c r="AT166" s="63"/>
      <c r="AU166" s="63"/>
      <c r="AV166" s="63"/>
      <c r="AW166" s="63"/>
      <c r="AX166" s="63"/>
      <c r="AY166" s="63"/>
      <c r="AZ166" s="63"/>
      <c r="BB166" s="76"/>
      <c r="BC166" s="82"/>
      <c r="BD166" s="63"/>
      <c r="BE166" s="63"/>
      <c r="BF166" s="63"/>
      <c r="BG166" s="63"/>
      <c r="BH166" s="63"/>
      <c r="BI166" s="63"/>
      <c r="BJ166" s="63"/>
      <c r="BK166" s="63"/>
    </row>
    <row r="167" spans="7:63" x14ac:dyDescent="0.25">
      <c r="G167" s="73"/>
      <c r="H167" s="64"/>
      <c r="I167" s="64"/>
      <c r="S167" s="63"/>
      <c r="T167" s="63"/>
      <c r="U167" s="63"/>
      <c r="V167" s="63"/>
      <c r="X167" s="63"/>
      <c r="Y167" s="63"/>
      <c r="Z167" s="63"/>
      <c r="AA167" s="74"/>
      <c r="AB167" s="75"/>
      <c r="AC167" s="63"/>
      <c r="AD167" s="63"/>
      <c r="AE167" s="63"/>
      <c r="AF167" s="63"/>
      <c r="AG167" s="63"/>
      <c r="AJ167" s="63"/>
      <c r="AK167" s="63"/>
      <c r="AL167" s="63"/>
      <c r="AM167" s="63"/>
      <c r="AN167" s="63"/>
      <c r="AO167" s="63"/>
      <c r="AP167" s="63"/>
      <c r="AQ167" s="63"/>
      <c r="AR167" s="63"/>
      <c r="AS167" s="63"/>
      <c r="AT167" s="63"/>
      <c r="AU167" s="63"/>
      <c r="AV167" s="63"/>
      <c r="AW167" s="63"/>
      <c r="AX167" s="63"/>
      <c r="AY167" s="63"/>
      <c r="AZ167" s="63"/>
      <c r="BB167" s="76"/>
      <c r="BC167" s="82"/>
      <c r="BD167" s="63"/>
      <c r="BE167" s="63"/>
      <c r="BF167" s="63"/>
      <c r="BG167" s="63"/>
      <c r="BH167" s="63"/>
      <c r="BI167" s="63"/>
      <c r="BJ167" s="63"/>
      <c r="BK167" s="63"/>
    </row>
    <row r="168" spans="7:63" x14ac:dyDescent="0.25">
      <c r="G168" s="73"/>
      <c r="H168" s="64"/>
      <c r="I168" s="64"/>
      <c r="S168" s="63"/>
      <c r="T168" s="63"/>
      <c r="U168" s="63"/>
      <c r="V168" s="63"/>
      <c r="X168" s="63"/>
      <c r="Y168" s="63"/>
      <c r="Z168" s="63"/>
      <c r="AA168" s="74"/>
      <c r="AB168" s="75"/>
      <c r="AC168" s="63"/>
      <c r="AD168" s="63"/>
      <c r="AE168" s="63"/>
      <c r="AF168" s="63"/>
      <c r="AG168" s="63"/>
      <c r="AJ168" s="63"/>
      <c r="AK168" s="63"/>
      <c r="AL168" s="63"/>
      <c r="AM168" s="63"/>
      <c r="AN168" s="63"/>
      <c r="AO168" s="63"/>
      <c r="AP168" s="63"/>
      <c r="AQ168" s="63"/>
      <c r="AR168" s="63"/>
      <c r="AS168" s="63"/>
      <c r="AT168" s="63"/>
      <c r="AU168" s="63"/>
      <c r="AV168" s="63"/>
      <c r="AW168" s="63"/>
      <c r="AX168" s="63"/>
      <c r="AY168" s="63"/>
      <c r="AZ168" s="63"/>
      <c r="BB168" s="76"/>
      <c r="BC168" s="82"/>
      <c r="BD168" s="63"/>
      <c r="BE168" s="63"/>
      <c r="BF168" s="63"/>
      <c r="BG168" s="63"/>
      <c r="BH168" s="63"/>
      <c r="BI168" s="63"/>
      <c r="BJ168" s="63"/>
      <c r="BK168" s="63"/>
    </row>
    <row r="169" spans="7:63" x14ac:dyDescent="0.25">
      <c r="G169" s="73"/>
      <c r="H169" s="64"/>
      <c r="I169" s="64"/>
      <c r="S169" s="63"/>
      <c r="T169" s="63"/>
      <c r="U169" s="63"/>
      <c r="V169" s="63"/>
      <c r="X169" s="63"/>
      <c r="Y169" s="63"/>
      <c r="Z169" s="63"/>
      <c r="AA169" s="74"/>
      <c r="AB169" s="75"/>
      <c r="AC169" s="63"/>
      <c r="AD169" s="63"/>
      <c r="AE169" s="63"/>
      <c r="AF169" s="63"/>
      <c r="AG169" s="63"/>
      <c r="AJ169" s="63"/>
      <c r="AK169" s="63"/>
      <c r="AL169" s="63"/>
      <c r="AM169" s="63"/>
      <c r="AN169" s="63"/>
      <c r="AO169" s="63"/>
      <c r="AP169" s="63"/>
      <c r="AQ169" s="63"/>
      <c r="AR169" s="63"/>
      <c r="AS169" s="63"/>
      <c r="AT169" s="63"/>
      <c r="AU169" s="63"/>
      <c r="AV169" s="63"/>
      <c r="AW169" s="63"/>
      <c r="AX169" s="63"/>
      <c r="AY169" s="63"/>
      <c r="AZ169" s="63"/>
      <c r="BB169" s="76"/>
      <c r="BC169" s="82"/>
      <c r="BD169" s="63"/>
      <c r="BE169" s="63"/>
      <c r="BF169" s="63"/>
      <c r="BG169" s="63"/>
      <c r="BH169" s="63"/>
      <c r="BI169" s="63"/>
      <c r="BJ169" s="63"/>
      <c r="BK169" s="63"/>
    </row>
    <row r="170" spans="7:63" x14ac:dyDescent="0.25">
      <c r="G170" s="73"/>
      <c r="H170" s="64"/>
      <c r="I170" s="64"/>
      <c r="S170" s="63"/>
      <c r="T170" s="63"/>
      <c r="U170" s="63"/>
      <c r="V170" s="63"/>
      <c r="X170" s="63"/>
      <c r="Y170" s="63"/>
      <c r="Z170" s="63"/>
      <c r="AA170" s="74"/>
      <c r="AB170" s="75"/>
      <c r="AC170" s="63"/>
      <c r="AD170" s="63"/>
      <c r="AE170" s="63"/>
      <c r="AF170" s="63"/>
      <c r="AG170" s="63"/>
      <c r="AJ170" s="63"/>
      <c r="AK170" s="63"/>
      <c r="AL170" s="63"/>
      <c r="AM170" s="63"/>
      <c r="AN170" s="63"/>
      <c r="AO170" s="63"/>
      <c r="AP170" s="63"/>
      <c r="AQ170" s="63"/>
      <c r="AR170" s="63"/>
      <c r="AS170" s="63"/>
      <c r="AT170" s="63"/>
      <c r="AU170" s="63"/>
      <c r="AV170" s="63"/>
      <c r="AW170" s="63"/>
      <c r="AX170" s="63"/>
      <c r="AY170" s="63"/>
      <c r="AZ170" s="63"/>
      <c r="BB170" s="76"/>
      <c r="BC170" s="82"/>
      <c r="BD170" s="63"/>
      <c r="BE170" s="63"/>
      <c r="BF170" s="63"/>
      <c r="BG170" s="63"/>
      <c r="BH170" s="63"/>
      <c r="BI170" s="63"/>
      <c r="BJ170" s="63"/>
      <c r="BK170" s="63"/>
    </row>
    <row r="171" spans="7:63" x14ac:dyDescent="0.25">
      <c r="G171" s="73"/>
      <c r="H171" s="64"/>
      <c r="I171" s="64"/>
      <c r="S171" s="63"/>
      <c r="T171" s="63"/>
      <c r="U171" s="63"/>
      <c r="V171" s="63"/>
      <c r="X171" s="63"/>
      <c r="Y171" s="63"/>
      <c r="Z171" s="63"/>
      <c r="AA171" s="74"/>
      <c r="AB171" s="75"/>
      <c r="AC171" s="63"/>
      <c r="AD171" s="63"/>
      <c r="AE171" s="63"/>
      <c r="AF171" s="63"/>
      <c r="AG171" s="63"/>
      <c r="AJ171" s="63"/>
      <c r="AK171" s="63"/>
      <c r="AL171" s="63"/>
      <c r="AM171" s="63"/>
      <c r="AN171" s="63"/>
      <c r="AO171" s="63"/>
      <c r="AP171" s="63"/>
      <c r="AQ171" s="63"/>
      <c r="AR171" s="63"/>
      <c r="AS171" s="63"/>
      <c r="AT171" s="63"/>
      <c r="AU171" s="63"/>
      <c r="AV171" s="63"/>
      <c r="AW171" s="63"/>
      <c r="AX171" s="63"/>
      <c r="AY171" s="63"/>
      <c r="AZ171" s="63"/>
      <c r="BB171" s="76"/>
      <c r="BC171" s="82"/>
      <c r="BD171" s="63"/>
      <c r="BE171" s="63"/>
      <c r="BF171" s="63"/>
      <c r="BG171" s="63"/>
      <c r="BH171" s="63"/>
      <c r="BI171" s="63"/>
      <c r="BJ171" s="63"/>
      <c r="BK171" s="63"/>
    </row>
    <row r="172" spans="7:63" x14ac:dyDescent="0.25">
      <c r="G172" s="73"/>
      <c r="H172" s="64"/>
      <c r="I172" s="64"/>
      <c r="S172" s="63"/>
      <c r="T172" s="63"/>
      <c r="U172" s="63"/>
      <c r="V172" s="63"/>
      <c r="X172" s="63"/>
      <c r="Y172" s="63"/>
      <c r="Z172" s="63"/>
      <c r="AA172" s="74"/>
      <c r="AB172" s="75"/>
      <c r="AC172" s="63"/>
      <c r="AD172" s="63"/>
      <c r="AE172" s="63"/>
      <c r="AF172" s="63"/>
      <c r="AG172" s="63"/>
      <c r="AJ172" s="63"/>
      <c r="AK172" s="63"/>
      <c r="AL172" s="63"/>
      <c r="AM172" s="63"/>
      <c r="AN172" s="63"/>
      <c r="AO172" s="63"/>
      <c r="AP172" s="63"/>
      <c r="AQ172" s="63"/>
      <c r="AR172" s="63"/>
      <c r="AS172" s="63"/>
      <c r="AT172" s="63"/>
      <c r="AU172" s="63"/>
      <c r="AV172" s="63"/>
      <c r="AW172" s="63"/>
      <c r="AX172" s="63"/>
      <c r="AY172" s="63"/>
      <c r="AZ172" s="63"/>
      <c r="BB172" s="76"/>
      <c r="BC172" s="82"/>
      <c r="BD172" s="63"/>
      <c r="BE172" s="63"/>
      <c r="BF172" s="63"/>
      <c r="BG172" s="63"/>
      <c r="BH172" s="63"/>
      <c r="BI172" s="63"/>
      <c r="BJ172" s="63"/>
      <c r="BK172" s="63"/>
    </row>
    <row r="173" spans="7:63" x14ac:dyDescent="0.25">
      <c r="G173" s="73"/>
      <c r="H173" s="64"/>
      <c r="I173" s="64"/>
      <c r="S173" s="63"/>
      <c r="T173" s="63"/>
      <c r="U173" s="63"/>
      <c r="V173" s="63"/>
      <c r="X173" s="63"/>
      <c r="Y173" s="63"/>
      <c r="Z173" s="63"/>
      <c r="AA173" s="74"/>
      <c r="AB173" s="75"/>
      <c r="AC173" s="63"/>
      <c r="AD173" s="63"/>
      <c r="AE173" s="63"/>
      <c r="AF173" s="63"/>
      <c r="AG173" s="63"/>
      <c r="AJ173" s="63"/>
      <c r="AK173" s="63"/>
      <c r="AL173" s="63"/>
      <c r="AM173" s="63"/>
      <c r="AN173" s="63"/>
      <c r="AO173" s="63"/>
      <c r="AP173" s="63"/>
      <c r="AQ173" s="63"/>
      <c r="AR173" s="63"/>
      <c r="AS173" s="63"/>
      <c r="AT173" s="63"/>
      <c r="AU173" s="63"/>
      <c r="AV173" s="63"/>
      <c r="AW173" s="63"/>
      <c r="AX173" s="63"/>
      <c r="AY173" s="63"/>
      <c r="AZ173" s="63"/>
      <c r="BB173" s="76"/>
      <c r="BC173" s="82"/>
      <c r="BD173" s="63"/>
      <c r="BE173" s="63"/>
      <c r="BF173" s="63"/>
      <c r="BG173" s="63"/>
      <c r="BH173" s="63"/>
      <c r="BI173" s="63"/>
      <c r="BJ173" s="63"/>
      <c r="BK173" s="63"/>
    </row>
    <row r="174" spans="7:63" x14ac:dyDescent="0.25">
      <c r="G174" s="73"/>
      <c r="H174" s="64"/>
      <c r="I174" s="64"/>
      <c r="S174" s="63"/>
      <c r="T174" s="63"/>
      <c r="U174" s="63"/>
      <c r="V174" s="63"/>
      <c r="X174" s="63"/>
      <c r="Y174" s="63"/>
      <c r="Z174" s="63"/>
      <c r="AA174" s="74"/>
      <c r="AB174" s="75"/>
      <c r="AC174" s="63"/>
      <c r="AD174" s="63"/>
      <c r="AE174" s="63"/>
      <c r="AF174" s="63"/>
      <c r="AG174" s="63"/>
      <c r="AJ174" s="63"/>
      <c r="AK174" s="63"/>
      <c r="AL174" s="63"/>
      <c r="AM174" s="63"/>
      <c r="AN174" s="63"/>
      <c r="AO174" s="63"/>
      <c r="AP174" s="63"/>
      <c r="AQ174" s="63"/>
      <c r="AR174" s="63"/>
      <c r="AS174" s="63"/>
      <c r="AT174" s="63"/>
      <c r="AU174" s="63"/>
      <c r="AV174" s="63"/>
      <c r="AW174" s="63"/>
      <c r="AX174" s="63"/>
      <c r="AY174" s="63"/>
      <c r="AZ174" s="63"/>
      <c r="BB174" s="76"/>
      <c r="BC174" s="82"/>
      <c r="BD174" s="63"/>
      <c r="BE174" s="63"/>
      <c r="BF174" s="63"/>
      <c r="BG174" s="63"/>
      <c r="BH174" s="63"/>
      <c r="BI174" s="63"/>
      <c r="BJ174" s="63"/>
      <c r="BK174" s="63"/>
    </row>
    <row r="175" spans="7:63" x14ac:dyDescent="0.25">
      <c r="G175" s="73"/>
      <c r="H175" s="64"/>
      <c r="I175" s="64"/>
      <c r="S175" s="63"/>
      <c r="T175" s="63"/>
      <c r="U175" s="63"/>
      <c r="V175" s="63"/>
      <c r="X175" s="63"/>
      <c r="Y175" s="63"/>
      <c r="Z175" s="63"/>
      <c r="AA175" s="74"/>
      <c r="AB175" s="75"/>
      <c r="AC175" s="63"/>
      <c r="AD175" s="63"/>
      <c r="AE175" s="63"/>
      <c r="AF175" s="63"/>
      <c r="AG175" s="63"/>
      <c r="AJ175" s="63"/>
      <c r="AK175" s="63"/>
      <c r="AL175" s="63"/>
      <c r="AM175" s="63"/>
      <c r="AN175" s="63"/>
      <c r="AO175" s="63"/>
      <c r="AP175" s="63"/>
      <c r="AQ175" s="63"/>
      <c r="AR175" s="63"/>
      <c r="AS175" s="63"/>
      <c r="AT175" s="63"/>
      <c r="AU175" s="63"/>
      <c r="AV175" s="63"/>
      <c r="AW175" s="63"/>
      <c r="AX175" s="63"/>
      <c r="AY175" s="63"/>
      <c r="AZ175" s="63"/>
      <c r="BB175" s="76"/>
      <c r="BC175" s="82"/>
      <c r="BD175" s="63"/>
      <c r="BE175" s="63"/>
      <c r="BF175" s="63"/>
      <c r="BG175" s="63"/>
      <c r="BH175" s="63"/>
      <c r="BI175" s="63"/>
      <c r="BJ175" s="63"/>
      <c r="BK175" s="63"/>
    </row>
    <row r="176" spans="7:63" x14ac:dyDescent="0.25">
      <c r="G176" s="73"/>
      <c r="H176" s="64"/>
      <c r="I176" s="64"/>
      <c r="S176" s="63"/>
      <c r="T176" s="63"/>
      <c r="U176" s="63"/>
      <c r="V176" s="63"/>
      <c r="X176" s="63"/>
      <c r="Y176" s="63"/>
      <c r="Z176" s="63"/>
      <c r="AA176" s="74"/>
      <c r="AB176" s="75"/>
      <c r="AC176" s="63"/>
      <c r="AD176" s="63"/>
      <c r="AE176" s="63"/>
      <c r="AF176" s="63"/>
      <c r="AG176" s="63"/>
      <c r="AJ176" s="63"/>
      <c r="AK176" s="63"/>
      <c r="AL176" s="63"/>
      <c r="AM176" s="63"/>
      <c r="AN176" s="63"/>
      <c r="AO176" s="63"/>
      <c r="AP176" s="63"/>
      <c r="AQ176" s="63"/>
      <c r="AR176" s="63"/>
      <c r="AS176" s="63"/>
      <c r="AT176" s="63"/>
      <c r="AU176" s="63"/>
      <c r="AV176" s="63"/>
      <c r="AW176" s="63"/>
      <c r="AX176" s="63"/>
      <c r="AY176" s="63"/>
      <c r="AZ176" s="63"/>
      <c r="BB176" s="76"/>
      <c r="BC176" s="82"/>
      <c r="BD176" s="63"/>
      <c r="BE176" s="63"/>
      <c r="BF176" s="63"/>
      <c r="BG176" s="63"/>
      <c r="BH176" s="63"/>
      <c r="BI176" s="63"/>
      <c r="BJ176" s="63"/>
      <c r="BK176" s="63"/>
    </row>
    <row r="177" spans="7:63" x14ac:dyDescent="0.25">
      <c r="G177" s="73"/>
      <c r="H177" s="64"/>
      <c r="I177" s="64"/>
      <c r="S177" s="63"/>
      <c r="T177" s="63"/>
      <c r="U177" s="63"/>
      <c r="V177" s="63"/>
      <c r="X177" s="63"/>
      <c r="Y177" s="63"/>
      <c r="Z177" s="63"/>
      <c r="AA177" s="74"/>
      <c r="AB177" s="75"/>
      <c r="AC177" s="63"/>
      <c r="AD177" s="63"/>
      <c r="AE177" s="63"/>
      <c r="AF177" s="63"/>
      <c r="AG177" s="63"/>
      <c r="AJ177" s="63"/>
      <c r="AK177" s="63"/>
      <c r="AL177" s="63"/>
      <c r="AM177" s="63"/>
      <c r="AN177" s="63"/>
      <c r="AO177" s="63"/>
      <c r="AP177" s="63"/>
      <c r="AQ177" s="63"/>
      <c r="AR177" s="63"/>
      <c r="AS177" s="63"/>
      <c r="AT177" s="63"/>
      <c r="AU177" s="63"/>
      <c r="AV177" s="63"/>
      <c r="AW177" s="63"/>
      <c r="AX177" s="63"/>
      <c r="AY177" s="63"/>
      <c r="AZ177" s="63"/>
      <c r="BB177" s="76"/>
      <c r="BC177" s="82"/>
      <c r="BD177" s="63"/>
      <c r="BE177" s="63"/>
      <c r="BF177" s="63"/>
      <c r="BG177" s="63"/>
      <c r="BH177" s="63"/>
      <c r="BI177" s="63"/>
      <c r="BJ177" s="63"/>
      <c r="BK177" s="63"/>
    </row>
    <row r="178" spans="7:63" x14ac:dyDescent="0.25">
      <c r="G178" s="73"/>
      <c r="H178" s="64"/>
      <c r="I178" s="64"/>
      <c r="S178" s="63"/>
      <c r="T178" s="63"/>
      <c r="U178" s="63"/>
      <c r="V178" s="63"/>
      <c r="X178" s="63"/>
      <c r="Y178" s="63"/>
      <c r="Z178" s="63"/>
      <c r="AA178" s="74"/>
      <c r="AB178" s="75"/>
      <c r="AC178" s="63"/>
      <c r="AD178" s="63"/>
      <c r="AE178" s="63"/>
      <c r="AF178" s="63"/>
      <c r="AG178" s="63"/>
      <c r="AJ178" s="63"/>
      <c r="AK178" s="63"/>
      <c r="AL178" s="63"/>
      <c r="AM178" s="63"/>
      <c r="AN178" s="63"/>
      <c r="AO178" s="63"/>
      <c r="AP178" s="63"/>
      <c r="AQ178" s="63"/>
      <c r="AR178" s="63"/>
      <c r="AS178" s="63"/>
      <c r="AT178" s="63"/>
      <c r="AU178" s="63"/>
      <c r="AV178" s="63"/>
      <c r="AW178" s="63"/>
      <c r="AX178" s="63"/>
      <c r="AY178" s="63"/>
      <c r="AZ178" s="63"/>
      <c r="BB178" s="76"/>
      <c r="BC178" s="82"/>
      <c r="BD178" s="63"/>
      <c r="BE178" s="63"/>
      <c r="BF178" s="63"/>
      <c r="BG178" s="63"/>
      <c r="BH178" s="63"/>
      <c r="BI178" s="63"/>
      <c r="BJ178" s="63"/>
      <c r="BK178" s="63"/>
    </row>
    <row r="179" spans="7:63" x14ac:dyDescent="0.25">
      <c r="G179" s="73"/>
      <c r="H179" s="64"/>
      <c r="I179" s="64"/>
      <c r="S179" s="63"/>
      <c r="T179" s="63"/>
      <c r="U179" s="63"/>
      <c r="V179" s="63"/>
      <c r="X179" s="63"/>
      <c r="Y179" s="63"/>
      <c r="Z179" s="63"/>
      <c r="AA179" s="74"/>
      <c r="AB179" s="75"/>
      <c r="AC179" s="63"/>
      <c r="AD179" s="63"/>
      <c r="AE179" s="63"/>
      <c r="AF179" s="63"/>
      <c r="AG179" s="63"/>
      <c r="AJ179" s="63"/>
      <c r="AK179" s="63"/>
      <c r="AL179" s="63"/>
      <c r="AM179" s="63"/>
      <c r="AN179" s="63"/>
      <c r="AO179" s="63"/>
      <c r="AP179" s="63"/>
      <c r="AQ179" s="63"/>
      <c r="AR179" s="63"/>
      <c r="AS179" s="63"/>
      <c r="AT179" s="63"/>
      <c r="AU179" s="63"/>
      <c r="AV179" s="63"/>
      <c r="AW179" s="63"/>
      <c r="AX179" s="63"/>
      <c r="AY179" s="63"/>
      <c r="AZ179" s="63"/>
      <c r="BB179" s="76"/>
      <c r="BC179" s="82"/>
      <c r="BD179" s="63"/>
      <c r="BE179" s="63"/>
      <c r="BF179" s="63"/>
      <c r="BG179" s="63"/>
      <c r="BH179" s="63"/>
      <c r="BI179" s="63"/>
      <c r="BJ179" s="63"/>
      <c r="BK179" s="63"/>
    </row>
    <row r="180" spans="7:63" x14ac:dyDescent="0.25">
      <c r="G180" s="73"/>
      <c r="H180" s="64"/>
      <c r="I180" s="64"/>
      <c r="S180" s="63"/>
      <c r="T180" s="63"/>
      <c r="U180" s="63"/>
      <c r="V180" s="63"/>
      <c r="X180" s="63"/>
      <c r="Y180" s="63"/>
      <c r="Z180" s="63"/>
      <c r="AA180" s="74"/>
      <c r="AB180" s="75"/>
      <c r="AC180" s="63"/>
      <c r="AD180" s="63"/>
      <c r="AE180" s="63"/>
      <c r="AF180" s="63"/>
      <c r="AG180" s="63"/>
      <c r="AJ180" s="63"/>
      <c r="AK180" s="63"/>
      <c r="AL180" s="63"/>
      <c r="AM180" s="63"/>
      <c r="AN180" s="63"/>
      <c r="AO180" s="63"/>
      <c r="AP180" s="63"/>
      <c r="AQ180" s="63"/>
      <c r="AR180" s="63"/>
      <c r="AS180" s="63"/>
      <c r="AT180" s="63"/>
      <c r="AU180" s="63"/>
      <c r="AV180" s="63"/>
      <c r="AW180" s="63"/>
      <c r="AX180" s="63"/>
      <c r="AY180" s="63"/>
      <c r="AZ180" s="63"/>
      <c r="BB180" s="76"/>
      <c r="BC180" s="82"/>
      <c r="BD180" s="63"/>
      <c r="BE180" s="63"/>
      <c r="BF180" s="63"/>
      <c r="BG180" s="63"/>
      <c r="BH180" s="63"/>
      <c r="BI180" s="63"/>
      <c r="BJ180" s="63"/>
      <c r="BK180" s="63"/>
    </row>
    <row r="181" spans="7:63" x14ac:dyDescent="0.25">
      <c r="G181" s="73"/>
      <c r="H181" s="64"/>
      <c r="I181" s="64"/>
      <c r="S181" s="63"/>
      <c r="T181" s="63"/>
      <c r="U181" s="63"/>
      <c r="V181" s="63"/>
      <c r="X181" s="63"/>
      <c r="Y181" s="63"/>
      <c r="Z181" s="63"/>
      <c r="AA181" s="74"/>
      <c r="AB181" s="75"/>
      <c r="AC181" s="63"/>
      <c r="AD181" s="63"/>
      <c r="AE181" s="63"/>
      <c r="AF181" s="63"/>
      <c r="AG181" s="63"/>
      <c r="AJ181" s="63"/>
      <c r="AK181" s="63"/>
      <c r="AL181" s="63"/>
      <c r="AM181" s="63"/>
      <c r="AN181" s="63"/>
      <c r="AO181" s="63"/>
      <c r="AP181" s="63"/>
      <c r="AQ181" s="63"/>
      <c r="AR181" s="63"/>
      <c r="AS181" s="63"/>
      <c r="AT181" s="63"/>
      <c r="AU181" s="63"/>
      <c r="AV181" s="63"/>
      <c r="AW181" s="63"/>
      <c r="AX181" s="63"/>
      <c r="AY181" s="63"/>
      <c r="AZ181" s="63"/>
      <c r="BB181" s="76"/>
      <c r="BC181" s="82"/>
      <c r="BD181" s="63"/>
      <c r="BE181" s="63"/>
      <c r="BF181" s="63"/>
      <c r="BG181" s="63"/>
      <c r="BH181" s="63"/>
      <c r="BI181" s="63"/>
      <c r="BJ181" s="63"/>
      <c r="BK181" s="63"/>
    </row>
    <row r="182" spans="7:63" x14ac:dyDescent="0.25">
      <c r="G182" s="73"/>
      <c r="H182" s="64"/>
      <c r="I182" s="64"/>
      <c r="S182" s="63"/>
      <c r="T182" s="63"/>
      <c r="U182" s="63"/>
      <c r="V182" s="63"/>
      <c r="X182" s="63"/>
      <c r="Y182" s="63"/>
      <c r="Z182" s="63"/>
      <c r="AA182" s="74"/>
      <c r="AB182" s="75"/>
      <c r="AC182" s="63"/>
      <c r="AD182" s="63"/>
      <c r="AE182" s="63"/>
      <c r="AF182" s="63"/>
      <c r="AG182" s="63"/>
      <c r="AJ182" s="63"/>
      <c r="AK182" s="63"/>
      <c r="AL182" s="63"/>
      <c r="AM182" s="63"/>
      <c r="AN182" s="63"/>
      <c r="AO182" s="63"/>
      <c r="AP182" s="63"/>
      <c r="AQ182" s="63"/>
      <c r="AR182" s="63"/>
      <c r="AS182" s="63"/>
      <c r="AT182" s="63"/>
      <c r="AU182" s="63"/>
      <c r="AV182" s="63"/>
      <c r="AW182" s="63"/>
      <c r="AX182" s="63"/>
      <c r="AY182" s="63"/>
      <c r="AZ182" s="63"/>
      <c r="BB182" s="76"/>
      <c r="BC182" s="82"/>
      <c r="BD182" s="63"/>
      <c r="BE182" s="63"/>
      <c r="BF182" s="63"/>
      <c r="BG182" s="63"/>
      <c r="BH182" s="63"/>
      <c r="BI182" s="63"/>
      <c r="BJ182" s="63"/>
      <c r="BK182" s="63"/>
    </row>
    <row r="183" spans="7:63" x14ac:dyDescent="0.25">
      <c r="G183" s="73"/>
      <c r="H183" s="64"/>
      <c r="I183" s="64"/>
      <c r="S183" s="63"/>
      <c r="T183" s="63"/>
      <c r="U183" s="63"/>
      <c r="V183" s="63"/>
      <c r="X183" s="63"/>
      <c r="Y183" s="63"/>
      <c r="Z183" s="63"/>
      <c r="AA183" s="74"/>
      <c r="AB183" s="75"/>
      <c r="AC183" s="63"/>
      <c r="AD183" s="63"/>
      <c r="AE183" s="63"/>
      <c r="AF183" s="63"/>
      <c r="AG183" s="63"/>
      <c r="AJ183" s="63"/>
      <c r="AK183" s="63"/>
      <c r="AL183" s="63"/>
      <c r="AM183" s="63"/>
      <c r="AN183" s="63"/>
      <c r="AO183" s="63"/>
      <c r="AP183" s="63"/>
      <c r="AQ183" s="63"/>
      <c r="AR183" s="63"/>
      <c r="AS183" s="63"/>
      <c r="AT183" s="63"/>
      <c r="AU183" s="63"/>
      <c r="AV183" s="63"/>
      <c r="AW183" s="63"/>
      <c r="AX183" s="63"/>
      <c r="AY183" s="63"/>
      <c r="AZ183" s="63"/>
      <c r="BB183" s="76"/>
      <c r="BC183" s="82"/>
      <c r="BD183" s="63"/>
      <c r="BE183" s="63"/>
      <c r="BF183" s="63"/>
      <c r="BG183" s="63"/>
      <c r="BH183" s="63"/>
      <c r="BI183" s="63"/>
      <c r="BJ183" s="63"/>
      <c r="BK183" s="63"/>
    </row>
    <row r="184" spans="7:63" x14ac:dyDescent="0.25">
      <c r="G184" s="73"/>
      <c r="H184" s="64"/>
      <c r="I184" s="64"/>
      <c r="S184" s="63"/>
      <c r="T184" s="63"/>
      <c r="U184" s="63"/>
      <c r="V184" s="63"/>
      <c r="X184" s="63"/>
      <c r="Y184" s="63"/>
      <c r="Z184" s="63"/>
      <c r="AA184" s="74"/>
      <c r="AB184" s="75"/>
      <c r="AC184" s="63"/>
      <c r="AD184" s="63"/>
      <c r="AE184" s="63"/>
      <c r="AF184" s="63"/>
      <c r="AG184" s="63"/>
      <c r="AJ184" s="63"/>
      <c r="AK184" s="63"/>
      <c r="AL184" s="63"/>
      <c r="AM184" s="63"/>
      <c r="AN184" s="63"/>
      <c r="AO184" s="63"/>
      <c r="AP184" s="63"/>
      <c r="AQ184" s="63"/>
      <c r="AR184" s="63"/>
      <c r="AS184" s="63"/>
      <c r="AT184" s="63"/>
      <c r="AU184" s="63"/>
      <c r="AV184" s="63"/>
      <c r="AW184" s="63"/>
      <c r="AX184" s="63"/>
      <c r="AY184" s="63"/>
      <c r="AZ184" s="63"/>
      <c r="BB184" s="76"/>
      <c r="BC184" s="82"/>
      <c r="BD184" s="63"/>
      <c r="BE184" s="63"/>
      <c r="BF184" s="63"/>
      <c r="BG184" s="63"/>
      <c r="BH184" s="63"/>
      <c r="BI184" s="63"/>
      <c r="BJ184" s="63"/>
      <c r="BK184" s="63"/>
    </row>
    <row r="185" spans="7:63" x14ac:dyDescent="0.25">
      <c r="G185" s="73"/>
      <c r="H185" s="64"/>
      <c r="I185" s="64"/>
      <c r="S185" s="63"/>
      <c r="T185" s="63"/>
      <c r="U185" s="63"/>
      <c r="V185" s="63"/>
      <c r="X185" s="63"/>
      <c r="Y185" s="63"/>
      <c r="Z185" s="63"/>
      <c r="AA185" s="74"/>
      <c r="AB185" s="75"/>
      <c r="AC185" s="63"/>
      <c r="AD185" s="63"/>
      <c r="AE185" s="63"/>
      <c r="AF185" s="63"/>
      <c r="AG185" s="63"/>
      <c r="AJ185" s="63"/>
      <c r="AK185" s="63"/>
      <c r="AL185" s="63"/>
      <c r="AM185" s="63"/>
      <c r="AN185" s="63"/>
      <c r="AO185" s="63"/>
      <c r="AP185" s="63"/>
      <c r="AQ185" s="63"/>
      <c r="AR185" s="63"/>
      <c r="AS185" s="63"/>
      <c r="AT185" s="63"/>
      <c r="AU185" s="63"/>
      <c r="AV185" s="63"/>
      <c r="AW185" s="63"/>
      <c r="AX185" s="63"/>
      <c r="AY185" s="63"/>
      <c r="AZ185" s="63"/>
      <c r="BB185" s="76"/>
      <c r="BC185" s="82"/>
      <c r="BD185" s="63"/>
      <c r="BE185" s="63"/>
      <c r="BF185" s="63"/>
      <c r="BG185" s="63"/>
      <c r="BH185" s="63"/>
      <c r="BI185" s="63"/>
      <c r="BJ185" s="63"/>
      <c r="BK185" s="63"/>
    </row>
    <row r="186" spans="7:63" x14ac:dyDescent="0.25">
      <c r="G186" s="73"/>
      <c r="H186" s="64"/>
      <c r="I186" s="64"/>
      <c r="S186" s="63"/>
      <c r="T186" s="63"/>
      <c r="U186" s="63"/>
      <c r="V186" s="63"/>
      <c r="X186" s="63"/>
      <c r="Y186" s="63"/>
      <c r="Z186" s="63"/>
      <c r="AA186" s="74"/>
      <c r="AB186" s="75"/>
      <c r="AC186" s="63"/>
      <c r="AD186" s="63"/>
      <c r="AE186" s="63"/>
      <c r="AF186" s="63"/>
      <c r="AG186" s="63"/>
      <c r="AJ186" s="63"/>
      <c r="AK186" s="63"/>
      <c r="AL186" s="63"/>
      <c r="AM186" s="63"/>
      <c r="AN186" s="63"/>
      <c r="AO186" s="63"/>
      <c r="AP186" s="63"/>
      <c r="AQ186" s="63"/>
      <c r="AR186" s="63"/>
      <c r="AS186" s="63"/>
      <c r="AT186" s="63"/>
      <c r="AU186" s="63"/>
      <c r="AV186" s="63"/>
      <c r="AW186" s="63"/>
      <c r="AX186" s="63"/>
      <c r="AY186" s="63"/>
      <c r="AZ186" s="63"/>
      <c r="BB186" s="76"/>
      <c r="BC186" s="82"/>
      <c r="BD186" s="63"/>
      <c r="BE186" s="63"/>
      <c r="BF186" s="63"/>
      <c r="BG186" s="63"/>
      <c r="BH186" s="63"/>
      <c r="BI186" s="63"/>
      <c r="BJ186" s="63"/>
      <c r="BK186" s="63"/>
    </row>
    <row r="187" spans="7:63" x14ac:dyDescent="0.25">
      <c r="G187" s="73"/>
      <c r="H187" s="64"/>
      <c r="I187" s="64"/>
      <c r="S187" s="63"/>
      <c r="T187" s="63"/>
      <c r="U187" s="63"/>
      <c r="V187" s="63"/>
      <c r="X187" s="63"/>
      <c r="Y187" s="63"/>
      <c r="Z187" s="63"/>
      <c r="AA187" s="74"/>
      <c r="AB187" s="75"/>
      <c r="AC187" s="63"/>
      <c r="AD187" s="63"/>
      <c r="AE187" s="63"/>
      <c r="AF187" s="63"/>
      <c r="AG187" s="63"/>
      <c r="AJ187" s="63"/>
      <c r="AK187" s="63"/>
      <c r="AL187" s="63"/>
      <c r="AM187" s="63"/>
      <c r="AN187" s="63"/>
      <c r="AO187" s="63"/>
      <c r="AP187" s="63"/>
      <c r="AQ187" s="63"/>
      <c r="AR187" s="63"/>
      <c r="AS187" s="63"/>
      <c r="AT187" s="63"/>
      <c r="AU187" s="63"/>
      <c r="AV187" s="63"/>
      <c r="AW187" s="63"/>
      <c r="AX187" s="63"/>
      <c r="AY187" s="63"/>
      <c r="AZ187" s="63"/>
      <c r="BB187" s="76"/>
      <c r="BC187" s="82"/>
      <c r="BD187" s="63"/>
      <c r="BE187" s="63"/>
      <c r="BF187" s="63"/>
      <c r="BG187" s="63"/>
      <c r="BH187" s="63"/>
      <c r="BI187" s="63"/>
      <c r="BJ187" s="63"/>
      <c r="BK187" s="63"/>
    </row>
    <row r="188" spans="7:63" x14ac:dyDescent="0.25">
      <c r="G188" s="73"/>
      <c r="H188" s="64"/>
      <c r="I188" s="64"/>
      <c r="S188" s="63"/>
      <c r="T188" s="63"/>
      <c r="U188" s="63"/>
      <c r="V188" s="63"/>
      <c r="X188" s="63"/>
      <c r="Y188" s="63"/>
      <c r="Z188" s="63"/>
      <c r="AA188" s="74"/>
      <c r="AB188" s="75"/>
      <c r="AC188" s="63"/>
      <c r="AD188" s="63"/>
      <c r="AE188" s="63"/>
      <c r="AF188" s="63"/>
      <c r="AG188" s="63"/>
      <c r="AJ188" s="63"/>
      <c r="AK188" s="63"/>
      <c r="AL188" s="63"/>
      <c r="AM188" s="63"/>
      <c r="AN188" s="63"/>
      <c r="AO188" s="63"/>
      <c r="AP188" s="63"/>
      <c r="AQ188" s="63"/>
      <c r="AR188" s="63"/>
      <c r="AS188" s="63"/>
      <c r="AT188" s="63"/>
      <c r="AU188" s="63"/>
      <c r="AV188" s="63"/>
      <c r="AW188" s="63"/>
      <c r="AX188" s="63"/>
      <c r="AY188" s="63"/>
      <c r="AZ188" s="63"/>
      <c r="BB188" s="76"/>
      <c r="BC188" s="82"/>
      <c r="BD188" s="63"/>
      <c r="BE188" s="63"/>
      <c r="BF188" s="63"/>
      <c r="BG188" s="63"/>
      <c r="BH188" s="63"/>
      <c r="BI188" s="63"/>
      <c r="BJ188" s="63"/>
      <c r="BK188" s="63"/>
    </row>
    <row r="189" spans="7:63" x14ac:dyDescent="0.25">
      <c r="G189" s="73"/>
      <c r="H189" s="64"/>
      <c r="I189" s="64"/>
      <c r="S189" s="63"/>
      <c r="T189" s="63"/>
      <c r="U189" s="63"/>
      <c r="V189" s="63"/>
      <c r="X189" s="63"/>
      <c r="Y189" s="63"/>
      <c r="Z189" s="63"/>
      <c r="AA189" s="74"/>
      <c r="AB189" s="75"/>
      <c r="AC189" s="63"/>
      <c r="AD189" s="63"/>
      <c r="AE189" s="63"/>
      <c r="AF189" s="63"/>
      <c r="AG189" s="63"/>
      <c r="AJ189" s="63"/>
      <c r="AK189" s="63"/>
      <c r="AL189" s="63"/>
      <c r="AM189" s="63"/>
      <c r="AN189" s="63"/>
      <c r="AO189" s="63"/>
      <c r="AP189" s="63"/>
      <c r="AQ189" s="63"/>
      <c r="AR189" s="63"/>
      <c r="AS189" s="63"/>
      <c r="AT189" s="63"/>
      <c r="AU189" s="63"/>
      <c r="AV189" s="63"/>
      <c r="AW189" s="63"/>
      <c r="AX189" s="63"/>
      <c r="AY189" s="63"/>
      <c r="AZ189" s="63"/>
      <c r="BB189" s="76"/>
      <c r="BC189" s="82"/>
      <c r="BD189" s="63"/>
      <c r="BE189" s="63"/>
      <c r="BF189" s="63"/>
      <c r="BG189" s="63"/>
      <c r="BH189" s="63"/>
      <c r="BI189" s="63"/>
      <c r="BJ189" s="63"/>
      <c r="BK189" s="63"/>
    </row>
    <row r="190" spans="7:63" x14ac:dyDescent="0.25">
      <c r="G190" s="73"/>
      <c r="H190" s="64"/>
      <c r="I190" s="64"/>
      <c r="S190" s="63"/>
      <c r="T190" s="63"/>
      <c r="U190" s="63"/>
      <c r="V190" s="63"/>
      <c r="X190" s="63"/>
      <c r="Y190" s="63"/>
      <c r="Z190" s="63"/>
      <c r="AA190" s="74"/>
      <c r="AB190" s="75"/>
      <c r="AC190" s="63"/>
      <c r="AD190" s="63"/>
      <c r="AE190" s="63"/>
      <c r="AF190" s="63"/>
      <c r="AG190" s="63"/>
      <c r="AJ190" s="63"/>
      <c r="AK190" s="63"/>
      <c r="AL190" s="63"/>
      <c r="AM190" s="63"/>
      <c r="AN190" s="63"/>
      <c r="AO190" s="63"/>
      <c r="AP190" s="63"/>
      <c r="AQ190" s="63"/>
      <c r="AR190" s="63"/>
      <c r="AS190" s="63"/>
      <c r="AT190" s="63"/>
      <c r="AU190" s="63"/>
      <c r="AV190" s="63"/>
      <c r="AW190" s="63"/>
      <c r="AX190" s="63"/>
      <c r="AY190" s="63"/>
      <c r="AZ190" s="63"/>
      <c r="BB190" s="76"/>
      <c r="BC190" s="82"/>
      <c r="BD190" s="63"/>
      <c r="BE190" s="63"/>
      <c r="BF190" s="63"/>
      <c r="BG190" s="63"/>
      <c r="BH190" s="63"/>
      <c r="BI190" s="63"/>
      <c r="BJ190" s="63"/>
      <c r="BK190" s="63"/>
    </row>
    <row r="191" spans="7:63" x14ac:dyDescent="0.25">
      <c r="G191" s="73"/>
      <c r="H191" s="64"/>
      <c r="I191" s="64"/>
      <c r="S191" s="63"/>
      <c r="T191" s="63"/>
      <c r="U191" s="63"/>
      <c r="V191" s="63"/>
      <c r="X191" s="63"/>
      <c r="Y191" s="63"/>
      <c r="Z191" s="63"/>
      <c r="AA191" s="74"/>
      <c r="AB191" s="75"/>
      <c r="AC191" s="63"/>
      <c r="AD191" s="63"/>
      <c r="AE191" s="63"/>
      <c r="AF191" s="63"/>
      <c r="AG191" s="63"/>
      <c r="AJ191" s="63"/>
      <c r="AK191" s="63"/>
      <c r="AL191" s="63"/>
      <c r="AM191" s="63"/>
      <c r="AN191" s="63"/>
      <c r="AO191" s="63"/>
      <c r="AP191" s="63"/>
      <c r="AQ191" s="63"/>
      <c r="AR191" s="63"/>
      <c r="AS191" s="63"/>
      <c r="AT191" s="63"/>
      <c r="AU191" s="63"/>
      <c r="AV191" s="63"/>
      <c r="AW191" s="63"/>
      <c r="AX191" s="63"/>
      <c r="AY191" s="63"/>
      <c r="AZ191" s="63"/>
      <c r="BB191" s="76"/>
      <c r="BC191" s="82"/>
      <c r="BD191" s="63"/>
      <c r="BE191" s="63"/>
      <c r="BF191" s="63"/>
      <c r="BG191" s="63"/>
      <c r="BH191" s="63"/>
      <c r="BI191" s="63"/>
      <c r="BJ191" s="63"/>
      <c r="BK191" s="63"/>
    </row>
    <row r="192" spans="7:63" x14ac:dyDescent="0.25">
      <c r="G192" s="73"/>
      <c r="H192" s="64"/>
      <c r="I192" s="64"/>
      <c r="S192" s="63"/>
      <c r="T192" s="63"/>
      <c r="U192" s="63"/>
      <c r="V192" s="63"/>
      <c r="X192" s="63"/>
      <c r="Y192" s="63"/>
      <c r="Z192" s="63"/>
      <c r="AA192" s="74"/>
      <c r="AB192" s="75"/>
      <c r="AC192" s="63"/>
      <c r="AD192" s="63"/>
      <c r="AE192" s="63"/>
      <c r="AF192" s="63"/>
      <c r="AG192" s="63"/>
      <c r="AJ192" s="63"/>
      <c r="AK192" s="63"/>
      <c r="AL192" s="63"/>
      <c r="AM192" s="63"/>
      <c r="AN192" s="63"/>
      <c r="AO192" s="63"/>
      <c r="AP192" s="63"/>
      <c r="AQ192" s="63"/>
      <c r="AR192" s="63"/>
      <c r="AS192" s="63"/>
      <c r="AT192" s="63"/>
      <c r="AU192" s="63"/>
      <c r="AV192" s="63"/>
      <c r="AW192" s="63"/>
      <c r="AX192" s="63"/>
      <c r="AY192" s="63"/>
      <c r="AZ192" s="63"/>
      <c r="BB192" s="76"/>
      <c r="BC192" s="82"/>
      <c r="BD192" s="63"/>
      <c r="BE192" s="63"/>
      <c r="BF192" s="63"/>
      <c r="BG192" s="63"/>
      <c r="BH192" s="63"/>
      <c r="BI192" s="63"/>
      <c r="BJ192" s="63"/>
      <c r="BK192" s="63"/>
    </row>
    <row r="193" spans="7:63" x14ac:dyDescent="0.25">
      <c r="G193" s="73"/>
      <c r="H193" s="64"/>
      <c r="I193" s="64"/>
      <c r="S193" s="63"/>
      <c r="T193" s="63"/>
      <c r="U193" s="63"/>
      <c r="V193" s="63"/>
      <c r="X193" s="63"/>
      <c r="Y193" s="63"/>
      <c r="Z193" s="63"/>
      <c r="AA193" s="74"/>
      <c r="AB193" s="75"/>
      <c r="AC193" s="63"/>
      <c r="AD193" s="63"/>
      <c r="AE193" s="63"/>
      <c r="AF193" s="63"/>
      <c r="AG193" s="63"/>
      <c r="AJ193" s="63"/>
      <c r="AK193" s="63"/>
      <c r="AL193" s="63"/>
      <c r="AM193" s="63"/>
      <c r="AN193" s="63"/>
      <c r="AO193" s="63"/>
      <c r="AP193" s="63"/>
      <c r="AQ193" s="63"/>
      <c r="AR193" s="63"/>
      <c r="AS193" s="63"/>
      <c r="AT193" s="63"/>
      <c r="AU193" s="63"/>
      <c r="AV193" s="63"/>
      <c r="AW193" s="63"/>
      <c r="AX193" s="63"/>
      <c r="AY193" s="63"/>
      <c r="AZ193" s="63"/>
      <c r="BB193" s="76"/>
      <c r="BC193" s="82"/>
      <c r="BD193" s="63"/>
      <c r="BE193" s="63"/>
      <c r="BF193" s="63"/>
      <c r="BG193" s="63"/>
      <c r="BH193" s="63"/>
      <c r="BI193" s="63"/>
      <c r="BJ193" s="63"/>
      <c r="BK193" s="63"/>
    </row>
    <row r="194" spans="7:63" x14ac:dyDescent="0.25">
      <c r="G194" s="73"/>
      <c r="H194" s="64"/>
      <c r="I194" s="64"/>
      <c r="S194" s="63"/>
      <c r="T194" s="63"/>
      <c r="U194" s="63"/>
      <c r="V194" s="63"/>
      <c r="X194" s="63"/>
      <c r="Y194" s="63"/>
      <c r="Z194" s="63"/>
      <c r="AA194" s="74"/>
      <c r="AB194" s="75"/>
      <c r="AC194" s="63"/>
      <c r="AD194" s="63"/>
      <c r="AE194" s="63"/>
      <c r="AF194" s="63"/>
      <c r="AG194" s="63"/>
      <c r="AJ194" s="63"/>
      <c r="AK194" s="63"/>
      <c r="AL194" s="63"/>
      <c r="AM194" s="63"/>
      <c r="AN194" s="63"/>
      <c r="AO194" s="63"/>
      <c r="AP194" s="63"/>
      <c r="AQ194" s="63"/>
      <c r="AR194" s="63"/>
      <c r="AS194" s="63"/>
      <c r="AT194" s="63"/>
      <c r="AU194" s="63"/>
      <c r="AV194" s="63"/>
      <c r="AW194" s="63"/>
      <c r="AX194" s="63"/>
      <c r="AY194" s="63"/>
      <c r="AZ194" s="63"/>
      <c r="BB194" s="76"/>
      <c r="BC194" s="82"/>
      <c r="BD194" s="63"/>
      <c r="BE194" s="63"/>
      <c r="BF194" s="63"/>
      <c r="BG194" s="63"/>
      <c r="BH194" s="63"/>
      <c r="BI194" s="63"/>
      <c r="BJ194" s="63"/>
      <c r="BK194" s="63"/>
    </row>
    <row r="195" spans="7:63" x14ac:dyDescent="0.25">
      <c r="G195" s="73"/>
      <c r="H195" s="64"/>
      <c r="I195" s="64"/>
      <c r="S195" s="63"/>
      <c r="T195" s="63"/>
      <c r="U195" s="63"/>
      <c r="V195" s="63"/>
      <c r="X195" s="63"/>
      <c r="Y195" s="63"/>
      <c r="Z195" s="63"/>
      <c r="AA195" s="74"/>
      <c r="AB195" s="75"/>
      <c r="AC195" s="63"/>
      <c r="AD195" s="63"/>
      <c r="AE195" s="63"/>
      <c r="AF195" s="63"/>
      <c r="AG195" s="63"/>
      <c r="AJ195" s="63"/>
      <c r="AK195" s="63"/>
      <c r="AL195" s="63"/>
      <c r="AM195" s="63"/>
      <c r="AN195" s="63"/>
      <c r="AO195" s="63"/>
      <c r="AP195" s="63"/>
      <c r="AQ195" s="63"/>
      <c r="AR195" s="63"/>
      <c r="AS195" s="63"/>
      <c r="AT195" s="63"/>
      <c r="AU195" s="63"/>
      <c r="AV195" s="63"/>
      <c r="AW195" s="63"/>
      <c r="AX195" s="63"/>
      <c r="AY195" s="63"/>
      <c r="AZ195" s="63"/>
      <c r="BB195" s="76"/>
      <c r="BC195" s="82"/>
      <c r="BD195" s="63"/>
      <c r="BE195" s="63"/>
      <c r="BF195" s="63"/>
      <c r="BG195" s="63"/>
      <c r="BH195" s="63"/>
      <c r="BI195" s="63"/>
      <c r="BJ195" s="63"/>
      <c r="BK195" s="63"/>
    </row>
    <row r="196" spans="7:63" x14ac:dyDescent="0.25">
      <c r="G196" s="73"/>
      <c r="H196" s="64"/>
      <c r="I196" s="64"/>
      <c r="S196" s="63"/>
      <c r="T196" s="63"/>
      <c r="U196" s="63"/>
      <c r="V196" s="63"/>
      <c r="X196" s="63"/>
      <c r="Y196" s="63"/>
      <c r="Z196" s="63"/>
      <c r="AA196" s="74"/>
      <c r="AB196" s="75"/>
      <c r="AC196" s="63"/>
      <c r="AD196" s="63"/>
      <c r="AE196" s="63"/>
      <c r="AF196" s="63"/>
      <c r="AG196" s="63"/>
      <c r="AJ196" s="63"/>
      <c r="AK196" s="63"/>
      <c r="AL196" s="63"/>
      <c r="AM196" s="63"/>
      <c r="AN196" s="63"/>
      <c r="AO196" s="63"/>
      <c r="AP196" s="63"/>
      <c r="AQ196" s="63"/>
      <c r="AR196" s="63"/>
      <c r="AS196" s="63"/>
      <c r="AT196" s="63"/>
      <c r="AU196" s="63"/>
      <c r="AV196" s="63"/>
      <c r="AW196" s="63"/>
      <c r="AX196" s="63"/>
      <c r="AY196" s="63"/>
      <c r="AZ196" s="63"/>
      <c r="BB196" s="76"/>
      <c r="BC196" s="82"/>
      <c r="BD196" s="63"/>
      <c r="BE196" s="63"/>
      <c r="BF196" s="63"/>
      <c r="BG196" s="63"/>
      <c r="BH196" s="63"/>
      <c r="BI196" s="63"/>
      <c r="BJ196" s="63"/>
      <c r="BK196" s="63"/>
    </row>
    <row r="197" spans="7:63" x14ac:dyDescent="0.25">
      <c r="G197" s="73"/>
      <c r="H197" s="64"/>
      <c r="I197" s="64"/>
      <c r="S197" s="63"/>
      <c r="T197" s="63"/>
      <c r="U197" s="63"/>
      <c r="V197" s="63"/>
      <c r="X197" s="63"/>
      <c r="Y197" s="63"/>
      <c r="Z197" s="63"/>
      <c r="AA197" s="74"/>
      <c r="AB197" s="75"/>
      <c r="AC197" s="63"/>
      <c r="AD197" s="63"/>
      <c r="AE197" s="63"/>
      <c r="AF197" s="63"/>
      <c r="AG197" s="63"/>
      <c r="AJ197" s="63"/>
      <c r="AK197" s="63"/>
      <c r="AL197" s="63"/>
      <c r="AM197" s="63"/>
      <c r="AN197" s="63"/>
      <c r="AO197" s="63"/>
      <c r="AP197" s="63"/>
      <c r="AQ197" s="63"/>
      <c r="AR197" s="63"/>
      <c r="AS197" s="63"/>
      <c r="AT197" s="63"/>
      <c r="AU197" s="63"/>
      <c r="AV197" s="63"/>
      <c r="AW197" s="63"/>
      <c r="AX197" s="63"/>
      <c r="AY197" s="63"/>
      <c r="AZ197" s="63"/>
      <c r="BB197" s="76"/>
      <c r="BC197" s="82"/>
      <c r="BD197" s="63"/>
      <c r="BE197" s="63"/>
      <c r="BF197" s="63"/>
      <c r="BG197" s="63"/>
      <c r="BH197" s="63"/>
      <c r="BI197" s="63"/>
      <c r="BJ197" s="63"/>
      <c r="BK197" s="63"/>
    </row>
    <row r="198" spans="7:63" x14ac:dyDescent="0.25">
      <c r="G198" s="73"/>
      <c r="H198" s="64"/>
      <c r="I198" s="64"/>
      <c r="S198" s="63"/>
      <c r="T198" s="63"/>
      <c r="U198" s="63"/>
      <c r="V198" s="63"/>
      <c r="X198" s="63"/>
      <c r="Y198" s="63"/>
      <c r="Z198" s="63"/>
      <c r="AA198" s="74"/>
      <c r="AB198" s="75"/>
      <c r="AC198" s="63"/>
      <c r="AD198" s="63"/>
      <c r="AE198" s="63"/>
      <c r="AF198" s="63"/>
      <c r="AG198" s="63"/>
      <c r="AJ198" s="63"/>
      <c r="AK198" s="63"/>
      <c r="AL198" s="63"/>
      <c r="AM198" s="63"/>
      <c r="AN198" s="63"/>
      <c r="AO198" s="63"/>
      <c r="AP198" s="63"/>
      <c r="AQ198" s="63"/>
      <c r="AR198" s="63"/>
      <c r="AS198" s="63"/>
      <c r="AT198" s="63"/>
      <c r="AU198" s="63"/>
      <c r="AV198" s="63"/>
      <c r="AW198" s="63"/>
      <c r="AX198" s="63"/>
      <c r="AY198" s="63"/>
      <c r="AZ198" s="63"/>
      <c r="BB198" s="76"/>
      <c r="BC198" s="82"/>
      <c r="BD198" s="63"/>
      <c r="BE198" s="63"/>
      <c r="BF198" s="63"/>
      <c r="BG198" s="63"/>
      <c r="BH198" s="63"/>
      <c r="BI198" s="63"/>
      <c r="BJ198" s="63"/>
      <c r="BK198" s="63"/>
    </row>
    <row r="199" spans="7:63" x14ac:dyDescent="0.25">
      <c r="G199" s="73"/>
      <c r="H199" s="64"/>
      <c r="I199" s="64"/>
      <c r="S199" s="63"/>
      <c r="T199" s="63"/>
      <c r="U199" s="63"/>
      <c r="V199" s="63"/>
      <c r="X199" s="63"/>
      <c r="Y199" s="63"/>
      <c r="Z199" s="63"/>
      <c r="AA199" s="74"/>
      <c r="AB199" s="75"/>
      <c r="AC199" s="63"/>
      <c r="AD199" s="63"/>
      <c r="AE199" s="63"/>
      <c r="AF199" s="63"/>
      <c r="AG199" s="63"/>
      <c r="AJ199" s="63"/>
      <c r="AK199" s="63"/>
      <c r="AL199" s="63"/>
      <c r="AM199" s="63"/>
      <c r="AN199" s="63"/>
      <c r="AO199" s="63"/>
      <c r="AP199" s="63"/>
      <c r="AQ199" s="63"/>
      <c r="AR199" s="63"/>
      <c r="AS199" s="63"/>
      <c r="AT199" s="63"/>
      <c r="AU199" s="63"/>
      <c r="AV199" s="63"/>
      <c r="AW199" s="63"/>
      <c r="AX199" s="63"/>
      <c r="AY199" s="63"/>
      <c r="AZ199" s="63"/>
      <c r="BB199" s="76"/>
      <c r="BC199" s="82"/>
      <c r="BD199" s="63"/>
      <c r="BE199" s="63"/>
      <c r="BF199" s="63"/>
      <c r="BG199" s="63"/>
      <c r="BH199" s="63"/>
      <c r="BI199" s="63"/>
      <c r="BJ199" s="63"/>
      <c r="BK199" s="63"/>
    </row>
    <row r="200" spans="7:63" x14ac:dyDescent="0.25">
      <c r="G200" s="73"/>
      <c r="H200" s="64"/>
      <c r="I200" s="64"/>
      <c r="S200" s="63"/>
      <c r="T200" s="63"/>
      <c r="U200" s="63"/>
      <c r="V200" s="63"/>
      <c r="X200" s="63"/>
      <c r="Y200" s="63"/>
      <c r="Z200" s="63"/>
      <c r="AA200" s="74"/>
      <c r="AB200" s="75"/>
      <c r="AC200" s="63"/>
      <c r="AD200" s="63"/>
      <c r="AE200" s="63"/>
      <c r="AF200" s="63"/>
      <c r="AG200" s="63"/>
      <c r="AJ200" s="63"/>
      <c r="AK200" s="63"/>
      <c r="AL200" s="63"/>
      <c r="AM200" s="63"/>
      <c r="AN200" s="63"/>
      <c r="AO200" s="63"/>
      <c r="AP200" s="63"/>
      <c r="AQ200" s="63"/>
      <c r="AR200" s="63"/>
      <c r="AS200" s="63"/>
      <c r="AT200" s="63"/>
      <c r="AU200" s="63"/>
      <c r="AV200" s="63"/>
      <c r="AW200" s="63"/>
      <c r="AX200" s="63"/>
      <c r="AY200" s="63"/>
      <c r="AZ200" s="63"/>
      <c r="BB200" s="76"/>
      <c r="BC200" s="82"/>
      <c r="BD200" s="63"/>
      <c r="BE200" s="63"/>
      <c r="BF200" s="63"/>
      <c r="BG200" s="63"/>
      <c r="BH200" s="63"/>
      <c r="BI200" s="63"/>
      <c r="BJ200" s="63"/>
      <c r="BK200" s="63"/>
    </row>
    <row r="201" spans="7:63" x14ac:dyDescent="0.25">
      <c r="G201" s="73"/>
      <c r="H201" s="64"/>
      <c r="I201" s="64"/>
      <c r="S201" s="63"/>
      <c r="T201" s="63"/>
      <c r="U201" s="63"/>
      <c r="V201" s="63"/>
      <c r="X201" s="63"/>
      <c r="Y201" s="63"/>
      <c r="Z201" s="63"/>
      <c r="AA201" s="74"/>
      <c r="AB201" s="75"/>
      <c r="AC201" s="63"/>
      <c r="AD201" s="63"/>
      <c r="AE201" s="63"/>
      <c r="AF201" s="63"/>
      <c r="AG201" s="63"/>
      <c r="AJ201" s="63"/>
      <c r="AK201" s="63"/>
      <c r="AL201" s="63"/>
      <c r="AM201" s="63"/>
      <c r="AN201" s="63"/>
      <c r="AO201" s="63"/>
      <c r="AP201" s="63"/>
      <c r="AQ201" s="63"/>
      <c r="AR201" s="63"/>
      <c r="AS201" s="63"/>
      <c r="AT201" s="63"/>
      <c r="AU201" s="63"/>
      <c r="AV201" s="63"/>
      <c r="AW201" s="63"/>
      <c r="AX201" s="63"/>
      <c r="AY201" s="63"/>
      <c r="AZ201" s="63"/>
      <c r="BB201" s="76"/>
      <c r="BC201" s="82"/>
      <c r="BD201" s="63"/>
      <c r="BE201" s="63"/>
      <c r="BF201" s="63"/>
      <c r="BG201" s="63"/>
      <c r="BH201" s="63"/>
      <c r="BI201" s="63"/>
      <c r="BJ201" s="63"/>
      <c r="BK201" s="63"/>
    </row>
    <row r="202" spans="7:63" x14ac:dyDescent="0.25">
      <c r="G202" s="73"/>
      <c r="H202" s="64"/>
      <c r="I202" s="64"/>
      <c r="S202" s="63"/>
      <c r="T202" s="63"/>
      <c r="U202" s="63"/>
      <c r="V202" s="63"/>
      <c r="X202" s="63"/>
      <c r="Y202" s="63"/>
      <c r="Z202" s="63"/>
      <c r="AA202" s="74"/>
      <c r="AB202" s="75"/>
      <c r="AC202" s="63"/>
      <c r="AD202" s="63"/>
      <c r="AE202" s="63"/>
      <c r="AF202" s="63"/>
      <c r="AG202" s="63"/>
      <c r="AJ202" s="63"/>
      <c r="AK202" s="63"/>
      <c r="AL202" s="63"/>
      <c r="AM202" s="63"/>
      <c r="AN202" s="63"/>
      <c r="AO202" s="63"/>
      <c r="AP202" s="63"/>
      <c r="AQ202" s="63"/>
      <c r="AR202" s="63"/>
      <c r="AS202" s="63"/>
      <c r="AT202" s="63"/>
      <c r="AU202" s="63"/>
      <c r="AV202" s="63"/>
      <c r="AW202" s="63"/>
      <c r="AX202" s="63"/>
      <c r="AY202" s="63"/>
      <c r="AZ202" s="63"/>
      <c r="BB202" s="76"/>
      <c r="BC202" s="82"/>
      <c r="BD202" s="63"/>
      <c r="BE202" s="63"/>
      <c r="BF202" s="63"/>
      <c r="BG202" s="63"/>
      <c r="BH202" s="63"/>
      <c r="BI202" s="63"/>
      <c r="BJ202" s="63"/>
      <c r="BK202" s="63"/>
    </row>
    <row r="203" spans="7:63" x14ac:dyDescent="0.25">
      <c r="G203" s="73"/>
      <c r="H203" s="64"/>
      <c r="I203" s="64"/>
      <c r="S203" s="63"/>
      <c r="T203" s="63"/>
      <c r="U203" s="63"/>
      <c r="V203" s="63"/>
      <c r="X203" s="63"/>
      <c r="Y203" s="63"/>
      <c r="Z203" s="63"/>
      <c r="AA203" s="74"/>
      <c r="AB203" s="75"/>
      <c r="AC203" s="63"/>
      <c r="AD203" s="63"/>
      <c r="AE203" s="63"/>
      <c r="AF203" s="63"/>
      <c r="AG203" s="63"/>
      <c r="AJ203" s="63"/>
      <c r="AK203" s="63"/>
      <c r="AL203" s="63"/>
      <c r="AM203" s="63"/>
      <c r="AN203" s="63"/>
      <c r="AO203" s="63"/>
      <c r="AP203" s="63"/>
      <c r="AQ203" s="63"/>
      <c r="AR203" s="63"/>
      <c r="AS203" s="63"/>
      <c r="AT203" s="63"/>
      <c r="AU203" s="63"/>
      <c r="AV203" s="63"/>
      <c r="AW203" s="63"/>
      <c r="AX203" s="63"/>
      <c r="AY203" s="63"/>
      <c r="AZ203" s="63"/>
      <c r="BB203" s="76"/>
      <c r="BC203" s="82"/>
      <c r="BD203" s="63"/>
      <c r="BE203" s="63"/>
      <c r="BF203" s="63"/>
      <c r="BG203" s="63"/>
      <c r="BH203" s="63"/>
      <c r="BI203" s="63"/>
      <c r="BJ203" s="63"/>
      <c r="BK203" s="63"/>
    </row>
    <row r="204" spans="7:63" x14ac:dyDescent="0.25">
      <c r="G204" s="73"/>
      <c r="H204" s="64"/>
      <c r="I204" s="64"/>
      <c r="S204" s="63"/>
      <c r="T204" s="63"/>
      <c r="U204" s="63"/>
      <c r="V204" s="63"/>
      <c r="X204" s="63"/>
      <c r="Y204" s="63"/>
      <c r="Z204" s="63"/>
      <c r="AA204" s="74"/>
      <c r="AB204" s="75"/>
      <c r="AC204" s="63"/>
      <c r="AD204" s="63"/>
      <c r="AE204" s="63"/>
      <c r="AF204" s="63"/>
      <c r="AG204" s="63"/>
      <c r="AJ204" s="63"/>
      <c r="AK204" s="63"/>
      <c r="AL204" s="63"/>
      <c r="AM204" s="63"/>
      <c r="AN204" s="63"/>
      <c r="AO204" s="63"/>
      <c r="AP204" s="63"/>
      <c r="AQ204" s="63"/>
      <c r="AR204" s="63"/>
      <c r="AS204" s="63"/>
      <c r="AT204" s="63"/>
      <c r="AU204" s="63"/>
      <c r="AV204" s="63"/>
      <c r="AW204" s="63"/>
      <c r="AX204" s="63"/>
      <c r="AY204" s="63"/>
      <c r="AZ204" s="63"/>
      <c r="BB204" s="76"/>
      <c r="BC204" s="82"/>
      <c r="BD204" s="63"/>
      <c r="BE204" s="63"/>
      <c r="BF204" s="63"/>
      <c r="BG204" s="63"/>
      <c r="BH204" s="63"/>
      <c r="BI204" s="63"/>
      <c r="BJ204" s="63"/>
      <c r="BK204" s="63"/>
    </row>
    <row r="205" spans="7:63" x14ac:dyDescent="0.25">
      <c r="G205" s="73"/>
      <c r="H205" s="64"/>
      <c r="I205" s="64"/>
      <c r="S205" s="63"/>
      <c r="T205" s="63"/>
      <c r="U205" s="63"/>
      <c r="V205" s="63"/>
      <c r="X205" s="63"/>
      <c r="Y205" s="63"/>
      <c r="Z205" s="63"/>
      <c r="AA205" s="74"/>
      <c r="AB205" s="75"/>
      <c r="AC205" s="63"/>
      <c r="AD205" s="63"/>
      <c r="AE205" s="63"/>
      <c r="AF205" s="63"/>
      <c r="AG205" s="63"/>
      <c r="AJ205" s="63"/>
      <c r="AK205" s="63"/>
      <c r="AL205" s="63"/>
      <c r="AM205" s="63"/>
      <c r="AN205" s="63"/>
      <c r="AO205" s="63"/>
      <c r="AP205" s="63"/>
      <c r="AQ205" s="63"/>
      <c r="AR205" s="63"/>
      <c r="AS205" s="63"/>
      <c r="AT205" s="63"/>
      <c r="AU205" s="63"/>
      <c r="AV205" s="63"/>
      <c r="AW205" s="63"/>
      <c r="AX205" s="63"/>
      <c r="AY205" s="63"/>
      <c r="AZ205" s="63"/>
      <c r="BB205" s="76"/>
      <c r="BC205" s="82"/>
      <c r="BD205" s="63"/>
      <c r="BE205" s="63"/>
      <c r="BF205" s="63"/>
      <c r="BG205" s="63"/>
      <c r="BH205" s="63"/>
      <c r="BI205" s="63"/>
      <c r="BJ205" s="63"/>
      <c r="BK205" s="63"/>
    </row>
    <row r="206" spans="7:63" x14ac:dyDescent="0.25">
      <c r="G206" s="73"/>
      <c r="H206" s="64"/>
      <c r="I206" s="64"/>
      <c r="S206" s="63"/>
      <c r="T206" s="63"/>
      <c r="U206" s="63"/>
      <c r="V206" s="63"/>
      <c r="X206" s="63"/>
      <c r="Y206" s="63"/>
      <c r="Z206" s="63"/>
      <c r="AA206" s="74"/>
      <c r="AB206" s="75"/>
      <c r="AC206" s="63"/>
      <c r="AD206" s="63"/>
      <c r="AE206" s="63"/>
      <c r="AF206" s="63"/>
      <c r="AG206" s="63"/>
      <c r="AJ206" s="63"/>
      <c r="AK206" s="63"/>
      <c r="AL206" s="63"/>
      <c r="AM206" s="63"/>
      <c r="AN206" s="63"/>
      <c r="AO206" s="63"/>
      <c r="AP206" s="63"/>
      <c r="AQ206" s="63"/>
      <c r="AR206" s="63"/>
      <c r="AS206" s="63"/>
      <c r="AT206" s="63"/>
      <c r="AU206" s="63"/>
      <c r="AV206" s="63"/>
      <c r="AW206" s="63"/>
      <c r="AX206" s="63"/>
      <c r="AY206" s="63"/>
      <c r="AZ206" s="63"/>
      <c r="BB206" s="76"/>
      <c r="BC206" s="82"/>
      <c r="BD206" s="63"/>
      <c r="BE206" s="63"/>
      <c r="BF206" s="63"/>
      <c r="BG206" s="63"/>
      <c r="BH206" s="63"/>
      <c r="BI206" s="63"/>
      <c r="BJ206" s="63"/>
      <c r="BK206" s="63"/>
    </row>
    <row r="207" spans="7:63" x14ac:dyDescent="0.25">
      <c r="G207" s="73"/>
      <c r="H207" s="64"/>
      <c r="I207" s="64"/>
      <c r="S207" s="63"/>
      <c r="T207" s="63"/>
      <c r="U207" s="63"/>
      <c r="V207" s="63"/>
      <c r="X207" s="63"/>
      <c r="Y207" s="63"/>
      <c r="Z207" s="63"/>
      <c r="AA207" s="74"/>
      <c r="AB207" s="75"/>
      <c r="AC207" s="63"/>
      <c r="AD207" s="63"/>
      <c r="AE207" s="63"/>
      <c r="AF207" s="63"/>
      <c r="AG207" s="63"/>
      <c r="AJ207" s="63"/>
      <c r="AK207" s="63"/>
      <c r="AL207" s="63"/>
      <c r="AM207" s="63"/>
      <c r="AN207" s="63"/>
      <c r="AO207" s="63"/>
      <c r="AP207" s="63"/>
      <c r="AQ207" s="63"/>
      <c r="AR207" s="63"/>
      <c r="AS207" s="63"/>
      <c r="AT207" s="63"/>
      <c r="AU207" s="63"/>
      <c r="AV207" s="63"/>
      <c r="AW207" s="63"/>
      <c r="AX207" s="63"/>
      <c r="AY207" s="63"/>
      <c r="AZ207" s="63"/>
      <c r="BB207" s="76"/>
      <c r="BC207" s="82"/>
      <c r="BD207" s="63"/>
      <c r="BE207" s="63"/>
      <c r="BF207" s="63"/>
      <c r="BG207" s="63"/>
      <c r="BH207" s="63"/>
      <c r="BI207" s="63"/>
      <c r="BJ207" s="63"/>
      <c r="BK207" s="63"/>
    </row>
    <row r="208" spans="7:63" x14ac:dyDescent="0.25">
      <c r="G208" s="73"/>
      <c r="H208" s="64"/>
      <c r="I208" s="64"/>
      <c r="S208" s="63"/>
      <c r="T208" s="63"/>
      <c r="U208" s="63"/>
      <c r="V208" s="63"/>
      <c r="X208" s="63"/>
      <c r="Y208" s="63"/>
      <c r="Z208" s="63"/>
      <c r="AA208" s="74"/>
      <c r="AB208" s="75"/>
      <c r="AC208" s="63"/>
      <c r="AD208" s="63"/>
      <c r="AE208" s="63"/>
      <c r="AF208" s="63"/>
      <c r="AG208" s="63"/>
      <c r="AJ208" s="63"/>
      <c r="AK208" s="63"/>
      <c r="AL208" s="63"/>
      <c r="AM208" s="63"/>
      <c r="AN208" s="63"/>
      <c r="AO208" s="63"/>
      <c r="AP208" s="63"/>
      <c r="AQ208" s="63"/>
      <c r="AR208" s="63"/>
      <c r="AS208" s="63"/>
      <c r="AT208" s="63"/>
      <c r="AU208" s="63"/>
      <c r="AV208" s="63"/>
      <c r="AW208" s="63"/>
      <c r="AX208" s="63"/>
      <c r="AY208" s="63"/>
      <c r="AZ208" s="63"/>
      <c r="BB208" s="76"/>
      <c r="BC208" s="82"/>
      <c r="BD208" s="63"/>
      <c r="BE208" s="63"/>
      <c r="BF208" s="63"/>
      <c r="BG208" s="63"/>
      <c r="BH208" s="63"/>
      <c r="BI208" s="63"/>
      <c r="BJ208" s="63"/>
      <c r="BK208" s="63"/>
    </row>
    <row r="209" spans="7:63" x14ac:dyDescent="0.25">
      <c r="G209" s="73"/>
      <c r="H209" s="64"/>
      <c r="I209" s="64"/>
      <c r="S209" s="63"/>
      <c r="T209" s="63"/>
      <c r="U209" s="63"/>
      <c r="V209" s="63"/>
      <c r="X209" s="63"/>
      <c r="Y209" s="63"/>
      <c r="Z209" s="63"/>
      <c r="AA209" s="74"/>
      <c r="AB209" s="75"/>
      <c r="AC209" s="63"/>
      <c r="AD209" s="63"/>
      <c r="AE209" s="63"/>
      <c r="AF209" s="63"/>
      <c r="AG209" s="63"/>
      <c r="AJ209" s="63"/>
      <c r="AK209" s="63"/>
      <c r="AL209" s="63"/>
      <c r="AM209" s="63"/>
      <c r="AN209" s="63"/>
      <c r="AO209" s="63"/>
      <c r="AP209" s="63"/>
      <c r="AQ209" s="63"/>
      <c r="AR209" s="63"/>
      <c r="AS209" s="63"/>
      <c r="AT209" s="63"/>
      <c r="AU209" s="63"/>
      <c r="AV209" s="63"/>
      <c r="AW209" s="63"/>
      <c r="AX209" s="63"/>
      <c r="AY209" s="63"/>
      <c r="AZ209" s="63"/>
      <c r="BB209" s="76"/>
      <c r="BC209" s="82"/>
      <c r="BD209" s="63"/>
      <c r="BE209" s="63"/>
      <c r="BF209" s="63"/>
      <c r="BG209" s="63"/>
      <c r="BH209" s="63"/>
      <c r="BI209" s="63"/>
      <c r="BJ209" s="63"/>
      <c r="BK209" s="63"/>
    </row>
    <row r="210" spans="7:63" x14ac:dyDescent="0.25">
      <c r="G210" s="73"/>
      <c r="H210" s="64"/>
      <c r="I210" s="64"/>
      <c r="S210" s="63"/>
      <c r="T210" s="63"/>
      <c r="U210" s="63"/>
      <c r="V210" s="63"/>
      <c r="X210" s="63"/>
      <c r="Y210" s="63"/>
      <c r="Z210" s="63"/>
      <c r="AA210" s="74"/>
      <c r="AB210" s="75"/>
      <c r="AC210" s="63"/>
      <c r="AD210" s="63"/>
      <c r="AE210" s="63"/>
      <c r="AF210" s="63"/>
      <c r="AG210" s="63"/>
      <c r="AJ210" s="63"/>
      <c r="AK210" s="63"/>
      <c r="AL210" s="63"/>
      <c r="AM210" s="63"/>
      <c r="AN210" s="63"/>
      <c r="AO210" s="63"/>
      <c r="AP210" s="63"/>
      <c r="AQ210" s="63"/>
      <c r="AR210" s="63"/>
      <c r="AS210" s="63"/>
      <c r="AT210" s="63"/>
      <c r="AU210" s="63"/>
      <c r="AV210" s="63"/>
      <c r="AW210" s="63"/>
      <c r="AX210" s="63"/>
      <c r="AY210" s="63"/>
      <c r="AZ210" s="63"/>
      <c r="BB210" s="76"/>
      <c r="BC210" s="82"/>
      <c r="BD210" s="63"/>
      <c r="BE210" s="63"/>
      <c r="BF210" s="63"/>
      <c r="BG210" s="63"/>
      <c r="BH210" s="63"/>
      <c r="BI210" s="63"/>
      <c r="BJ210" s="63"/>
      <c r="BK210" s="63"/>
    </row>
    <row r="211" spans="7:63" x14ac:dyDescent="0.25">
      <c r="G211" s="73"/>
      <c r="H211" s="64"/>
      <c r="I211" s="64"/>
      <c r="S211" s="63"/>
      <c r="T211" s="63"/>
      <c r="U211" s="63"/>
      <c r="V211" s="63"/>
      <c r="X211" s="63"/>
      <c r="Y211" s="63"/>
      <c r="Z211" s="63"/>
      <c r="AA211" s="74"/>
      <c r="AB211" s="75"/>
      <c r="AC211" s="63"/>
      <c r="AD211" s="63"/>
      <c r="AE211" s="63"/>
      <c r="AF211" s="63"/>
      <c r="AG211" s="63"/>
      <c r="AJ211" s="63"/>
      <c r="AK211" s="63"/>
      <c r="AL211" s="63"/>
      <c r="AM211" s="63"/>
      <c r="AN211" s="63"/>
      <c r="AO211" s="63"/>
      <c r="AP211" s="63"/>
      <c r="AQ211" s="63"/>
      <c r="AR211" s="63"/>
      <c r="AS211" s="63"/>
      <c r="AT211" s="63"/>
      <c r="AU211" s="63"/>
      <c r="AV211" s="63"/>
      <c r="AW211" s="63"/>
      <c r="AX211" s="63"/>
      <c r="AY211" s="63"/>
      <c r="AZ211" s="63"/>
      <c r="BB211" s="76"/>
      <c r="BC211" s="82"/>
      <c r="BD211" s="63"/>
      <c r="BE211" s="63"/>
      <c r="BF211" s="63"/>
      <c r="BG211" s="63"/>
      <c r="BH211" s="63"/>
      <c r="BI211" s="63"/>
      <c r="BJ211" s="63"/>
      <c r="BK211" s="63"/>
    </row>
    <row r="212" spans="7:63" x14ac:dyDescent="0.25">
      <c r="G212" s="73"/>
      <c r="H212" s="64"/>
      <c r="I212" s="64"/>
      <c r="S212" s="63"/>
      <c r="T212" s="63"/>
      <c r="U212" s="63"/>
      <c r="V212" s="63"/>
      <c r="X212" s="63"/>
      <c r="Y212" s="63"/>
      <c r="Z212" s="63"/>
      <c r="AA212" s="74"/>
      <c r="AB212" s="75"/>
      <c r="AC212" s="63"/>
      <c r="AD212" s="63"/>
      <c r="AE212" s="63"/>
      <c r="AF212" s="63"/>
      <c r="AG212" s="63"/>
      <c r="AJ212" s="63"/>
      <c r="AK212" s="63"/>
      <c r="AL212" s="63"/>
      <c r="AM212" s="63"/>
      <c r="AN212" s="63"/>
      <c r="AO212" s="63"/>
      <c r="AP212" s="63"/>
      <c r="AQ212" s="63"/>
      <c r="AR212" s="63"/>
      <c r="AS212" s="63"/>
      <c r="AT212" s="63"/>
      <c r="AU212" s="63"/>
      <c r="AV212" s="63"/>
      <c r="AW212" s="63"/>
      <c r="AX212" s="63"/>
      <c r="AY212" s="63"/>
      <c r="AZ212" s="63"/>
      <c r="BB212" s="76"/>
      <c r="BC212" s="82"/>
      <c r="BD212" s="63"/>
      <c r="BE212" s="63"/>
      <c r="BF212" s="63"/>
      <c r="BG212" s="63"/>
      <c r="BH212" s="63"/>
      <c r="BI212" s="63"/>
      <c r="BJ212" s="63"/>
      <c r="BK212" s="63"/>
    </row>
  </sheetData>
  <sheetProtection selectLockedCells="1"/>
  <mergeCells count="9">
    <mergeCell ref="Z10:AB10"/>
    <mergeCell ref="BC10:BL10"/>
    <mergeCell ref="C10:R10"/>
    <mergeCell ref="S10:V10"/>
    <mergeCell ref="W10:Y10"/>
    <mergeCell ref="AC10:AJ10"/>
    <mergeCell ref="AK10:AU10"/>
    <mergeCell ref="AW10:AY10"/>
    <mergeCell ref="AZ10:BB10"/>
  </mergeCells>
  <pageMargins left="0.75" right="0.75" top="1" bottom="1" header="0.5" footer="0.5"/>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199</vt:i4>
      </vt:variant>
    </vt:vector>
  </HeadingPairs>
  <TitlesOfParts>
    <vt:vector size="207" baseType="lpstr">
      <vt:lpstr>How to use</vt:lpstr>
      <vt:lpstr>Design</vt:lpstr>
      <vt:lpstr>Important Notice and Disclaimer</vt:lpstr>
      <vt:lpstr>Calc</vt:lpstr>
      <vt:lpstr>STD_VAL</vt:lpstr>
      <vt:lpstr>SCH</vt:lpstr>
      <vt:lpstr>Bode</vt:lpstr>
      <vt:lpstr>Efficiency</vt:lpstr>
      <vt:lpstr>A.s_max</vt:lpstr>
      <vt:lpstr>A.s_min</vt:lpstr>
      <vt:lpstr>A.s_typ</vt:lpstr>
      <vt:lpstr>A_COMP2CS</vt:lpstr>
      <vt:lpstr>A_COMP2VOUT</vt:lpstr>
      <vt:lpstr>C.comp</vt:lpstr>
      <vt:lpstr>C.comp_desired</vt:lpstr>
      <vt:lpstr>C.eaout</vt:lpstr>
      <vt:lpstr>C.fbb</vt:lpstr>
      <vt:lpstr>C.ff</vt:lpstr>
      <vt:lpstr>C.hf</vt:lpstr>
      <vt:lpstr>C.hf_desired</vt:lpstr>
      <vt:lpstr>C.imon</vt:lpstr>
      <vt:lpstr>C.imon_desired</vt:lpstr>
      <vt:lpstr>C.inb_derated</vt:lpstr>
      <vt:lpstr>C.iset</vt:lpstr>
      <vt:lpstr>C.oss_hs</vt:lpstr>
      <vt:lpstr>C.oss_ls</vt:lpstr>
      <vt:lpstr>C.outb_derated</vt:lpstr>
      <vt:lpstr>C.outb_derated_min</vt:lpstr>
      <vt:lpstr>C.outb_derated_min1</vt:lpstr>
      <vt:lpstr>C.outb_derated_min2</vt:lpstr>
      <vt:lpstr>C.outb_derated_min3</vt:lpstr>
      <vt:lpstr>C.outb_derating_factor</vt:lpstr>
      <vt:lpstr>C.outb_rated</vt:lpstr>
      <vt:lpstr>C.outhf_derated</vt:lpstr>
      <vt:lpstr>C.outhf_derating_factor</vt:lpstr>
      <vt:lpstr>C.outhf_rated</vt:lpstr>
      <vt:lpstr>C.outtotal_derated</vt:lpstr>
      <vt:lpstr>CC_LOOP</vt:lpstr>
      <vt:lpstr>CV_LOOP</vt:lpstr>
      <vt:lpstr>D.off_min_150</vt:lpstr>
      <vt:lpstr>D.off_min_ideal</vt:lpstr>
      <vt:lpstr>D.on_min_150</vt:lpstr>
      <vt:lpstr>D.on_min_ideal</vt:lpstr>
      <vt:lpstr>DESIGN_GUIDE1</vt:lpstr>
      <vt:lpstr>DEVICE</vt:lpstr>
      <vt:lpstr>dI.out_max</vt:lpstr>
      <vt:lpstr>dI.out_max_rms</vt:lpstr>
      <vt:lpstr>dV.out_max_rms</vt:lpstr>
      <vt:lpstr>EfficiencyChart</vt:lpstr>
      <vt:lpstr>ExtVCC</vt:lpstr>
      <vt:lpstr>f.cross_desired</vt:lpstr>
      <vt:lpstr>f.p_err</vt:lpstr>
      <vt:lpstr>f.p_err_desired</vt:lpstr>
      <vt:lpstr>f.p_imon</vt:lpstr>
      <vt:lpstr>f.p_imon_desired</vt:lpstr>
      <vt:lpstr>f.sw</vt:lpstr>
      <vt:lpstr>f.z_cff</vt:lpstr>
      <vt:lpstr>f.z_err</vt:lpstr>
      <vt:lpstr>f.z_err_desired</vt:lpstr>
      <vt:lpstr>f.z_imon</vt:lpstr>
      <vt:lpstr>f.z_imon_desired</vt:lpstr>
      <vt:lpstr>FCROSSOVER_FOUND_CV</vt:lpstr>
      <vt:lpstr>FPWM</vt:lpstr>
      <vt:lpstr>fsw_sh</vt:lpstr>
      <vt:lpstr>g.fs_hs</vt:lpstr>
      <vt:lpstr>g.fs_ls</vt:lpstr>
      <vt:lpstr>GM</vt:lpstr>
      <vt:lpstr>GM.imon</vt:lpstr>
      <vt:lpstr>I.imon</vt:lpstr>
      <vt:lpstr>I.iset</vt:lpstr>
      <vt:lpstr>I.load</vt:lpstr>
      <vt:lpstr>I.peak_tblank</vt:lpstr>
      <vt:lpstr>I.peakcl</vt:lpstr>
      <vt:lpstr>I.q_IC</vt:lpstr>
      <vt:lpstr>Ipeak_atvinmax</vt:lpstr>
      <vt:lpstr>IVCC</vt:lpstr>
      <vt:lpstr>kfactor</vt:lpstr>
      <vt:lpstr>L.margin</vt:lpstr>
      <vt:lpstr>L.out</vt:lpstr>
      <vt:lpstr>L.out_desired</vt:lpstr>
      <vt:lpstr>L.outmin1</vt:lpstr>
      <vt:lpstr>L.outmin2</vt:lpstr>
      <vt:lpstr>L.outmin3</vt:lpstr>
      <vt:lpstr>L.outmin4</vt:lpstr>
      <vt:lpstr>L.smalest</vt:lpstr>
      <vt:lpstr>MaxOperatinvVIN</vt:lpstr>
      <vt:lpstr>mc</vt:lpstr>
      <vt:lpstr>MinCboot</vt:lpstr>
      <vt:lpstr>MinCvcc</vt:lpstr>
      <vt:lpstr>MinCvcc2</vt:lpstr>
      <vt:lpstr>P.core</vt:lpstr>
      <vt:lpstr>P.out</vt:lpstr>
      <vt:lpstr>P.rs</vt:lpstr>
      <vt:lpstr>PCB_TYPICAL1</vt:lpstr>
      <vt:lpstr>PI</vt:lpstr>
      <vt:lpstr>Design!Print_Area</vt:lpstr>
      <vt:lpstr>Q.g_hs</vt:lpstr>
      <vt:lpstr>Q.g_ls</vt:lpstr>
      <vt:lpstr>Q.gd_hs</vt:lpstr>
      <vt:lpstr>Q.gd_ls</vt:lpstr>
      <vt:lpstr>Q.gs_hs</vt:lpstr>
      <vt:lpstr>Q.gs_ls</vt:lpstr>
      <vt:lpstr>Q.oss_hs</vt:lpstr>
      <vt:lpstr>Q.oss_ls</vt:lpstr>
      <vt:lpstr>Q.rr_hs</vt:lpstr>
      <vt:lpstr>Q.rr_ls</vt:lpstr>
      <vt:lpstr>Q.rr_sch</vt:lpstr>
      <vt:lpstr>Qfactor</vt:lpstr>
      <vt:lpstr>R.comp</vt:lpstr>
      <vt:lpstr>R.comp_desired</vt:lpstr>
      <vt:lpstr>R.dcr150</vt:lpstr>
      <vt:lpstr>R.dcr25</vt:lpstr>
      <vt:lpstr>R.drv_hs_sink</vt:lpstr>
      <vt:lpstr>R.drv_hs_source</vt:lpstr>
      <vt:lpstr>R.drv_ls_sink</vt:lpstr>
      <vt:lpstr>R.drv_ls_source</vt:lpstr>
      <vt:lpstr>R.eaout</vt:lpstr>
      <vt:lpstr>R.enb</vt:lpstr>
      <vt:lpstr>R.ent</vt:lpstr>
      <vt:lpstr>R.esr_cin</vt:lpstr>
      <vt:lpstr>R.esrb</vt:lpstr>
      <vt:lpstr>R.esrhf</vt:lpstr>
      <vt:lpstr>R.fbb</vt:lpstr>
      <vt:lpstr>R.fbt</vt:lpstr>
      <vt:lpstr>R.fbt_min</vt:lpstr>
      <vt:lpstr>R.ff</vt:lpstr>
      <vt:lpstr>R.g_hs</vt:lpstr>
      <vt:lpstr>R.g_ls</vt:lpstr>
      <vt:lpstr>R.hs150</vt:lpstr>
      <vt:lpstr>R.hs25</vt:lpstr>
      <vt:lpstr>R.imon</vt:lpstr>
      <vt:lpstr>R.imon_desired</vt:lpstr>
      <vt:lpstr>R.imonhf</vt:lpstr>
      <vt:lpstr>R.imonhf_desired</vt:lpstr>
      <vt:lpstr>R.iset</vt:lpstr>
      <vt:lpstr>R.load</vt:lpstr>
      <vt:lpstr>R.lp</vt:lpstr>
      <vt:lpstr>R.ls150</vt:lpstr>
      <vt:lpstr>R.ls25</vt:lpstr>
      <vt:lpstr>R.s</vt:lpstr>
      <vt:lpstr>R.s_desired</vt:lpstr>
      <vt:lpstr>R.t_calc</vt:lpstr>
      <vt:lpstr>R.t_std</vt:lpstr>
      <vt:lpstr>RR.typ</vt:lpstr>
      <vt:lpstr>S.fall</vt:lpstr>
      <vt:lpstr>S.rise</vt:lpstr>
      <vt:lpstr>S.slope</vt:lpstr>
      <vt:lpstr>SCH_TYPICAL1</vt:lpstr>
      <vt:lpstr>T.amb</vt:lpstr>
      <vt:lpstr>t.blank_max</vt:lpstr>
      <vt:lpstr>t.d_hoff_lon</vt:lpstr>
      <vt:lpstr>t.d_loff_hon</vt:lpstr>
      <vt:lpstr>T.fall</vt:lpstr>
      <vt:lpstr>T.off_min_150</vt:lpstr>
      <vt:lpstr>T.off_min_ideal</vt:lpstr>
      <vt:lpstr>T.offmin_IC</vt:lpstr>
      <vt:lpstr>T.on_min_150</vt:lpstr>
      <vt:lpstr>T.on_min_ideal</vt:lpstr>
      <vt:lpstr>T.onmin_IC</vt:lpstr>
      <vt:lpstr>T.rise</vt:lpstr>
      <vt:lpstr>T.sscc</vt:lpstr>
      <vt:lpstr>TC_rdson_hs</vt:lpstr>
      <vt:lpstr>TC_rdson_ls</vt:lpstr>
      <vt:lpstr>theta.ja_hs</vt:lpstr>
      <vt:lpstr>theta.ja_ls</vt:lpstr>
      <vt:lpstr>Trf_CorrectionFactor</vt:lpstr>
      <vt:lpstr>V.bd_hs</vt:lpstr>
      <vt:lpstr>V.bd_ls</vt:lpstr>
      <vt:lpstr>V.enfalling_max</vt:lpstr>
      <vt:lpstr>V.enrising_max</vt:lpstr>
      <vt:lpstr>V.fwd_sch</vt:lpstr>
      <vt:lpstr>V.imon_offset</vt:lpstr>
      <vt:lpstr>V.in_ripple_required</vt:lpstr>
      <vt:lpstr>V.iset_desired</vt:lpstr>
      <vt:lpstr>V.load</vt:lpstr>
      <vt:lpstr>V.ncl_max</vt:lpstr>
      <vt:lpstr>V.overshoot</vt:lpstr>
      <vt:lpstr>V.overshoot_calc</vt:lpstr>
      <vt:lpstr>V.overshoot_calc1</vt:lpstr>
      <vt:lpstr>V.overshoot_calc2</vt:lpstr>
      <vt:lpstr>V.pcl_max</vt:lpstr>
      <vt:lpstr>V.pcl_min</vt:lpstr>
      <vt:lpstr>V.pcl_typ</vt:lpstr>
      <vt:lpstr>V.slope_max</vt:lpstr>
      <vt:lpstr>V.slope_min</vt:lpstr>
      <vt:lpstr>V.slope_typ</vt:lpstr>
      <vt:lpstr>V.sp_hs</vt:lpstr>
      <vt:lpstr>V.sp_hs_100A</vt:lpstr>
      <vt:lpstr>V.sp_ls</vt:lpstr>
      <vt:lpstr>V.sp_ls_100A</vt:lpstr>
      <vt:lpstr>V.sp_max</vt:lpstr>
      <vt:lpstr>V.sp_max_100A</vt:lpstr>
      <vt:lpstr>V.startup</vt:lpstr>
      <vt:lpstr>V.supply_max</vt:lpstr>
      <vt:lpstr>V.supply_min</vt:lpstr>
      <vt:lpstr>V.supply_typ</vt:lpstr>
      <vt:lpstr>V.th_hs</vt:lpstr>
      <vt:lpstr>V.th_ls</vt:lpstr>
      <vt:lpstr>V.undershoot</vt:lpstr>
      <vt:lpstr>V.undershoot_calc</vt:lpstr>
      <vt:lpstr>V.vref</vt:lpstr>
      <vt:lpstr>VCC</vt:lpstr>
      <vt:lpstr>Vshutdown</vt:lpstr>
      <vt:lpstr>Wesr_zero</vt:lpstr>
      <vt:lpstr>Wload_pole</vt:lpstr>
      <vt:lpstr>WloadZ</vt:lpstr>
      <vt:lpstr>Wsh</vt:lpstr>
    </vt:vector>
  </TitlesOfParts>
  <Company>Texas Instruments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 Eric</dc:creator>
  <cp:lastModifiedBy>Jeff Boyer</cp:lastModifiedBy>
  <cp:lastPrinted>2025-12-18T17:08:26Z</cp:lastPrinted>
  <dcterms:created xsi:type="dcterms:W3CDTF">2024-04-07T17:12:23Z</dcterms:created>
  <dcterms:modified xsi:type="dcterms:W3CDTF">2025-12-18T17:41:51Z</dcterms:modified>
</cp:coreProperties>
</file>