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E:\EXT\SG\"/>
    </mc:Choice>
  </mc:AlternateContent>
  <xr:revisionPtr revIDLastSave="0" documentId="8_{7BD93075-1E8F-444F-854C-66238DDB5590}" xr6:coauthVersionLast="47" xr6:coauthVersionMax="47" xr10:uidLastSave="{00000000-0000-0000-0000-000000000000}"/>
  <workbookProtection workbookAlgorithmName="SHA-512" workbookHashValue="a2ZWUz88Bb4Vv1xvrqtqzQl5Y7XhpjCfrzFUdUeyT76bGng7e/JIkAe0pPnGTcWP5Dd28BcTsaXc0Vj2LR+yoA==" workbookSaltValue="dgNTjxgF1uxhfVmbum7iQQ==" workbookSpinCount="100000" lockStructure="1"/>
  <bookViews>
    <workbookView xWindow="-12" yWindow="-720" windowWidth="23064" windowHeight="13332" tabRatio="722" activeTab="1" xr2:uid="{B7AD4D09-F5A9-476A-9641-17A55BE2F89C}"/>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C193" i="2"/>
  <c r="C195" i="2"/>
  <c r="C196" i="2"/>
  <c r="F196" i="2" s="1"/>
  <c r="C197" i="2"/>
  <c r="F197" i="2" s="1"/>
  <c r="F198" i="2"/>
  <c r="C200" i="2"/>
  <c r="F200" i="2" s="1"/>
  <c r="AJ3" i="6" s="1"/>
  <c r="AJ5" i="6" s="1"/>
  <c r="C201" i="2"/>
  <c r="F201" i="2" s="1"/>
  <c r="C202" i="2"/>
  <c r="F202" i="2" s="1"/>
  <c r="C191" i="2"/>
  <c r="C176" i="2"/>
  <c r="C177" i="2"/>
  <c r="C178" i="2"/>
  <c r="F178" i="2" s="1"/>
  <c r="C179" i="2"/>
  <c r="C180" i="2"/>
  <c r="F180" i="2" s="1"/>
  <c r="C181" i="2"/>
  <c r="F181" i="2" s="1"/>
  <c r="F182" i="2"/>
  <c r="C184" i="2"/>
  <c r="F184" i="2" s="1"/>
  <c r="C185" i="2"/>
  <c r="C186" i="2"/>
  <c r="F186" i="2" s="1"/>
  <c r="C175" i="2"/>
  <c r="C219" i="2" s="1"/>
  <c r="F185" i="2" l="1"/>
  <c r="F192" i="2"/>
  <c r="C216" i="2"/>
  <c r="F216" i="2" s="1"/>
  <c r="F219" i="2"/>
  <c r="G37" i="1" s="1"/>
  <c r="C220" i="2"/>
  <c r="F220" i="2" s="1"/>
  <c r="C215" i="2"/>
  <c r="F215" i="2" s="1"/>
  <c r="F177" i="2"/>
  <c r="F193" i="2"/>
  <c r="F179" i="2"/>
  <c r="F175" i="2"/>
  <c r="F195" i="2"/>
  <c r="F206" i="2"/>
  <c r="F176" i="2"/>
  <c r="F191" i="2"/>
  <c r="E159" i="2"/>
  <c r="F160" i="2"/>
  <c r="C159" i="2"/>
  <c r="C158" i="2"/>
  <c r="F158" i="2" s="1"/>
  <c r="F151" i="2"/>
  <c r="C150" i="2"/>
  <c r="F150" i="2" s="1"/>
  <c r="E145" i="2"/>
  <c r="C145" i="2"/>
  <c r="C143" i="2"/>
  <c r="F143" i="2" s="1"/>
  <c r="C142" i="2"/>
  <c r="F142" i="2" s="1"/>
  <c r="E136" i="2"/>
  <c r="C137" i="2"/>
  <c r="F137" i="2" s="1"/>
  <c r="C136" i="2"/>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F136" i="2" l="1"/>
  <c r="C217" i="2"/>
  <c r="F217" i="2" s="1"/>
  <c r="AW13" i="7"/>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G99" i="1"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R87" i="7" s="1"/>
  <c r="T87" i="7" s="1"/>
  <c r="P95" i="7"/>
  <c r="P103" i="7"/>
  <c r="P111" i="7"/>
  <c r="P119" i="7"/>
  <c r="P127" i="7"/>
  <c r="P135" i="7"/>
  <c r="P20" i="7"/>
  <c r="P100" i="7"/>
  <c r="P16" i="7"/>
  <c r="P24" i="7"/>
  <c r="P32" i="7"/>
  <c r="P40" i="7"/>
  <c r="P48" i="7"/>
  <c r="P56" i="7"/>
  <c r="P64" i="7"/>
  <c r="P72" i="7"/>
  <c r="P80" i="7"/>
  <c r="P88" i="7"/>
  <c r="P96" i="7"/>
  <c r="P104" i="7"/>
  <c r="P112" i="7"/>
  <c r="P120" i="7"/>
  <c r="P128" i="7"/>
  <c r="P136" i="7"/>
  <c r="P137" i="7"/>
  <c r="P68" i="7"/>
  <c r="P124" i="7"/>
  <c r="P17" i="7"/>
  <c r="P25" i="7"/>
  <c r="P33" i="7"/>
  <c r="P41" i="7"/>
  <c r="P49" i="7"/>
  <c r="P57" i="7"/>
  <c r="P65" i="7"/>
  <c r="P73" i="7"/>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25" i="7" l="1"/>
  <c r="T25" i="7" s="1"/>
  <c r="R73" i="7"/>
  <c r="T73" i="7" s="1"/>
  <c r="R111" i="7"/>
  <c r="T111" i="7" s="1"/>
  <c r="W111" i="7" s="1"/>
  <c r="R106" i="7"/>
  <c r="T106" i="7" s="1"/>
  <c r="W106" i="7" s="1"/>
  <c r="R100" i="7"/>
  <c r="T100" i="7" s="1"/>
  <c r="W100" i="7" s="1"/>
  <c r="R23" i="7"/>
  <c r="T23" i="7" s="1"/>
  <c r="W23" i="7" s="1"/>
  <c r="R96" i="7"/>
  <c r="T96" i="7" s="1"/>
  <c r="V96" i="7" s="1"/>
  <c r="R13" i="7"/>
  <c r="T13" i="7" s="1"/>
  <c r="V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45" i="7"/>
  <c r="BX78" i="7"/>
  <c r="BX86" i="7"/>
  <c r="BX94" i="7"/>
  <c r="BX102" i="7"/>
  <c r="BX110" i="7"/>
  <c r="BX118" i="7"/>
  <c r="BX126" i="7"/>
  <c r="BX134" i="7"/>
  <c r="BX47" i="7"/>
  <c r="BX63" i="7"/>
  <c r="BX80" i="7"/>
  <c r="BX96" i="7"/>
  <c r="BX104" i="7"/>
  <c r="BX120" i="7"/>
  <c r="BX136" i="7"/>
  <c r="BX14" i="7"/>
  <c r="BX22" i="7"/>
  <c r="BX30" i="7"/>
  <c r="BX38" i="7"/>
  <c r="BX46" i="7"/>
  <c r="BX54" i="7"/>
  <c r="BX62" i="7"/>
  <c r="BX71" i="7"/>
  <c r="BX87" i="7"/>
  <c r="BX95" i="7"/>
  <c r="BX103" i="7"/>
  <c r="BX111" i="7"/>
  <c r="BX119" i="7"/>
  <c r="BX127" i="7"/>
  <c r="BX135" i="7"/>
  <c r="BX23" i="7"/>
  <c r="BX39" i="7"/>
  <c r="BX55" i="7"/>
  <c r="BX88" i="7"/>
  <c r="BX112" i="7"/>
  <c r="BX128" i="7"/>
  <c r="BX15" i="7"/>
  <c r="BX16" i="7"/>
  <c r="BX24" i="7"/>
  <c r="BX32" i="7"/>
  <c r="BX40" i="7"/>
  <c r="BX48" i="7"/>
  <c r="BX73" i="7"/>
  <c r="BX81" i="7"/>
  <c r="BX89" i="7"/>
  <c r="BX97" i="7"/>
  <c r="BX105" i="7"/>
  <c r="BX113" i="7"/>
  <c r="BX121" i="7"/>
  <c r="BX129" i="7"/>
  <c r="BX137" i="7"/>
  <c r="BX34" i="7"/>
  <c r="BX42" i="7"/>
  <c r="BX50" i="7"/>
  <c r="BX75" i="7"/>
  <c r="BX91" i="7"/>
  <c r="BX107" i="7"/>
  <c r="BX131" i="7"/>
  <c r="BX17" i="7"/>
  <c r="BX25" i="7"/>
  <c r="BX33" i="7"/>
  <c r="BX41" i="7"/>
  <c r="BX57" i="7"/>
  <c r="BX65" i="7"/>
  <c r="BX74" i="7"/>
  <c r="BX82" i="7"/>
  <c r="BX90" i="7"/>
  <c r="BX98" i="7"/>
  <c r="BX106" i="7"/>
  <c r="BX114" i="7"/>
  <c r="BX122" i="7"/>
  <c r="BX130" i="7"/>
  <c r="BX138" i="7"/>
  <c r="BX26" i="7"/>
  <c r="BX83" i="7"/>
  <c r="BX99" i="7"/>
  <c r="BX115" i="7"/>
  <c r="BX123" i="7"/>
  <c r="BX12" i="7"/>
  <c r="BX18" i="7"/>
  <c r="BX19" i="7"/>
  <c r="BX27" i="7"/>
  <c r="BX35" i="7"/>
  <c r="BX43" i="7"/>
  <c r="BX51" i="7"/>
  <c r="BX59" i="7"/>
  <c r="BX76" i="7"/>
  <c r="BX84" i="7"/>
  <c r="BX92" i="7"/>
  <c r="BX100" i="7"/>
  <c r="BX108" i="7"/>
  <c r="BX116" i="7"/>
  <c r="BX124" i="7"/>
  <c r="BX132" i="7"/>
  <c r="BX20" i="7"/>
  <c r="BX28" i="7"/>
  <c r="BX36" i="7"/>
  <c r="BX44"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V32" i="7"/>
  <c r="W13" i="7"/>
  <c r="W96" i="7"/>
  <c r="V106" i="7"/>
  <c r="W87" i="7"/>
  <c r="V87" i="7"/>
  <c r="W91" i="7"/>
  <c r="V73" i="7"/>
  <c r="W73" i="7"/>
  <c r="R122" i="7"/>
  <c r="T122" i="7" s="1"/>
  <c r="V25" i="7"/>
  <c r="W25" i="7"/>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V111" i="7" l="1"/>
  <c r="V75" i="7"/>
  <c r="V23" i="7"/>
  <c r="V64" i="7"/>
  <c r="V100"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75" i="7"/>
  <c r="AQ83" i="7"/>
  <c r="AQ91" i="7"/>
  <c r="AQ99" i="7"/>
  <c r="AQ107" i="7"/>
  <c r="AQ115" i="7"/>
  <c r="AQ123" i="7"/>
  <c r="AQ131" i="7"/>
  <c r="AQ20" i="7"/>
  <c r="AQ36" i="7"/>
  <c r="AQ44" i="7"/>
  <c r="AQ92" i="7"/>
  <c r="AQ100" i="7"/>
  <c r="AQ108" i="7"/>
  <c r="AQ116" i="7"/>
  <c r="AQ124" i="7"/>
  <c r="AQ132" i="7"/>
  <c r="AQ89" i="7"/>
  <c r="AQ18" i="7"/>
  <c r="AQ42" i="7"/>
  <c r="AQ98" i="7"/>
  <c r="AQ114" i="7"/>
  <c r="AQ12" i="7"/>
  <c r="AQ13" i="7"/>
  <c r="AQ21" i="7"/>
  <c r="AQ29" i="7"/>
  <c r="AQ37" i="7"/>
  <c r="AQ45" i="7"/>
  <c r="AQ53" i="7"/>
  <c r="AQ93" i="7"/>
  <c r="AQ101" i="7"/>
  <c r="AQ109" i="7"/>
  <c r="AQ117" i="7"/>
  <c r="AQ125" i="7"/>
  <c r="AQ133" i="7"/>
  <c r="AQ15" i="7"/>
  <c r="AQ55" i="7"/>
  <c r="AQ71" i="7"/>
  <c r="AQ103" i="7"/>
  <c r="AQ119" i="7"/>
  <c r="AQ135" i="7"/>
  <c r="AQ24" i="7"/>
  <c r="AQ56" i="7"/>
  <c r="AQ88" i="7"/>
  <c r="AQ96" i="7"/>
  <c r="AQ112" i="7"/>
  <c r="AQ128" i="7"/>
  <c r="AQ25" i="7"/>
  <c r="AQ105" i="7"/>
  <c r="AQ121" i="7"/>
  <c r="AQ137" i="7"/>
  <c r="AQ34" i="7"/>
  <c r="AQ90" i="7"/>
  <c r="AQ130" i="7"/>
  <c r="AQ14" i="7"/>
  <c r="AQ22" i="7"/>
  <c r="AQ38" i="7"/>
  <c r="AQ46" i="7"/>
  <c r="AQ78" i="7"/>
  <c r="AQ94" i="7"/>
  <c r="AQ110" i="7"/>
  <c r="AQ118" i="7"/>
  <c r="AQ126" i="7"/>
  <c r="AQ134" i="7"/>
  <c r="AQ23" i="7"/>
  <c r="AQ31" i="7"/>
  <c r="AQ39" i="7"/>
  <c r="AQ47" i="7"/>
  <c r="AQ79" i="7"/>
  <c r="AQ95" i="7"/>
  <c r="AQ111" i="7"/>
  <c r="AQ127" i="7"/>
  <c r="AQ16" i="7"/>
  <c r="AQ32" i="7"/>
  <c r="AQ40" i="7"/>
  <c r="AQ64" i="7"/>
  <c r="AQ104" i="7"/>
  <c r="AQ136" i="7"/>
  <c r="AQ17" i="7"/>
  <c r="AQ33" i="7"/>
  <c r="AQ41" i="7"/>
  <c r="AQ49" i="7"/>
  <c r="AQ57" i="7"/>
  <c r="AQ73" i="7"/>
  <c r="AQ97" i="7"/>
  <c r="AQ113" i="7"/>
  <c r="AQ129" i="7"/>
  <c r="AQ26"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C17" i="2"/>
  <c r="F17" i="2" s="1"/>
  <c r="C16" i="2"/>
  <c r="C15" i="2"/>
  <c r="F15" i="2" s="1"/>
  <c r="C14" i="2"/>
  <c r="F14" i="2" s="1"/>
  <c r="C13" i="2"/>
  <c r="F13" i="2" s="1"/>
  <c r="C209" i="2" l="1"/>
  <c r="F209" i="2" s="1"/>
  <c r="G146" i="1" s="1"/>
  <c r="C221" i="2"/>
  <c r="F221" i="2" s="1"/>
  <c r="G36" i="1" s="1"/>
  <c r="C152" i="2"/>
  <c r="F152" i="2" s="1"/>
  <c r="G105" i="1" s="1"/>
  <c r="C234" i="2"/>
  <c r="G152" i="1" s="1"/>
  <c r="C231" i="2"/>
  <c r="C228" i="2"/>
  <c r="D12" i="7"/>
  <c r="D19"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C22" i="2"/>
  <c r="F22" i="2" s="1"/>
  <c r="F16" i="2"/>
  <c r="A272" i="4"/>
  <c r="A368" i="4" s="1"/>
  <c r="A464" i="4" s="1"/>
  <c r="A560" i="4" s="1"/>
  <c r="A656" i="4" s="1"/>
  <c r="A752" i="4" s="1"/>
  <c r="A248" i="4"/>
  <c r="A344" i="4" s="1"/>
  <c r="A440" i="4" s="1"/>
  <c r="A536" i="4" s="1"/>
  <c r="A632" i="4" s="1"/>
  <c r="A728"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280" i="4" s="1"/>
  <c r="A376" i="4" s="1"/>
  <c r="A472" i="4" s="1"/>
  <c r="A568" i="4" s="1"/>
  <c r="A664" i="4" s="1"/>
  <c r="A760" i="4" s="1"/>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264" i="4" s="1"/>
  <c r="A360" i="4" s="1"/>
  <c r="A456" i="4" s="1"/>
  <c r="A552" i="4" s="1"/>
  <c r="A648" i="4" s="1"/>
  <c r="A744" i="4" s="1"/>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240" i="4" s="1"/>
  <c r="A336" i="4" s="1"/>
  <c r="A432" i="4" s="1"/>
  <c r="A528" i="4" s="1"/>
  <c r="A624" i="4" s="1"/>
  <c r="A720" i="4" s="1"/>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232" i="4" s="1"/>
  <c r="A328" i="4" s="1"/>
  <c r="A424" i="4" s="1"/>
  <c r="A520" i="4" s="1"/>
  <c r="A616" i="4" s="1"/>
  <c r="A712" i="4" s="1"/>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216" i="4" s="1"/>
  <c r="A312" i="4" s="1"/>
  <c r="A408" i="4" s="1"/>
  <c r="A504" i="4" s="1"/>
  <c r="A600" i="4" s="1"/>
  <c r="A696" i="4" s="1"/>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AS26" i="6" l="1"/>
  <c r="AS42" i="6"/>
  <c r="C214" i="2"/>
  <c r="F214" i="2" s="1"/>
  <c r="C54" i="2"/>
  <c r="F54" i="2" s="1"/>
  <c r="AJ7" i="6"/>
  <c r="AX98" i="6"/>
  <c r="AY98" i="6" s="1"/>
  <c r="BI98" i="6" s="1"/>
  <c r="D14" i="7"/>
  <c r="D13" i="7"/>
  <c r="D15" i="7" s="1"/>
  <c r="D16" i="7" s="1"/>
  <c r="D17" i="7" s="1"/>
  <c r="D18" i="7" s="1"/>
  <c r="G94"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Y87" i="6" s="1"/>
  <c r="BI87" i="6" s="1"/>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AT42" i="6" l="1"/>
  <c r="C63" i="2"/>
  <c r="F63" i="2" s="1"/>
  <c r="G31" i="1" s="1"/>
  <c r="C230" i="2"/>
  <c r="C232" i="2" s="1"/>
  <c r="G151" i="1" s="1"/>
  <c r="C227" i="2"/>
  <c r="C229" i="2" s="1"/>
  <c r="G150" i="1" s="1"/>
  <c r="BI112" i="6"/>
  <c r="G144" i="1"/>
  <c r="G145" i="1" s="1"/>
  <c r="AT43" i="6"/>
  <c r="C52" i="2"/>
  <c r="F52" i="2" s="1"/>
  <c r="G27" i="1" s="1"/>
  <c r="C119" i="2"/>
  <c r="F119" i="2" s="1"/>
  <c r="C89" i="2"/>
  <c r="F89" i="2" s="1"/>
  <c r="AT26" i="6"/>
  <c r="H94" i="7"/>
  <c r="H46" i="7"/>
  <c r="H64" i="7"/>
  <c r="G30" i="7"/>
  <c r="H112" i="7"/>
  <c r="H80" i="7"/>
  <c r="G32" i="7"/>
  <c r="H110" i="7"/>
  <c r="G14" i="7"/>
  <c r="H81" i="7"/>
  <c r="G49" i="7"/>
  <c r="D24" i="7"/>
  <c r="D20" i="7"/>
  <c r="H129" i="7"/>
  <c r="H111" i="7"/>
  <c r="G79" i="7"/>
  <c r="H126" i="7"/>
  <c r="G78" i="7"/>
  <c r="H62" i="7"/>
  <c r="H119" i="7"/>
  <c r="H55" i="7"/>
  <c r="H137" i="7"/>
  <c r="G38" i="7"/>
  <c r="H79" i="7"/>
  <c r="H89" i="7"/>
  <c r="H48" i="7"/>
  <c r="H127" i="7"/>
  <c r="H121" i="7"/>
  <c r="G110" i="7"/>
  <c r="H22" i="7"/>
  <c r="H32" i="7"/>
  <c r="H47" i="7"/>
  <c r="H14" i="7"/>
  <c r="H57" i="7"/>
  <c r="G93" i="7"/>
  <c r="H49" i="7"/>
  <c r="G127" i="7"/>
  <c r="H15" i="7"/>
  <c r="G109" i="7"/>
  <c r="G120" i="7"/>
  <c r="H88" i="7"/>
  <c r="G128" i="7"/>
  <c r="G111" i="7"/>
  <c r="G126" i="7"/>
  <c r="G71" i="7"/>
  <c r="G47" i="7"/>
  <c r="H24" i="7"/>
  <c r="G48" i="7"/>
  <c r="G112" i="7"/>
  <c r="G23" i="7"/>
  <c r="H41" i="7"/>
  <c r="G24" i="7"/>
  <c r="H16" i="7"/>
  <c r="G72" i="7"/>
  <c r="H136" i="7"/>
  <c r="G135" i="7"/>
  <c r="H103" i="7"/>
  <c r="H86" i="7"/>
  <c r="G28" i="7"/>
  <c r="H25" i="7"/>
  <c r="H97" i="7"/>
  <c r="G95" i="7"/>
  <c r="G54" i="7"/>
  <c r="H120" i="7"/>
  <c r="G119" i="7"/>
  <c r="H87" i="7"/>
  <c r="H54" i="7"/>
  <c r="H125" i="7"/>
  <c r="G136" i="7"/>
  <c r="H33" i="7"/>
  <c r="G55" i="7"/>
  <c r="G31" i="7"/>
  <c r="H104" i="7"/>
  <c r="G46" i="7"/>
  <c r="H71" i="7"/>
  <c r="H38" i="7"/>
  <c r="H84" i="7"/>
  <c r="H105" i="7"/>
  <c r="G104" i="7"/>
  <c r="G56" i="7"/>
  <c r="H95" i="7"/>
  <c r="H78" i="7"/>
  <c r="H72" i="7"/>
  <c r="H113" i="7"/>
  <c r="G118" i="7"/>
  <c r="G16" i="7"/>
  <c r="G88" i="7"/>
  <c r="G15" i="7"/>
  <c r="H63" i="7"/>
  <c r="H30" i="7"/>
  <c r="H56" i="7"/>
  <c r="H65" i="7"/>
  <c r="G86" i="7"/>
  <c r="G37" i="7"/>
  <c r="H73" i="7"/>
  <c r="G70" i="7"/>
  <c r="H96" i="7"/>
  <c r="H31" i="7"/>
  <c r="G125" i="7"/>
  <c r="H40" i="7"/>
  <c r="H17" i="7"/>
  <c r="G63" i="7"/>
  <c r="H133" i="7"/>
  <c r="G40" i="7"/>
  <c r="H109" i="7"/>
  <c r="G102" i="7"/>
  <c r="H70" i="7"/>
  <c r="G85" i="7"/>
  <c r="G61" i="7"/>
  <c r="G103" i="7"/>
  <c r="G96" i="7"/>
  <c r="H39" i="7"/>
  <c r="G22" i="7"/>
  <c r="G80" i="7"/>
  <c r="H93" i="7"/>
  <c r="G87" i="7"/>
  <c r="H128" i="7"/>
  <c r="H23" i="7"/>
  <c r="H134" i="7"/>
  <c r="G62" i="7"/>
  <c r="H77" i="7"/>
  <c r="D21" i="7"/>
  <c r="G64" i="7"/>
  <c r="H135" i="7"/>
  <c r="G134" i="7"/>
  <c r="H102" i="7"/>
  <c r="G39" i="7"/>
  <c r="G124" i="7"/>
  <c r="G92" i="7"/>
  <c r="G131" i="7"/>
  <c r="G12" i="7"/>
  <c r="H35" i="7"/>
  <c r="G133" i="7"/>
  <c r="G53" i="7"/>
  <c r="H61" i="7"/>
  <c r="H37" i="7"/>
  <c r="H118" i="7"/>
  <c r="G117" i="7"/>
  <c r="G29" i="7"/>
  <c r="H29" i="7"/>
  <c r="G100" i="7"/>
  <c r="G101" i="7"/>
  <c r="G77" i="7"/>
  <c r="H12" i="7"/>
  <c r="H132" i="7"/>
  <c r="H21" i="7"/>
  <c r="H124" i="7"/>
  <c r="G115" i="7"/>
  <c r="G130" i="7"/>
  <c r="G45" i="7"/>
  <c r="G132" i="7"/>
  <c r="H116" i="7"/>
  <c r="G59" i="7"/>
  <c r="H138" i="7"/>
  <c r="G108" i="7"/>
  <c r="G13" i="7"/>
  <c r="G116" i="7"/>
  <c r="H92" i="7"/>
  <c r="H20" i="7"/>
  <c r="H34" i="7"/>
  <c r="G76" i="7"/>
  <c r="H101" i="7"/>
  <c r="G52" i="7"/>
  <c r="H76" i="7"/>
  <c r="G91" i="7"/>
  <c r="G60" i="7"/>
  <c r="H85" i="7"/>
  <c r="G36" i="7"/>
  <c r="H68" i="7"/>
  <c r="G35" i="7"/>
  <c r="H45" i="7"/>
  <c r="G44" i="7"/>
  <c r="H53" i="7"/>
  <c r="G20" i="7"/>
  <c r="H60" i="7"/>
  <c r="H91" i="7"/>
  <c r="H67" i="7"/>
  <c r="H90" i="7"/>
  <c r="H27" i="7"/>
  <c r="G105" i="7"/>
  <c r="G27" i="7"/>
  <c r="G98" i="7"/>
  <c r="H131" i="7"/>
  <c r="G66" i="7"/>
  <c r="H99" i="7"/>
  <c r="G18" i="7"/>
  <c r="G90" i="7"/>
  <c r="G69" i="7"/>
  <c r="H74" i="7"/>
  <c r="G97" i="7"/>
  <c r="G99" i="7"/>
  <c r="G123" i="7"/>
  <c r="G19" i="7"/>
  <c r="H83" i="7"/>
  <c r="H19" i="7"/>
  <c r="G82" i="7"/>
  <c r="G21" i="7"/>
  <c r="H66" i="7"/>
  <c r="G65" i="7"/>
  <c r="G83" i="7"/>
  <c r="G107" i="7"/>
  <c r="H13" i="7"/>
  <c r="H75" i="7"/>
  <c r="G138" i="7"/>
  <c r="G74" i="7"/>
  <c r="H117" i="7"/>
  <c r="H42" i="7"/>
  <c r="G33" i="7"/>
  <c r="H52" i="7"/>
  <c r="G43" i="7"/>
  <c r="G75" i="7"/>
  <c r="H123" i="7"/>
  <c r="H59" i="7"/>
  <c r="G122" i="7"/>
  <c r="G58" i="7"/>
  <c r="H130" i="7"/>
  <c r="H26" i="7"/>
  <c r="G84" i="7"/>
  <c r="H108" i="7"/>
  <c r="H44" i="7"/>
  <c r="G67" i="7"/>
  <c r="H115" i="7"/>
  <c r="H51" i="7"/>
  <c r="G114" i="7"/>
  <c r="G50" i="7"/>
  <c r="H106" i="7"/>
  <c r="G137" i="7"/>
  <c r="H69" i="7"/>
  <c r="G68" i="7"/>
  <c r="H100" i="7"/>
  <c r="H28" i="7"/>
  <c r="H36" i="7"/>
  <c r="G51" i="7"/>
  <c r="H107" i="7"/>
  <c r="H43" i="7"/>
  <c r="G106" i="7"/>
  <c r="G42" i="7"/>
  <c r="H98" i="7"/>
  <c r="G129" i="7"/>
  <c r="G41" i="7"/>
  <c r="G89" i="7"/>
  <c r="G25" i="7"/>
  <c r="H82" i="7"/>
  <c r="H18" i="7"/>
  <c r="G81" i="7"/>
  <c r="G17" i="7"/>
  <c r="G73" i="7"/>
  <c r="G34" i="7"/>
  <c r="H122" i="7"/>
  <c r="H58" i="7"/>
  <c r="G121" i="7"/>
  <c r="G57" i="7"/>
  <c r="G26" i="7"/>
  <c r="H114" i="7"/>
  <c r="H50" i="7"/>
  <c r="G113"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C105" i="2" l="1"/>
  <c r="F105" i="2" s="1"/>
  <c r="G66" i="1" s="1"/>
  <c r="C90" i="2"/>
  <c r="F90" i="2" s="1"/>
  <c r="G53" i="1" s="1"/>
  <c r="D22" i="7"/>
  <c r="J135" i="7" s="1"/>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H48" i="6"/>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AH53" i="6" l="1"/>
  <c r="AH63" i="6"/>
  <c r="AO13" i="6"/>
  <c r="J24" i="7"/>
  <c r="J101" i="7"/>
  <c r="AB101" i="7" s="1"/>
  <c r="I75" i="7"/>
  <c r="AA75" i="7" s="1"/>
  <c r="I84" i="7"/>
  <c r="AA84" i="7" s="1"/>
  <c r="J37" i="7"/>
  <c r="AB37" i="7" s="1"/>
  <c r="J72" i="7"/>
  <c r="J98" i="7"/>
  <c r="AB98" i="7" s="1"/>
  <c r="J15" i="7"/>
  <c r="J79" i="7"/>
  <c r="AB79" i="7" s="1"/>
  <c r="J97" i="7"/>
  <c r="J32" i="7"/>
  <c r="J13" i="7"/>
  <c r="AB13" i="7" s="1"/>
  <c r="J50" i="7"/>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AB31" i="7" s="1"/>
  <c r="I126" i="7"/>
  <c r="AA126" i="7" s="1"/>
  <c r="I65" i="7"/>
  <c r="AA65" i="7" s="1"/>
  <c r="J105" i="7"/>
  <c r="AB105" i="7" s="1"/>
  <c r="J104" i="7"/>
  <c r="AB104" i="7" s="1"/>
  <c r="I25" i="7"/>
  <c r="AA25" i="7" s="1"/>
  <c r="J70" i="7"/>
  <c r="AB70" i="7" s="1"/>
  <c r="J121" i="7"/>
  <c r="J20" i="7"/>
  <c r="AB20" i="7" s="1"/>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AB86" i="7" s="1"/>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AO32" i="7" s="1"/>
  <c r="I85" i="7"/>
  <c r="AA85" i="7" s="1"/>
  <c r="I83" i="7"/>
  <c r="AA83" i="7" s="1"/>
  <c r="J94" i="7"/>
  <c r="AB94" i="7" s="1"/>
  <c r="J41" i="7"/>
  <c r="AB41" i="7" s="1"/>
  <c r="I21" i="7"/>
  <c r="AA21" i="7" s="1"/>
  <c r="I91" i="7"/>
  <c r="AA91" i="7" s="1"/>
  <c r="J102" i="7"/>
  <c r="J49" i="7"/>
  <c r="AB49" i="7" s="1"/>
  <c r="I13" i="7"/>
  <c r="AA13" i="7" s="1"/>
  <c r="J107" i="7"/>
  <c r="AB107" i="7" s="1"/>
  <c r="J57" i="7"/>
  <c r="AB57" i="7" s="1"/>
  <c r="I107" i="7"/>
  <c r="AA107" i="7" s="1"/>
  <c r="I48" i="7"/>
  <c r="AA48" i="7" s="1"/>
  <c r="J68" i="7"/>
  <c r="I49" i="7"/>
  <c r="AA49" i="7" s="1"/>
  <c r="J44" i="7"/>
  <c r="AB44" i="7" s="1"/>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AB92" i="7" s="1"/>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I113" i="7"/>
  <c r="AA113" i="7" s="1"/>
  <c r="I51" i="7"/>
  <c r="AA51" i="7" s="1"/>
  <c r="J119" i="7"/>
  <c r="AB119" i="7" s="1"/>
  <c r="J45" i="7"/>
  <c r="AB45" i="7" s="1"/>
  <c r="I62" i="7"/>
  <c r="AA62" i="7" s="1"/>
  <c r="I115" i="7"/>
  <c r="AA115" i="7" s="1"/>
  <c r="I56" i="7"/>
  <c r="AA56" i="7" s="1"/>
  <c r="J60" i="7"/>
  <c r="J30" i="7"/>
  <c r="AB30" i="7" s="1"/>
  <c r="J14" i="7"/>
  <c r="AB14" i="7" s="1"/>
  <c r="J127" i="7"/>
  <c r="AB127" i="7" s="1"/>
  <c r="AN14" i="6"/>
  <c r="J130" i="7"/>
  <c r="AB130" i="7" s="1"/>
  <c r="I39" i="7"/>
  <c r="AA39" i="7" s="1"/>
  <c r="J81" i="7"/>
  <c r="AO81" i="7" s="1"/>
  <c r="J96" i="7"/>
  <c r="J123" i="7"/>
  <c r="AB123" i="7" s="1"/>
  <c r="J110" i="7"/>
  <c r="AB110" i="7" s="1"/>
  <c r="J56" i="7"/>
  <c r="J53" i="7"/>
  <c r="AB53" i="7" s="1"/>
  <c r="J131" i="7"/>
  <c r="AB131" i="7" s="1"/>
  <c r="J126" i="7"/>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I124" i="7"/>
  <c r="AA124" i="7" s="1"/>
  <c r="J55" i="7"/>
  <c r="AB55" i="7" s="1"/>
  <c r="I137" i="7"/>
  <c r="AA137" i="7" s="1"/>
  <c r="J29" i="7"/>
  <c r="AB29" i="7" s="1"/>
  <c r="I132" i="7"/>
  <c r="AA132" i="7" s="1"/>
  <c r="J63" i="7"/>
  <c r="J88" i="7"/>
  <c r="AB88" i="7" s="1"/>
  <c r="AN13" i="6"/>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B33" i="7"/>
  <c r="BD33" i="7" s="1"/>
  <c r="BH33" i="7" s="1"/>
  <c r="BB37" i="7"/>
  <c r="BD37" i="7" s="1"/>
  <c r="BH37" i="7" s="1"/>
  <c r="BB41" i="7"/>
  <c r="BD41" i="7" s="1"/>
  <c r="BH41" i="7" s="1"/>
  <c r="BB45" i="7"/>
  <c r="BD45" i="7" s="1"/>
  <c r="BH45" i="7" s="1"/>
  <c r="BB49" i="7"/>
  <c r="BD49" i="7" s="1"/>
  <c r="BH49" i="7" s="1"/>
  <c r="BB53" i="7"/>
  <c r="BD53" i="7" s="1"/>
  <c r="BH53" i="7" s="1"/>
  <c r="BB57" i="7"/>
  <c r="BD57" i="7" s="1"/>
  <c r="BH57"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B35" i="7"/>
  <c r="BD35" i="7" s="1"/>
  <c r="BH35" i="7" s="1"/>
  <c r="BB39" i="7"/>
  <c r="BD39" i="7" s="1"/>
  <c r="BH39" i="7" s="1"/>
  <c r="BB43" i="7"/>
  <c r="BD43" i="7" s="1"/>
  <c r="BH43" i="7" s="1"/>
  <c r="BB47" i="7"/>
  <c r="BD47" i="7" s="1"/>
  <c r="BH47" i="7" s="1"/>
  <c r="BB51" i="7"/>
  <c r="BD51" i="7" s="1"/>
  <c r="BH51" i="7" s="1"/>
  <c r="BB55" i="7"/>
  <c r="BD55" i="7" s="1"/>
  <c r="BH55" i="7" s="1"/>
  <c r="BB59" i="7"/>
  <c r="BD59" i="7" s="1"/>
  <c r="BH59" i="7" s="1"/>
  <c r="BB63" i="7"/>
  <c r="BD63" i="7" s="1"/>
  <c r="BH63"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X79"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L95"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I128" i="7"/>
  <c r="AA128" i="7" s="1"/>
  <c r="I29" i="7"/>
  <c r="AA29" i="7" s="1"/>
  <c r="J66" i="7"/>
  <c r="AO65" i="7" s="1"/>
  <c r="J128" i="7"/>
  <c r="J80" i="7"/>
  <c r="AB80" i="7" s="1"/>
  <c r="I110" i="7"/>
  <c r="AA110" i="7" s="1"/>
  <c r="I12" i="7"/>
  <c r="AA12" i="7" s="1"/>
  <c r="J71" i="7"/>
  <c r="BB12" i="7"/>
  <c r="BD12" i="7" s="1"/>
  <c r="BH12" i="7" s="1"/>
  <c r="I57" i="7"/>
  <c r="AA57" i="7" s="1"/>
  <c r="I81" i="7"/>
  <c r="AA81" i="7" s="1"/>
  <c r="BC12" i="7"/>
  <c r="BE12" i="7" s="1"/>
  <c r="BI12" i="7" s="1"/>
  <c r="AB33" i="7"/>
  <c r="AB97" i="7"/>
  <c r="AB121" i="7"/>
  <c r="AB135" i="7"/>
  <c r="AB72" i="7"/>
  <c r="AB24" i="7"/>
  <c r="AB32"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BX64" i="7" l="1"/>
  <c r="BX56" i="7"/>
  <c r="BX52" i="7"/>
  <c r="AO101" i="7"/>
  <c r="AO13" i="7"/>
  <c r="AO31" i="7"/>
  <c r="BR31" i="7" s="1"/>
  <c r="BX58" i="7"/>
  <c r="AP13" i="6"/>
  <c r="AU13" i="6" s="1"/>
  <c r="BG13" i="6" s="1"/>
  <c r="AO15" i="7"/>
  <c r="AB15" i="7"/>
  <c r="AN15" i="7" s="1"/>
  <c r="AO97" i="7"/>
  <c r="AO89" i="7"/>
  <c r="AO125" i="7"/>
  <c r="AO132" i="7"/>
  <c r="AO26" i="7"/>
  <c r="AO67" i="7"/>
  <c r="BL73" i="7"/>
  <c r="BL33" i="7"/>
  <c r="AO49" i="7"/>
  <c r="AO14" i="7"/>
  <c r="AB50" i="7"/>
  <c r="AM50" i="7" s="1"/>
  <c r="AJ61" i="6"/>
  <c r="BF61" i="6" s="1"/>
  <c r="AO75" i="7"/>
  <c r="AO35" i="7"/>
  <c r="AB36" i="7"/>
  <c r="AM35" i="7" s="1"/>
  <c r="AB102" i="7"/>
  <c r="AM101" i="7" s="1"/>
  <c r="AB26" i="7"/>
  <c r="AN26" i="7" s="1"/>
  <c r="AJ65" i="6"/>
  <c r="BF65" i="6" s="1"/>
  <c r="AO23" i="7"/>
  <c r="AO109" i="7"/>
  <c r="AO43" i="7"/>
  <c r="AO99" i="7"/>
  <c r="AO118" i="7"/>
  <c r="AO36" i="7"/>
  <c r="AO42" i="7"/>
  <c r="AO112" i="7"/>
  <c r="AO34" i="7"/>
  <c r="AO30" i="7"/>
  <c r="AO78" i="7"/>
  <c r="AO25" i="7"/>
  <c r="AJ40" i="6"/>
  <c r="BF40" i="6" s="1"/>
  <c r="AO50" i="7"/>
  <c r="AO117" i="7"/>
  <c r="BR117" i="7" s="1"/>
  <c r="AO105" i="7"/>
  <c r="AO98" i="7"/>
  <c r="AO95" i="7"/>
  <c r="AO90" i="7"/>
  <c r="AO104" i="7"/>
  <c r="AO69" i="7"/>
  <c r="AO70" i="7"/>
  <c r="BX69" i="7"/>
  <c r="AO37" i="7"/>
  <c r="BX61" i="7"/>
  <c r="AB100" i="7"/>
  <c r="AM100" i="7" s="1"/>
  <c r="AO94" i="7"/>
  <c r="AO29" i="7"/>
  <c r="AO93" i="7"/>
  <c r="AO22" i="7"/>
  <c r="AO17" i="7"/>
  <c r="AB133" i="7"/>
  <c r="AM132" i="7" s="1"/>
  <c r="AO12" i="7"/>
  <c r="AO100" i="7"/>
  <c r="AO85" i="7"/>
  <c r="AO131" i="7"/>
  <c r="AB85" i="7"/>
  <c r="AM85" i="7" s="1"/>
  <c r="AO103" i="7"/>
  <c r="AO56" i="7"/>
  <c r="AO57" i="7"/>
  <c r="AO41" i="7"/>
  <c r="AB126" i="7"/>
  <c r="AM126" i="7" s="1"/>
  <c r="AO102" i="7"/>
  <c r="AO130" i="7"/>
  <c r="AO16" i="7"/>
  <c r="AO84" i="7"/>
  <c r="AO122" i="7"/>
  <c r="AB91" i="7"/>
  <c r="AM91" i="7" s="1"/>
  <c r="AO86" i="7"/>
  <c r="AO82" i="7"/>
  <c r="BR81" i="7" s="1"/>
  <c r="AO68" i="7"/>
  <c r="AO64" i="7"/>
  <c r="BR64" i="7" s="1"/>
  <c r="AO121" i="7"/>
  <c r="AO123" i="7"/>
  <c r="AO91" i="7"/>
  <c r="AO83" i="7"/>
  <c r="AO92" i="7"/>
  <c r="AB84" i="7"/>
  <c r="AO46" i="7"/>
  <c r="AO119" i="7"/>
  <c r="BR118" i="7" s="1"/>
  <c r="AO137" i="7"/>
  <c r="AO33" i="7"/>
  <c r="AO138" i="7"/>
  <c r="BR138" i="7" s="1"/>
  <c r="AB34" i="7"/>
  <c r="AN34" i="7" s="1"/>
  <c r="AB96" i="7"/>
  <c r="AB68" i="7"/>
  <c r="AM68" i="7" s="1"/>
  <c r="AO133" i="7"/>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AO18" i="7"/>
  <c r="AO24" i="7"/>
  <c r="AO62" i="7"/>
  <c r="AB137" i="7"/>
  <c r="AM137" i="7" s="1"/>
  <c r="AB47" i="7"/>
  <c r="AM47" i="7" s="1"/>
  <c r="AO47" i="7"/>
  <c r="AB81" i="7"/>
  <c r="AM81" i="7" s="1"/>
  <c r="AB63" i="7"/>
  <c r="AM62" i="7" s="1"/>
  <c r="AO72" i="7"/>
  <c r="AO114" i="7"/>
  <c r="AO113" i="7"/>
  <c r="AO126" i="7"/>
  <c r="AO58" i="7"/>
  <c r="AB124" i="7"/>
  <c r="AN123" i="7" s="1"/>
  <c r="AB67" i="7"/>
  <c r="AO59" i="7"/>
  <c r="AO96" i="7"/>
  <c r="AO63" i="7"/>
  <c r="AO124" i="7"/>
  <c r="AB25" i="7"/>
  <c r="AO52" i="7"/>
  <c r="AB60" i="7"/>
  <c r="AM59" i="7" s="1"/>
  <c r="AO87" i="7"/>
  <c r="AO51" i="7"/>
  <c r="AO136" i="7"/>
  <c r="AO135" i="7"/>
  <c r="AP12" i="6"/>
  <c r="AU12" i="6" s="1"/>
  <c r="BG12" i="6" s="1"/>
  <c r="AO28" i="7"/>
  <c r="AO120" i="7"/>
  <c r="AO48" i="7"/>
  <c r="AB120" i="7"/>
  <c r="AM119" i="7" s="1"/>
  <c r="AO21" i="7"/>
  <c r="AO39" i="7"/>
  <c r="AO55" i="7"/>
  <c r="AO54" i="7"/>
  <c r="AO38" i="7"/>
  <c r="AB56" i="7"/>
  <c r="AM55" i="7" s="1"/>
  <c r="AJ64" i="6"/>
  <c r="BF64" i="6" s="1"/>
  <c r="AJ52" i="6"/>
  <c r="BF52" i="6" s="1"/>
  <c r="AP21" i="6"/>
  <c r="AU21" i="6" s="1"/>
  <c r="BG21" i="6" s="1"/>
  <c r="AO27" i="7"/>
  <c r="AB28" i="7"/>
  <c r="AN27" i="7" s="1"/>
  <c r="AO20" i="7"/>
  <c r="BX68" i="7"/>
  <c r="AB89" i="7"/>
  <c r="AM88" i="7" s="1"/>
  <c r="AO88" i="7"/>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L109" i="7"/>
  <c r="BL126" i="7"/>
  <c r="BL94" i="7"/>
  <c r="BL62" i="7"/>
  <c r="BL30" i="7"/>
  <c r="BL35" i="7"/>
  <c r="BL124" i="7"/>
  <c r="BL107" i="7"/>
  <c r="AB71" i="7"/>
  <c r="AO71" i="7"/>
  <c r="AO66" i="7"/>
  <c r="AB75" i="7"/>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18" i="7"/>
  <c r="AN118" i="7"/>
  <c r="AM30" i="7"/>
  <c r="AN30" i="7"/>
  <c r="AM134" i="7"/>
  <c r="AN134" i="7"/>
  <c r="AM53" i="7"/>
  <c r="AM42" i="7"/>
  <c r="AN42" i="7"/>
  <c r="AM113" i="7"/>
  <c r="AN113" i="7"/>
  <c r="AM48" i="7"/>
  <c r="AN48" i="7"/>
  <c r="AM31" i="7"/>
  <c r="AN31" i="7"/>
  <c r="AM72" i="7"/>
  <c r="AM32" i="7"/>
  <c r="AN32" i="7"/>
  <c r="AM39" i="7"/>
  <c r="AN39" i="7"/>
  <c r="AN116" i="7"/>
  <c r="AM116" i="7"/>
  <c r="AM41" i="7"/>
  <c r="AN41" i="7"/>
  <c r="AN20" i="7"/>
  <c r="AM20" i="7"/>
  <c r="AN21" i="7"/>
  <c r="AM21" i="7"/>
  <c r="AN109" i="7"/>
  <c r="AM109" i="7"/>
  <c r="AM114" i="7"/>
  <c r="AN114" i="7"/>
  <c r="AM98" i="7"/>
  <c r="AN98" i="7"/>
  <c r="AM37" i="7"/>
  <c r="AN37" i="7"/>
  <c r="AM112" i="7"/>
  <c r="AN112" i="7"/>
  <c r="AM12" i="7"/>
  <c r="AN12" i="7"/>
  <c r="AN43" i="7"/>
  <c r="AM43" i="7"/>
  <c r="AM17" i="7"/>
  <c r="AN17" i="7"/>
  <c r="AN93" i="7"/>
  <c r="AM93" i="7"/>
  <c r="AM103" i="7"/>
  <c r="AM86" i="7"/>
  <c r="AM78" i="7"/>
  <c r="AM64" i="7"/>
  <c r="AN64" i="7"/>
  <c r="AN117" i="7"/>
  <c r="AM117" i="7"/>
  <c r="AM77" i="7"/>
  <c r="AN18" i="7"/>
  <c r="AM18" i="7"/>
  <c r="AM111" i="7"/>
  <c r="AN111" i="7"/>
  <c r="AN92" i="7"/>
  <c r="AM92" i="7"/>
  <c r="AN44" i="7"/>
  <c r="AM44" i="7"/>
  <c r="AM54" i="7"/>
  <c r="AM38" i="7"/>
  <c r="AN38" i="7"/>
  <c r="AM22" i="7"/>
  <c r="AN22" i="7"/>
  <c r="AM79" i="7"/>
  <c r="AM115" i="7"/>
  <c r="AN115" i="7"/>
  <c r="AM130" i="7"/>
  <c r="AN130" i="7"/>
  <c r="AM122" i="7"/>
  <c r="AN122" i="7"/>
  <c r="AM69" i="7"/>
  <c r="AM82" i="7"/>
  <c r="AN82" i="7"/>
  <c r="AN13" i="7"/>
  <c r="AM13" i="7"/>
  <c r="AM58" i="7"/>
  <c r="AN19" i="7"/>
  <c r="AM19" i="7"/>
  <c r="AM94" i="7"/>
  <c r="AM23" i="7"/>
  <c r="AN23" i="7"/>
  <c r="AM40" i="7"/>
  <c r="AN40" i="7"/>
  <c r="AM121" i="7"/>
  <c r="AN121" i="7"/>
  <c r="AM16" i="7"/>
  <c r="AN16" i="7"/>
  <c r="AM57" i="7"/>
  <c r="AM110" i="7"/>
  <c r="AN110" i="7"/>
  <c r="AM87" i="7"/>
  <c r="AM135" i="7"/>
  <c r="AN135" i="7"/>
  <c r="AM105" i="7"/>
  <c r="AN105" i="7"/>
  <c r="AM51" i="7"/>
  <c r="AM52" i="7"/>
  <c r="AM106" i="7"/>
  <c r="AN106" i="7"/>
  <c r="AN45" i="7"/>
  <c r="AM45" i="7"/>
  <c r="AM97" i="7"/>
  <c r="AN97" i="7"/>
  <c r="AM131" i="7"/>
  <c r="AN131" i="7"/>
  <c r="AM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AJ24" i="6"/>
  <c r="BF24" i="6" s="1"/>
  <c r="AJ22" i="6"/>
  <c r="AJ42" i="6"/>
  <c r="AJ51" i="6"/>
  <c r="AJ23" i="6"/>
  <c r="BF23" i="6" s="1"/>
  <c r="AJ28" i="6"/>
  <c r="BF28" i="6" s="1"/>
  <c r="AJ36" i="6"/>
  <c r="BF36" i="6" s="1"/>
  <c r="AJ33" i="6"/>
  <c r="BF33" i="6" s="1"/>
  <c r="AJ20" i="6"/>
  <c r="BF20" i="6" s="1"/>
  <c r="AJ54" i="6"/>
  <c r="BF54" i="6" s="1"/>
  <c r="AJ18"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23" i="7" l="1"/>
  <c r="BR13" i="7"/>
  <c r="AM14" i="7"/>
  <c r="AM15" i="7"/>
  <c r="BR101" i="7"/>
  <c r="BR100" i="7"/>
  <c r="BR66" i="7"/>
  <c r="BR14" i="7"/>
  <c r="BR35" i="7"/>
  <c r="BR12" i="7"/>
  <c r="BR131" i="7"/>
  <c r="AM25" i="7"/>
  <c r="AN35" i="7"/>
  <c r="AN132" i="7"/>
  <c r="BR25" i="7"/>
  <c r="BR15" i="7"/>
  <c r="BE13" i="6"/>
  <c r="AN14" i="7"/>
  <c r="AN36" i="7"/>
  <c r="BR89" i="7"/>
  <c r="BR132" i="7"/>
  <c r="AM36" i="7"/>
  <c r="BR125" i="7"/>
  <c r="AM26" i="7"/>
  <c r="BR88" i="7"/>
  <c r="BR124" i="7"/>
  <c r="AM49" i="7"/>
  <c r="AM102" i="7"/>
  <c r="AN101" i="7"/>
  <c r="BR26" i="7"/>
  <c r="BR29" i="7"/>
  <c r="BR67" i="7"/>
  <c r="BR48" i="7"/>
  <c r="BR49" i="7"/>
  <c r="BR95" i="7"/>
  <c r="BR22" i="7"/>
  <c r="BR30" i="7"/>
  <c r="BR75" i="7"/>
  <c r="BR34" i="7"/>
  <c r="BR74" i="7"/>
  <c r="BR116" i="7"/>
  <c r="BR42" i="7"/>
  <c r="BR78" i="7"/>
  <c r="BR109" i="7"/>
  <c r="BR77" i="7"/>
  <c r="BR50" i="7"/>
  <c r="AH70" i="6"/>
  <c r="BR36" i="7"/>
  <c r="BR104"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BR83" i="7"/>
  <c r="AM84" i="7"/>
  <c r="AM125" i="7"/>
  <c r="BR102" i="7"/>
  <c r="BR45" i="7"/>
  <c r="AM95" i="7"/>
  <c r="BR86" i="7"/>
  <c r="BR40" i="7"/>
  <c r="AN63" i="7"/>
  <c r="BR57" i="7"/>
  <c r="AM96" i="7"/>
  <c r="AM63" i="7"/>
  <c r="AM83" i="7"/>
  <c r="BR82" i="7"/>
  <c r="AN126" i="7"/>
  <c r="BR122" i="7"/>
  <c r="BR114" i="7"/>
  <c r="BR60" i="7"/>
  <c r="BR62" i="7"/>
  <c r="AN137" i="7"/>
  <c r="BR126" i="7"/>
  <c r="AN136" i="7"/>
  <c r="AM136" i="7"/>
  <c r="BR16" i="7"/>
  <c r="AN46" i="7"/>
  <c r="BR32" i="7"/>
  <c r="AM123" i="7"/>
  <c r="BR123" i="7"/>
  <c r="BR137" i="7"/>
  <c r="BR91" i="7"/>
  <c r="AM67" i="7"/>
  <c r="BR61" i="7"/>
  <c r="BR46" i="7"/>
  <c r="BR44" i="7"/>
  <c r="BR53" i="7"/>
  <c r="BR113" i="7"/>
  <c r="BR134" i="7"/>
  <c r="AM80" i="7"/>
  <c r="AM124" i="7"/>
  <c r="AM60" i="7"/>
  <c r="BR107" i="7"/>
  <c r="BR115" i="7"/>
  <c r="BR119" i="7"/>
  <c r="AN124" i="7"/>
  <c r="AM33" i="7"/>
  <c r="BR128" i="7"/>
  <c r="AN120" i="7"/>
  <c r="AM34" i="7"/>
  <c r="AM128" i="7"/>
  <c r="BR133" i="7"/>
  <c r="AM120" i="7"/>
  <c r="AN119" i="7"/>
  <c r="BR39" i="7"/>
  <c r="BR18" i="7"/>
  <c r="BR106" i="7"/>
  <c r="BR87" i="7"/>
  <c r="BR96" i="7"/>
  <c r="BR72" i="7"/>
  <c r="BR105" i="7"/>
  <c r="BR76" i="7"/>
  <c r="BR52" i="7"/>
  <c r="BR17" i="7"/>
  <c r="BR19" i="7"/>
  <c r="AM46" i="7"/>
  <c r="BR43" i="7"/>
  <c r="AN47" i="7"/>
  <c r="BR135" i="7"/>
  <c r="BR110" i="7"/>
  <c r="BR59" i="7"/>
  <c r="BR71" i="7"/>
  <c r="AN89" i="7"/>
  <c r="AN24" i="7"/>
  <c r="BR120" i="7"/>
  <c r="AM24" i="7"/>
  <c r="AM56" i="7"/>
  <c r="AN25" i="7"/>
  <c r="BR58" i="7"/>
  <c r="BR136" i="7"/>
  <c r="BR20" i="7"/>
  <c r="AM89" i="7"/>
  <c r="AN88" i="7"/>
  <c r="BN17" i="7"/>
  <c r="BR51" i="7"/>
  <c r="BR27" i="7"/>
  <c r="AM66" i="7"/>
  <c r="AM127" i="7"/>
  <c r="AM28" i="7"/>
  <c r="AN28" i="7"/>
  <c r="AM27" i="7"/>
  <c r="BR38" i="7"/>
  <c r="BR54" i="7"/>
  <c r="BN48" i="7"/>
  <c r="BR70" i="7"/>
  <c r="BX8"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AO8" i="7"/>
  <c r="G78" i="1" s="1"/>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P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Q8" i="7"/>
  <c r="BN78" i="7"/>
  <c r="BN90" i="7"/>
  <c r="BN86" i="7"/>
  <c r="BN93" i="7"/>
  <c r="BN58" i="7"/>
  <c r="BN60" i="7"/>
  <c r="BN128" i="7"/>
  <c r="BN47" i="7"/>
  <c r="BN45" i="7"/>
  <c r="BN18" i="7"/>
  <c r="BN20" i="7"/>
  <c r="BN88" i="7"/>
  <c r="BN41" i="7"/>
  <c r="BN98" i="7"/>
  <c r="BN70" i="7"/>
  <c r="BN81" i="7"/>
  <c r="BL8" i="7"/>
  <c r="BM7" i="7" s="1"/>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J70" i="6" l="1"/>
  <c r="AH71" i="6"/>
  <c r="AZ37" i="6"/>
  <c r="BB37" i="6" s="1"/>
  <c r="BC37" i="6" s="1"/>
  <c r="AH72" i="6"/>
  <c r="AM8" i="7"/>
  <c r="G77" i="1" s="1"/>
  <c r="BR8" i="7"/>
  <c r="BN8" i="7"/>
  <c r="BO7" i="7" s="1"/>
  <c r="BO14" i="7" s="1"/>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AJ72" i="6" l="1"/>
  <c r="BO124" i="7"/>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BM8" i="7"/>
  <c r="BM3" i="7" s="1"/>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O50" i="7"/>
  <c r="AD50" i="7" s="1"/>
  <c r="O129" i="7"/>
  <c r="AD129" i="7" s="1"/>
  <c r="N129" i="7"/>
  <c r="AC129" i="7" s="1"/>
  <c r="AE129" i="7" s="1"/>
  <c r="N65" i="7"/>
  <c r="AC65" i="7" s="1"/>
  <c r="AE65" i="7" s="1"/>
  <c r="O65" i="7"/>
  <c r="AD65" i="7" s="1"/>
  <c r="O28" i="7"/>
  <c r="AD28" i="7" s="1"/>
  <c r="N28" i="7"/>
  <c r="AC28" i="7" s="1"/>
  <c r="AE28" i="7" s="1"/>
  <c r="N80" i="7"/>
  <c r="AC80" i="7" s="1"/>
  <c r="AE80" i="7" s="1"/>
  <c r="AN79" i="7" s="1"/>
  <c r="O80" i="7"/>
  <c r="AD80" i="7" s="1"/>
  <c r="O16" i="7"/>
  <c r="AD16" i="7" s="1"/>
  <c r="N16" i="7"/>
  <c r="AC16" i="7" s="1"/>
  <c r="AE16" i="7" s="1"/>
  <c r="O95" i="7"/>
  <c r="AD95" i="7" s="1"/>
  <c r="N95" i="7"/>
  <c r="AC95" i="7" s="1"/>
  <c r="AE95" i="7" s="1"/>
  <c r="N31" i="7"/>
  <c r="AC31" i="7" s="1"/>
  <c r="AE31" i="7" s="1"/>
  <c r="AQ30"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O83" i="7"/>
  <c r="AD83" i="7" s="1"/>
  <c r="N83" i="7"/>
  <c r="AC83" i="7" s="1"/>
  <c r="AE83" i="7" s="1"/>
  <c r="O19" i="7"/>
  <c r="AD19" i="7" s="1"/>
  <c r="N19" i="7"/>
  <c r="AC19" i="7" s="1"/>
  <c r="AE19" i="7" s="1"/>
  <c r="N98" i="7"/>
  <c r="AC98" i="7" s="1"/>
  <c r="AE98" i="7" s="1"/>
  <c r="O98" i="7"/>
  <c r="AD98" i="7" s="1"/>
  <c r="N34" i="7"/>
  <c r="AC34" i="7" s="1"/>
  <c r="AE34" i="7" s="1"/>
  <c r="AN33"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N105" i="7"/>
  <c r="AC105" i="7" s="1"/>
  <c r="AE105"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AQ70"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O138" i="7"/>
  <c r="AD138" i="7" s="1"/>
  <c r="N138" i="7"/>
  <c r="AC138" i="7" s="1"/>
  <c r="AE138" i="7" s="1"/>
  <c r="N74" i="7"/>
  <c r="AC74" i="7" s="1"/>
  <c r="AE74"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AN91"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AN65" i="7" s="1"/>
  <c r="N68" i="7"/>
  <c r="AC68" i="7" s="1"/>
  <c r="AE68" i="7" s="1"/>
  <c r="O68" i="7"/>
  <c r="AD68" i="7" s="1"/>
  <c r="O81" i="7"/>
  <c r="AD81" i="7" s="1"/>
  <c r="N81" i="7"/>
  <c r="AC81" i="7" s="1"/>
  <c r="AE81" i="7" s="1"/>
  <c r="N17" i="7"/>
  <c r="AC17" i="7" s="1"/>
  <c r="AE17" i="7" s="1"/>
  <c r="O17" i="7"/>
  <c r="AD17" i="7" s="1"/>
  <c r="N96" i="7"/>
  <c r="AC96" i="7" s="1"/>
  <c r="AE96" i="7" s="1"/>
  <c r="AN95" i="7" s="1"/>
  <c r="O96" i="7"/>
  <c r="AD96" i="7" s="1"/>
  <c r="O32" i="7"/>
  <c r="AD32" i="7" s="1"/>
  <c r="N32" i="7"/>
  <c r="AC32" i="7" s="1"/>
  <c r="AE32" i="7" s="1"/>
  <c r="N111" i="7"/>
  <c r="AC111" i="7" s="1"/>
  <c r="AE111" i="7" s="1"/>
  <c r="O111" i="7"/>
  <c r="AD111" i="7" s="1"/>
  <c r="N47" i="7"/>
  <c r="AC47" i="7" s="1"/>
  <c r="AE47" i="7" s="1"/>
  <c r="O47" i="7"/>
  <c r="AD47" i="7" s="1"/>
  <c r="O126" i="7"/>
  <c r="AD126" i="7" s="1"/>
  <c r="N126" i="7"/>
  <c r="AC126" i="7" s="1"/>
  <c r="AE126" i="7" s="1"/>
  <c r="N62" i="7"/>
  <c r="AC62" i="7" s="1"/>
  <c r="AE62" i="7" s="1"/>
  <c r="O62" i="7"/>
  <c r="AD62" i="7" s="1"/>
  <c r="O52" i="7"/>
  <c r="AD52" i="7" s="1"/>
  <c r="N52" i="7"/>
  <c r="AC52" i="7" s="1"/>
  <c r="AE52" i="7" s="1"/>
  <c r="O77" i="7"/>
  <c r="AD77" i="7" s="1"/>
  <c r="N77" i="7"/>
  <c r="AC77" i="7" s="1"/>
  <c r="AE77" i="7" s="1"/>
  <c r="O13" i="7"/>
  <c r="AD13" i="7" s="1"/>
  <c r="N13" i="7"/>
  <c r="AC13" i="7" s="1"/>
  <c r="AE13" i="7" s="1"/>
  <c r="O12" i="7"/>
  <c r="AD12" i="7" s="1"/>
  <c r="N12" i="7"/>
  <c r="AC12" i="7" s="1"/>
  <c r="AE12" i="7" s="1"/>
  <c r="N60" i="7"/>
  <c r="AC60" i="7" s="1"/>
  <c r="AE60" i="7" s="1"/>
  <c r="AQ59" i="7" s="1"/>
  <c r="O60" i="7"/>
  <c r="AD60" i="7" s="1"/>
  <c r="O48" i="7"/>
  <c r="AD48" i="7" s="1"/>
  <c r="N48" i="7"/>
  <c r="AC48" i="7" s="1"/>
  <c r="AE48"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N108" i="7"/>
  <c r="AC108" i="7" s="1"/>
  <c r="AE108" i="7" s="1"/>
  <c r="O108" i="7"/>
  <c r="AD108" i="7" s="1"/>
  <c r="O88" i="7"/>
  <c r="AD88" i="7" s="1"/>
  <c r="N88" i="7"/>
  <c r="AC88" i="7" s="1"/>
  <c r="AE88" i="7" s="1"/>
  <c r="O24" i="7"/>
  <c r="AD24" i="7" s="1"/>
  <c r="N24" i="7"/>
  <c r="AC24" i="7" s="1"/>
  <c r="AE24" i="7" s="1"/>
  <c r="N103" i="7"/>
  <c r="AC103" i="7" s="1"/>
  <c r="AE103" i="7" s="1"/>
  <c r="O103" i="7"/>
  <c r="AD103" i="7" s="1"/>
  <c r="O39" i="7"/>
  <c r="AD39" i="7" s="1"/>
  <c r="N39" i="7"/>
  <c r="AC39" i="7" s="1"/>
  <c r="AE39" i="7" s="1"/>
  <c r="O118" i="7"/>
  <c r="AD118" i="7" s="1"/>
  <c r="N118" i="7"/>
  <c r="AC118" i="7" s="1"/>
  <c r="AE118" i="7" s="1"/>
  <c r="O54" i="7"/>
  <c r="AD54" i="7" s="1"/>
  <c r="N54" i="7"/>
  <c r="AC54" i="7" s="1"/>
  <c r="AE54" i="7" s="1"/>
  <c r="AN53" i="7" s="1"/>
  <c r="O133" i="7"/>
  <c r="AD133" i="7" s="1"/>
  <c r="N133" i="7"/>
  <c r="AC133" i="7" s="1"/>
  <c r="AE133" i="7" s="1"/>
  <c r="O69" i="7"/>
  <c r="AD69" i="7" s="1"/>
  <c r="N69" i="7"/>
  <c r="AC69" i="7" s="1"/>
  <c r="AE69"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N94" i="7" l="1"/>
  <c r="AN103" i="7"/>
  <c r="AQ102" i="7"/>
  <c r="AN102" i="7"/>
  <c r="AQ68" i="7"/>
  <c r="AN80" i="7"/>
  <c r="AN73" i="7"/>
  <c r="AQ54" i="7"/>
  <c r="AN60" i="7"/>
  <c r="AN57" i="7"/>
  <c r="AN49" i="7"/>
  <c r="AQ61" i="7"/>
  <c r="AN61" i="7"/>
  <c r="AQ86" i="7"/>
  <c r="AN50" i="7"/>
  <c r="AN51" i="7"/>
  <c r="AN104" i="7"/>
  <c r="AN52" i="7"/>
  <c r="AN58" i="7"/>
  <c r="AQ62" i="7"/>
  <c r="AN54" i="7"/>
  <c r="AN62" i="7"/>
  <c r="AQ87" i="7"/>
  <c r="AN87" i="7"/>
  <c r="AN83" i="7"/>
  <c r="AN74" i="7"/>
  <c r="AN90" i="7"/>
  <c r="AQ72" i="7"/>
  <c r="AN72" i="7"/>
  <c r="AQ60" i="7"/>
  <c r="AN81" i="7"/>
  <c r="AQ58" i="7"/>
  <c r="AN76" i="7"/>
  <c r="AQ76" i="7"/>
  <c r="AQ69" i="7"/>
  <c r="AQ63" i="7"/>
  <c r="AN71" i="7"/>
  <c r="AI82" i="7"/>
  <c r="AI123"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BO8" i="7"/>
  <c r="BR3" i="7" s="1"/>
  <c r="AN85" i="7"/>
  <c r="AI127" i="7"/>
  <c r="AI117" i="7"/>
  <c r="AI125" i="7"/>
  <c r="AI57" i="7"/>
  <c r="AI95" i="7"/>
  <c r="AI112" i="7"/>
  <c r="AI35" i="7"/>
  <c r="AI59" i="7"/>
  <c r="AN69" i="7"/>
  <c r="AI47" i="7"/>
  <c r="AI53" i="7"/>
  <c r="AI23" i="7"/>
  <c r="AI31" i="7"/>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AI18" i="7"/>
  <c r="AI120" i="7"/>
  <c r="AI66" i="7"/>
  <c r="AI15" i="7"/>
  <c r="AI128" i="7"/>
  <c r="AI98" i="7"/>
  <c r="AR53" i="7"/>
  <c r="AS53" i="7"/>
  <c r="AF54" i="7"/>
  <c r="AS23" i="7"/>
  <c r="AR23" i="7"/>
  <c r="AF24" i="7"/>
  <c r="AR106" i="7"/>
  <c r="AS106" i="7"/>
  <c r="AF107" i="7"/>
  <c r="AR12" i="7"/>
  <c r="AF12" i="7"/>
  <c r="AS31" i="7"/>
  <c r="AR31" i="7"/>
  <c r="AF32" i="7"/>
  <c r="AI67" i="7"/>
  <c r="AR89" i="7"/>
  <c r="AS89" i="7"/>
  <c r="AF90" i="7"/>
  <c r="AI69" i="7"/>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AI135" i="7"/>
  <c r="AR105" i="7"/>
  <c r="AS105" i="7"/>
  <c r="AF106" i="7"/>
  <c r="AR129" i="7"/>
  <c r="AS129" i="7"/>
  <c r="AF130" i="7"/>
  <c r="AR60" i="7"/>
  <c r="AS60" i="7"/>
  <c r="AF61" i="7"/>
  <c r="AI30" i="7"/>
  <c r="AS27" i="7"/>
  <c r="AR27" i="7"/>
  <c r="AF28" i="7"/>
  <c r="AI113" i="7"/>
  <c r="AS50" i="7"/>
  <c r="AF51" i="7"/>
  <c r="AS136" i="7"/>
  <c r="AR136" i="7"/>
  <c r="AF137" i="7"/>
  <c r="AR69" i="7"/>
  <c r="AS69" i="7"/>
  <c r="AF70" i="7"/>
  <c r="AI29" i="7"/>
  <c r="AI71" i="7"/>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AS32" i="7"/>
  <c r="AR32" i="7"/>
  <c r="AF33" i="7"/>
  <c r="AI99" i="7"/>
  <c r="AI119" i="7"/>
  <c r="AR44" i="7"/>
  <c r="AS44" i="7"/>
  <c r="AF45" i="7"/>
  <c r="AR15" i="7"/>
  <c r="AS14" i="7"/>
  <c r="AR14" i="7"/>
  <c r="AF15" i="7"/>
  <c r="AR97" i="7"/>
  <c r="AS97" i="7"/>
  <c r="AF98" i="7"/>
  <c r="AI62" i="7"/>
  <c r="AR86" i="7"/>
  <c r="AS86" i="7"/>
  <c r="AF87" i="7"/>
  <c r="AK86" i="7" s="1"/>
  <c r="AI56" i="7"/>
  <c r="AR26" i="7"/>
  <c r="AS26" i="7"/>
  <c r="AF27" i="7"/>
  <c r="AI111" i="7"/>
  <c r="AI124" i="7"/>
  <c r="AI94" i="7"/>
  <c r="AS64" i="7"/>
  <c r="AR64" i="7"/>
  <c r="AF65" i="7"/>
  <c r="AI34" i="7"/>
  <c r="AI50" i="7"/>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AK132" i="7" l="1"/>
  <c r="AK102" i="7"/>
  <c r="AK93" i="7"/>
  <c r="AK94" i="7"/>
  <c r="AK124" i="7"/>
  <c r="AK96" i="7"/>
  <c r="AK22" i="7"/>
  <c r="AK29" i="7"/>
  <c r="AK36" i="7"/>
  <c r="AK54" i="7"/>
  <c r="AK32" i="7"/>
  <c r="AK80" i="7"/>
  <c r="AK24" i="7"/>
  <c r="BV12" i="7"/>
  <c r="BV8" i="7" s="1"/>
  <c r="BU8" i="7"/>
  <c r="AK62" i="7"/>
  <c r="AK115" i="7"/>
  <c r="AK99" i="7"/>
  <c r="AH74" i="6"/>
  <c r="AK19" i="7"/>
  <c r="AK118" i="7"/>
  <c r="AK42" i="7"/>
  <c r="AK121" i="7"/>
  <c r="AK107" i="7"/>
  <c r="AK49" i="7"/>
  <c r="AK30" i="7"/>
  <c r="AK64" i="7"/>
  <c r="AK17" i="7"/>
  <c r="AK83" i="7"/>
  <c r="AK71" i="7"/>
  <c r="AN8"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S8" i="7"/>
  <c r="AK97" i="7"/>
  <c r="AK50" i="7"/>
  <c r="AK138" i="7"/>
  <c r="AK137" i="7"/>
  <c r="AK61" i="7"/>
  <c r="AK74" i="7"/>
  <c r="AK57" i="7"/>
  <c r="AK126" i="7"/>
  <c r="AK128" i="7"/>
  <c r="AK100" i="7"/>
  <c r="AK112" i="7"/>
  <c r="AK59" i="7"/>
  <c r="AK113" i="7"/>
  <c r="AK46" i="7"/>
  <c r="AK75" i="7"/>
  <c r="AK20" i="7"/>
  <c r="AK43" i="7"/>
  <c r="AK48" i="7"/>
  <c r="AR8" i="7"/>
  <c r="AK116" i="7"/>
  <c r="AK92" i="7"/>
  <c r="AK37" i="7"/>
  <c r="AK52" i="7"/>
  <c r="AK77" i="7"/>
  <c r="AK104" i="7"/>
  <c r="AK125" i="7"/>
  <c r="AQ8" i="7"/>
  <c r="BT8" i="7" s="1"/>
  <c r="AI8"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J74" i="6" l="1"/>
  <c r="BF74" i="6" s="1"/>
  <c r="AJ7" i="7"/>
  <c r="AJ79" i="7" s="1"/>
  <c r="C110" i="2"/>
  <c r="F110" i="2" s="1"/>
  <c r="G68" i="1" s="1"/>
  <c r="AH75" i="6"/>
  <c r="AK8" i="7"/>
  <c r="AL7" i="7" s="1"/>
  <c r="AL109" i="7" s="1"/>
  <c r="BL73" i="6"/>
  <c r="BE73" i="6"/>
  <c r="AV75" i="6"/>
  <c r="BH75" i="6" s="1"/>
  <c r="AP74" i="6"/>
  <c r="AU74" i="6" s="1"/>
  <c r="AO75" i="6"/>
  <c r="Z76" i="6"/>
  <c r="AA76" i="6" s="1"/>
  <c r="AB76" i="6" s="1"/>
  <c r="BJ76" i="6" s="1"/>
  <c r="AF75" i="6"/>
  <c r="L86" i="6"/>
  <c r="K86" i="6"/>
  <c r="Q76" i="6"/>
  <c r="R76" i="6" s="1"/>
  <c r="AG76" i="6" s="1"/>
  <c r="S76" i="6"/>
  <c r="O77" i="6"/>
  <c r="T75" i="6"/>
  <c r="AK76" i="6"/>
  <c r="AL76" i="6" s="1"/>
  <c r="AM76" i="6" s="1"/>
  <c r="P76" i="6"/>
  <c r="U75" i="6"/>
  <c r="W76" i="6"/>
  <c r="X76" i="6" s="1"/>
  <c r="Y76" i="6" s="1"/>
  <c r="BK76" i="6" s="1"/>
  <c r="N78" i="6"/>
  <c r="O78" i="6" s="1"/>
  <c r="AN75" i="6"/>
  <c r="AC76" i="6"/>
  <c r="AD76" i="6" s="1"/>
  <c r="AE76" i="6" s="1"/>
  <c r="V74" i="6"/>
  <c r="J79" i="6"/>
  <c r="AH76" i="6" l="1"/>
  <c r="AJ28" i="7"/>
  <c r="AJ50" i="7"/>
  <c r="AJ86"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J8" i="7" l="1"/>
  <c r="AJ3" i="7" s="1"/>
  <c r="AH77" i="6"/>
  <c r="AH78" i="6"/>
  <c r="AL8" i="7"/>
  <c r="AO3" i="7" s="1"/>
  <c r="AJ76" i="6"/>
  <c r="BF76" i="6" s="1"/>
  <c r="BL74" i="6"/>
  <c r="AP76" i="6"/>
  <c r="AU76" i="6" s="1"/>
  <c r="V76" i="6"/>
  <c r="BD76" i="6" s="1"/>
  <c r="BG75" i="6"/>
  <c r="AV77" i="6"/>
  <c r="BH77" i="6" s="1"/>
  <c r="AZ75" i="6"/>
  <c r="BB75" i="6" s="1"/>
  <c r="BC75" i="6" s="1"/>
  <c r="AO78" i="6"/>
  <c r="AO77" i="6"/>
  <c r="AN77" i="6"/>
  <c r="L88" i="6"/>
  <c r="T77" i="6"/>
  <c r="AF77" i="6"/>
  <c r="K88" i="6"/>
  <c r="U77" i="6"/>
  <c r="AN78" i="6"/>
  <c r="AF78" i="6"/>
  <c r="O79" i="6"/>
  <c r="U78" i="6"/>
  <c r="J81" i="6"/>
  <c r="X78" i="6"/>
  <c r="Y78" i="6" s="1"/>
  <c r="BK78" i="6" s="1"/>
  <c r="N80" i="6"/>
  <c r="T78" i="6"/>
  <c r="AJ78" i="6" l="1"/>
  <c r="AJ77" i="6"/>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AJ83" i="6" s="1"/>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H84" i="6" l="1"/>
  <c r="AZ81" i="6"/>
  <c r="BB81" i="6" s="1"/>
  <c r="BC81" i="6" s="1"/>
  <c r="BF83" i="6"/>
  <c r="BL81" i="6"/>
  <c r="BL80" i="6"/>
  <c r="BG82" i="6"/>
  <c r="BE82" i="6" s="1"/>
  <c r="AZ82" i="6"/>
  <c r="BB82" i="6" s="1"/>
  <c r="BC82" i="6" s="1"/>
  <c r="AP83" i="6"/>
  <c r="AF84" i="6"/>
  <c r="AO84" i="6"/>
  <c r="L94" i="6"/>
  <c r="K94" i="6"/>
  <c r="O85" i="6"/>
  <c r="AN84" i="6"/>
  <c r="V83" i="6"/>
  <c r="BD83" i="6" s="1"/>
  <c r="U84" i="6"/>
  <c r="J87" i="6"/>
  <c r="X84" i="6"/>
  <c r="Y84" i="6" s="1"/>
  <c r="BK84" i="6" s="1"/>
  <c r="N86" i="6"/>
  <c r="T84" i="6"/>
  <c r="AJ84" i="6" l="1"/>
  <c r="AU83" i="6"/>
  <c r="BG83" i="6" s="1"/>
  <c r="BF84" i="6"/>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AH93" i="6"/>
  <c r="AZ89" i="6"/>
  <c r="BB89" i="6" s="1"/>
  <c r="BC89" i="6" s="1"/>
  <c r="BL89" i="6"/>
  <c r="BG90" i="6"/>
  <c r="BF92" i="6"/>
  <c r="AP92" i="6"/>
  <c r="AU92" i="6" s="1"/>
  <c r="V91" i="6"/>
  <c r="BD91" i="6" s="1"/>
  <c r="BF91" i="6"/>
  <c r="AP91" i="6"/>
  <c r="AU91" i="6" s="1"/>
  <c r="AO93" i="6"/>
  <c r="AF93" i="6"/>
  <c r="AJ93" i="6" s="1"/>
  <c r="L103" i="6"/>
  <c r="K103" i="6"/>
  <c r="AN93" i="6"/>
  <c r="N95" i="6"/>
  <c r="T93" i="6"/>
  <c r="J96" i="6"/>
  <c r="U93" i="6"/>
  <c r="X93" i="6"/>
  <c r="Y93" i="6" s="1"/>
  <c r="BK93" i="6" s="1"/>
  <c r="O94" i="6"/>
  <c r="V92" i="6"/>
  <c r="BF93" i="6" l="1"/>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J100" i="6" l="1"/>
  <c r="AH102" i="6"/>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AJ107" i="6" s="1"/>
  <c r="U106" i="6"/>
  <c r="N109" i="6"/>
  <c r="T106" i="6"/>
  <c r="X107" i="6"/>
  <c r="Y107" i="6" s="1"/>
  <c r="BK107" i="6" s="1"/>
  <c r="J110" i="6"/>
  <c r="T107" i="6"/>
  <c r="X106" i="6"/>
  <c r="Y106" i="6" s="1"/>
  <c r="BK106" i="6" s="1"/>
  <c r="U107" i="6"/>
  <c r="AP106" i="6" l="1"/>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U110" i="6"/>
  <c r="Z111" i="6"/>
  <c r="AA111" i="6" s="1"/>
  <c r="AB111" i="6" s="1"/>
  <c r="BJ111" i="6" s="1"/>
  <c r="X110" i="6"/>
  <c r="Y110" i="6" s="1"/>
  <c r="BK110" i="6" s="1"/>
  <c r="S111" i="6"/>
  <c r="AV111" i="6" s="1"/>
  <c r="BH111" i="6" s="1"/>
  <c r="P111" i="6"/>
  <c r="Q111" i="6"/>
  <c r="R111" i="6" s="1"/>
  <c r="AG111" i="6" s="1"/>
  <c r="W111" i="6"/>
  <c r="T110" i="6"/>
  <c r="AJ109" i="6" l="1"/>
  <c r="AJ110" i="6"/>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Lee, Eric</author>
    <author>tc={30D15742-DD11-48DE-B8C8-46E63662A892}</author>
    <author>BDATSC</author>
    <author>Hegarty, Timothy</author>
  </authors>
  <commentList>
    <comment ref="A3" authorId="0" shapeId="0" xr:uid="{1CB513B5-1ABA-4879-BF60-02DEDEF940D2}">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xr:uid="{84C06EB9-070E-48D4-99B7-603D1BEB4877}">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xr:uid="{1BD5DC9C-BD11-4DC4-AC2B-755598FBF01F}">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G8" authorId="2" shapeId="0" xr:uid="{30D15742-DD11-48DE-B8C8-46E63662A892}">
      <text>
        <t>[Threaded comment]
Your version of Excel allows you to read this threaded comment; however, any edits to it will get removed if the file is opened in a newer version of Excel. Learn more: https://go.microsoft.com/fwlink/?linkid=870924
Comment:
    x</t>
      </text>
    </comment>
    <comment ref="H8" authorId="1" shapeId="0" xr:uid="{C9B1A3FF-9958-4DE0-B39C-7A4DAFAC5577}">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xr:uid="{363EB7E5-5AAF-4EDA-8D48-8B9A5F21F1C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xr:uid="{18FB2668-3EC2-4C3D-890A-80B63423B913}">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xr:uid="{65D7B9F9-2EA1-40A9-BD82-B844ACF3D6FB}">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xr:uid="{01C48FA8-218B-40AD-8918-482919AFC91C}">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xr:uid="{762BB2B0-5F31-4822-8DF6-3DB5532CD052}">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xr:uid="{6A30630D-C3C1-4303-B6E2-3B545CDB630B}">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xr:uid="{AD255626-2D78-4CC1-8EAC-67656FBC5DE3}">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xr:uid="{B0D5EEED-DB01-4F8B-AD7D-E83015873A3B}">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xr:uid="{27641AFD-53D3-41CE-A281-940865CAA1CA}">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xr:uid="{FDB31C1F-C992-4BF1-8E8B-BDF13BF328D8}">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xr:uid="{432CB175-8435-420A-977F-EEEA6366CCE9}">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xr:uid="{25FD0CDC-10E2-4ACC-84AC-5E04B14FA218}">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xr:uid="{BBF648EB-8E5D-47A8-9EAF-17121B981578}">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xr:uid="{F1C8EF98-0ACF-4810-A62B-3DE3C32A55D6}">
      <text>
        <r>
          <rPr>
            <b/>
            <u/>
            <sz val="9"/>
            <color indexed="81"/>
            <rFont val="Arial"/>
            <family val="2"/>
          </rPr>
          <t xml:space="preserve">Buck Inductance
</t>
        </r>
        <r>
          <rPr>
            <sz val="9"/>
            <color indexed="81"/>
            <rFont val="Arial"/>
            <family val="2"/>
          </rPr>
          <t xml:space="preserve">Enter the selected buck inductance. </t>
        </r>
      </text>
    </comment>
    <comment ref="H29" authorId="1" shapeId="0" xr:uid="{4B12FA59-7BF3-4412-AFDA-D42E8BB03DDA}">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xr:uid="{9C4B28CF-0C37-4EAF-A6B6-75F8ECC03F43}">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xr:uid="{E4CE0BC4-4E85-4A63-872F-DE0054ADE134}">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xr:uid="{2CE4AD9F-6E71-4356-BF0C-DA4006382F8A}">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xr:uid="{60CF62D6-440D-4096-8DFC-904CA3DF8694}">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xr:uid="{258AE06D-FF84-463D-8B3B-2B008327A5A2}">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xr:uid="{99A3E64C-75FA-4D47-B964-364A05205389}">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xr:uid="{DC2C8CD0-877B-49E3-82DD-BEE12CA68CCE}">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xr:uid="{597B59AB-7D90-4673-82DC-F0B13DE908B6}">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xr:uid="{FCBD6FE7-23B0-4316-BFF6-1812A6F0D023}">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xr:uid="{082C22F2-76FB-4318-A56D-BA3264C9EE66}">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xr:uid="{61CFB8AD-420A-4C7E-AD33-4A9B9FEEA3D7}">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xr:uid="{4F889752-A238-47DA-B2C3-3F20A056A36A}">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xr:uid="{0EFFC89D-B7CE-460D-BEF2-20BF16187727}">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xr:uid="{9022F910-0374-42B9-A2E0-09D24798C983}">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xr:uid="{90FEFAF2-0DA7-48FB-B5B8-F03BB9E09C0F}">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xr:uid="{FD24500B-3C8A-4468-ACA1-D04C4313B878}">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xr:uid="{43BEB017-521C-487F-AAAA-5BEF13D63B12}">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xr:uid="{2DDCAAED-32DD-4271-814A-F302563A9DCB}">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xr:uid="{1FF041BB-CBA4-4937-BD20-7E50AFC3B115}">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xr:uid="{9F8C7736-BAC8-48DE-AD39-4B36651ED0B9}">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xr:uid="{F268E22D-07B2-464D-A30D-A3F158578A6F}">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xr:uid="{3E73BDBC-1B18-4FCE-8861-CB9B4D60DBFB}">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xr:uid="{626C526F-212A-4D8A-801E-8F7B3FE656E2}">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xr:uid="{9EE9E275-CF24-453B-B20C-EC883D34C3D3}">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xr:uid="{EABC37AB-9EC7-4615-B2C4-2BCFD2A50664}">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xr:uid="{0D94D6D5-0743-4B3E-81BA-AAE922CFC242}">
      <text>
        <r>
          <rPr>
            <b/>
            <u/>
            <sz val="9"/>
            <color indexed="81"/>
            <rFont val="Arial"/>
            <family val="2"/>
          </rPr>
          <t>Maximum RCOMP</t>
        </r>
        <r>
          <rPr>
            <sz val="9"/>
            <color indexed="81"/>
            <rFont val="Arial"/>
            <family val="2"/>
          </rPr>
          <t xml:space="preserve">
Select RCOMP less than the desired maximum RCOMP value.</t>
        </r>
      </text>
    </comment>
    <comment ref="H81" authorId="1" shapeId="0" xr:uid="{417EF453-BC96-4218-84FF-3502B887A10C}">
      <text>
        <r>
          <rPr>
            <b/>
            <u/>
            <sz val="9"/>
            <color indexed="81"/>
            <rFont val="Arial"/>
            <family val="2"/>
          </rPr>
          <t>Minimum CCOMP</t>
        </r>
        <r>
          <rPr>
            <sz val="9"/>
            <color indexed="81"/>
            <rFont val="Arial"/>
            <family val="2"/>
          </rPr>
          <t xml:space="preserve">
Select CCOMP greater than the desired minimum CCOMP value.</t>
        </r>
      </text>
    </comment>
    <comment ref="H82" authorId="1" shapeId="0" xr:uid="{CC9788AD-C22C-49DD-B677-7DCCE3E824EF}">
      <text>
        <r>
          <rPr>
            <b/>
            <u/>
            <sz val="9"/>
            <color indexed="81"/>
            <rFont val="Arial"/>
            <family val="2"/>
          </rPr>
          <t>Desired CHF</t>
        </r>
        <r>
          <rPr>
            <sz val="9"/>
            <color indexed="81"/>
            <rFont val="Arial"/>
            <family val="2"/>
          </rPr>
          <t xml:space="preserve">
Select CHF close to the desired CHF value.</t>
        </r>
      </text>
    </comment>
    <comment ref="H86" authorId="1" shapeId="0" xr:uid="{26CA6DA2-CABF-4879-8FD9-B8DB3CAB3CBC}">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xr:uid="{C3CCA67E-9C38-4526-A7F3-8412651D74C9}">
      <text>
        <r>
          <rPr>
            <b/>
            <u/>
            <sz val="9"/>
            <color indexed="81"/>
            <rFont val="Arial"/>
            <family val="2"/>
          </rPr>
          <t xml:space="preserve">CCOMP Capacitor
</t>
        </r>
        <r>
          <rPr>
            <sz val="9"/>
            <color indexed="81"/>
            <rFont val="Arial"/>
            <family val="2"/>
          </rPr>
          <t xml:space="preserve">Use COG type capacitor or an equivalent. </t>
        </r>
      </text>
    </comment>
    <comment ref="H88" authorId="1" shapeId="0" xr:uid="{22A062AB-D904-461B-A9A4-B0B06DBE84A8}">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xr:uid="{2855273B-8F44-4F4F-BA0F-ACB3DED12533}">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xr:uid="{E44F8F21-426A-43E2-9DC9-409E802472DF}">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xr:uid="{E38970AA-2BF9-413B-ACD2-45727F72E7A8}">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xr:uid="{8A315EEC-FAC0-4722-AF65-4BCB99873862}">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xr:uid="{B830195B-149D-4164-9D0A-7FFC6989C8ED}">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xr:uid="{FCCF03BB-CA16-4CAD-932F-688F7D0E651F}">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xr:uid="{C62040D1-919C-4580-82F3-C285B78FD967}">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at every restart. </t>
        </r>
      </text>
    </comment>
    <comment ref="H101" authorId="1" shapeId="0" xr:uid="{5FCCABBF-AFBA-4939-A879-DB297E3199FA}">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xr:uid="{D55AF532-3966-4030-B075-A8839D811E3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xr:uid="{1C4E3292-0868-4C79-AA2D-4E3791009D1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xr:uid="{8EE0F9A7-35BA-4D0D-8F16-5B6B627A1A56}">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xr:uid="{9F705E92-646A-47E9-B42A-FD41A0F091A3}">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xr:uid="{D9CAFD5D-335E-4CCB-A87D-F50B10FEC70A}">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xr:uid="{7252FC37-6E73-4ECE-8AF5-7B9245635276}">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xr:uid="{9E7E6AAB-6CBD-4B42-A53E-98040A2F5773}">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xr:uid="{0A3126C6-3ACD-467F-84CE-C72577763AC0}">
      <text>
        <r>
          <rPr>
            <b/>
            <u/>
            <sz val="9"/>
            <color indexed="81"/>
            <rFont val="Arial"/>
            <family val="2"/>
          </rPr>
          <t>Inductor DCR</t>
        </r>
        <r>
          <rPr>
            <sz val="9"/>
            <color indexed="81"/>
            <rFont val="Arial"/>
            <family val="2"/>
          </rPr>
          <t xml:space="preserve">
Enter the DCR of the selected inductor.</t>
        </r>
      </text>
    </comment>
    <comment ref="G122" authorId="1" shapeId="0" xr:uid="{BD4D7286-782A-4CF4-A80B-EF44BF44AD7C}">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3" shapeId="0" xr:uid="{2946FD57-694F-4F28-B7B4-8009060B1019}">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3" shapeId="0" xr:uid="{D8F2EFB9-7F99-484F-B604-1AB65DCB3748}">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3" shapeId="0" xr:uid="{72FB8D67-B30C-4A3F-8D8C-92A173A1395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3" shapeId="0" xr:uid="{C936F149-79A2-44C5-9EF1-EFD737F6C0FC}">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3" shapeId="0" xr:uid="{4FC1FC9D-FF88-46A8-96A7-6F0FFDA3C3C6}">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3" shapeId="0" xr:uid="{2E5AE245-6221-4F7B-8982-53D997F49151}">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3" shapeId="0" xr:uid="{9A40F85A-E1BE-4D09-BB36-C6F076128B9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3" shapeId="0" xr:uid="{D1A1F8EC-1D5F-4F83-85D4-117ABCFFDE1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3" shapeId="0" xr:uid="{209FA8C3-200D-4CEE-823D-AC1D143FDFA4}">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3" shapeId="0" xr:uid="{16E89125-B5C8-4482-8B36-95749053C963}">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3" shapeId="0" xr:uid="{3919427B-ED78-4D1E-ABB8-4F4F58D5F40C}">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3" shapeId="0" xr:uid="{61A7BC07-A543-450C-8C5E-D718BB56AB86}">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3" shapeId="0" xr:uid="{3A29F377-10AB-47AF-A140-077E3AEA06B4}">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3" shapeId="0" xr:uid="{D5518F03-6895-440C-929B-2BA6865B8F85}">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3" shapeId="0" xr:uid="{B706A837-BE60-4C9C-8127-6A0F94BD45A3}">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3" shapeId="0" xr:uid="{F1D91693-B68F-4B7F-8AE5-25283EB5037D}">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3" shapeId="0" xr:uid="{FE33BF1E-A7F3-4DE0-BE4F-8BEA765D359A}">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3" shapeId="0" xr:uid="{1E7CFE2C-A9A0-4CA4-91F4-A83537F48EEE}">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3" shapeId="0" xr:uid="{09EA91B8-1FD4-4BFB-863A-F58C407AF485}">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3" shapeId="0" xr:uid="{A430B0C8-5223-42D7-A806-80D4E76142D4}">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3" shapeId="0" xr:uid="{2F3CA1DF-4948-4FDA-A9F6-9F52FD21F9E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3" shapeId="0" xr:uid="{60821B60-A875-48FF-B173-1ECA6E475D9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4" shapeId="0" xr:uid="{DF7990D1-B384-4EF4-B3F2-4CACB3919AE5}">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4" shapeId="0" xr:uid="{CF33569B-DA2C-46A5-9750-6674432585AF}">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xr:uid="{C15399B3-D957-4CBB-A856-D107A5E83BBE}">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4" shapeId="0" xr:uid="{DBB3D4AA-805B-4DC8-BF92-81B027DA67A3}">
      <text>
        <r>
          <rPr>
            <b/>
            <u/>
            <sz val="9"/>
            <color indexed="81"/>
            <rFont val="Arial"/>
            <family val="2"/>
          </rPr>
          <t>IC Power Loss</t>
        </r>
        <r>
          <rPr>
            <sz val="9"/>
            <color indexed="81"/>
            <rFont val="Arial"/>
            <family val="2"/>
          </rPr>
          <t xml:space="preserve">
IC power loss estimate based on the typical  input voltage. </t>
        </r>
      </text>
    </comment>
    <comment ref="H145" authorId="1" shapeId="0" xr:uid="{2F0F0D5E-1295-4876-B5C1-769D45432F17}">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xr:uid="{CB7C7420-D307-4EAC-A784-A49246057D4F}">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xr:uid="{A2012892-1EF9-42AD-9004-5DDBF9C7A37B}">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Eric</author>
  </authors>
  <commentList>
    <comment ref="B221" authorId="0" shapeId="0" xr:uid="{7099C626-8833-4432-854A-F26F04E99794}">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<sst xmlns="http://schemas.openxmlformats.org/spreadsheetml/2006/main" count="687" uniqueCount="544">
  <si>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</si>
  <si>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</si>
  <si>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</si>
  <si>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</si>
  <si>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</si>
  <si>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</si>
  <si>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</si>
  <si>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</si>
  <si>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</si>
  <si>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</si>
  <si>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</si>
  <si>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</si>
  <si>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</si>
  <si>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</si>
  <si>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</si>
  <si>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</si>
  <si>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</si>
  <si>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</si>
  <si>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</si>
  <si>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</si>
  <si>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</si>
  <si>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</si>
  <si>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</si>
  <si>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</si>
  <si>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</si>
  <si>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</si>
  <si>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</si>
  <si>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</si>
  <si>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</si>
  <si>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</si>
  <si>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</si>
  <si>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</si>
  <si>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</si>
  <si>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</si>
  <si>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</si>
  <si>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</si>
  <si>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</si>
  <si>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</si>
  <si>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</si>
  <si>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</si>
  <si>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</si>
  <si>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</si>
  <si>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</si>
  <si>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</si>
  <si>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</si>
  <si>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</si>
  <si>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</si>
  <si>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</si>
  <si>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</si>
  <si>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</si>
  <si>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</si>
  <si>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</si>
  <si>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</si>
  <si>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</si>
  <si>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</si>
  <si>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</si>
  <si>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</si>
  <si>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</si>
  <si>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</si>
  <si>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</si>
  <si>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</si>
  <si>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</si>
  <si>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</si>
  <si>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</si>
  <si>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</si>
  <si>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</si>
  <si>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</si>
  <si>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</si>
  <si>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</si>
  <si>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</si>
  <si>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</si>
  <si>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</si>
  <si>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</si>
  <si>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</si>
  <si>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</si>
  <si>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</si>
  <si>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</si>
  <si>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</si>
  <si>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</si>
  <si>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</si>
  <si>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</si>
  <si>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</si>
  <si>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</si>
  <si>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</si>
  <si>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</si>
  <si>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</si>
  <si>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</si>
  <si>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</si>
  <si>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</si>
  <si>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</si>
  <si>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</si>
  <si>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</si>
  <si>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</si>
  <si>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</si>
  <si>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</si>
  <si>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</si>
  <si>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</si>
  <si>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</si>
  <si>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</si>
  <si>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</si>
  <si>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</si>
  <si>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</si>
  <si>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</si>
  <si>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</si>
  <si>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</si>
  <si>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</si>
  <si>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</si>
  <si>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</si>
  <si>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</si>
  <si>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</si>
  <si>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</si>
  <si>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</si>
  <si>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</si>
  <si>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</si>
  <si>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</si>
  <si>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</si>
  <si>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</si>
  <si>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</si>
  <si>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</si>
  <si>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</si>
  <si>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</si>
  <si>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</si>
  <si>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</si>
  <si>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</si>
  <si>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</si>
  <si>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</si>
  <si>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</si>
  <si>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</si>
  <si>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</si>
  <si>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</si>
  <si>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</si>
  <si>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</si>
  <si>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</si>
  <si>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</si>
  <si>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</si>
  <si>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</si>
  <si>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</si>
  <si>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</si>
  <si>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</si>
  <si>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</si>
  <si>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</si>
  <si>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</si>
  <si>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</si>
  <si>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</si>
  <si>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</si>
  <si>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</si>
  <si>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</si>
  <si>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</si>
  <si>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</si>
  <si>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</si>
  <si>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</si>
  <si>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</si>
  <si>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</si>
  <si>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</si>
  <si>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</si>
  <si>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</si>
  <si>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</si>
  <si>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</si>
  <si>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</si>
  <si>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</si>
  <si>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</si>
  <si>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</si>
  <si>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</si>
  <si>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</si>
  <si>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</si>
  <si>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</si>
  <si>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</si>
  <si>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</si>
  <si>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</si>
  <si>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</si>
  <si>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</si>
  <si>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</si>
  <si>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</si>
  <si>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</si>
  <si>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</si>
  <si>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</si>
  <si>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</si>
  <si>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</si>
  <si>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</si>
  <si>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</si>
  <si>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</si>
  <si>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</si>
  <si>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</si>
  <si>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</si>
  <si>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</si>
  <si>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</si>
  <si>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</si>
  <si>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</si>
  <si>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</si>
  <si>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</si>
  <si>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</si>
  <si>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</si>
  <si>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</si>
  <si>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</si>
  <si>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</si>
  <si>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</si>
  <si>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</si>
  <si>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</si>
  <si>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</si>
  <si>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</si>
  <si>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</si>
  <si>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</si>
  <si>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</si>
  <si>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</si>
  <si>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</si>
  <si>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</si>
  <si>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</si>
  <si>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</si>
  <si>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</si>
  <si>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</si>
  <si>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</si>
  <si>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</si>
  <si>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</si>
  <si>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</si>
  <si>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</si>
  <si>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</si>
  <si>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</si>
  <si>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</si>
  <si>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</si>
  <si>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</si>
  <si>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</si>
  <si>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</si>
  <si>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</si>
  <si>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</si>
  <si>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</si>
  <si>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</si>
  <si>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</si>
  <si>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</si>
  <si>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</si>
  <si>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</si>
  <si>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</si>
  <si>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</si>
  <si>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</si>
  <si>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</si>
  <si>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</si>
  <si>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</si>
  <si>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</si>
  <si>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</si>
  <si>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</si>
  <si>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</si>
  <si>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</si>
  <si>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</si>
  <si>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</si>
  <si>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</si>
  <si>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</si>
  <si>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</si>
  <si>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</si>
  <si>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</si>
  <si>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</si>
  <si>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</si>
  <si>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</si>
  <si>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</si>
  <si>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</si>
  <si>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</si>
  <si>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</si>
  <si>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</si>
  <si>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</si>
  <si>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</si>
  <si>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</si>
  <si>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</si>
  <si>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</si>
  <si>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</si>
  <si>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</si>
  <si>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</si>
  <si>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</si>
  <si>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</si>
  <si>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</si>
  <si>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</si>
  <si>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</si>
  <si>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</si>
  <si>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</si>
  <si>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</si>
  <si>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</si>
  <si>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</si>
  <si>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</si>
  <si>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</si>
  <si>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</si>
  <si>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</si>
  <si>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</si>
  <si>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</si>
  <si>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</si>
  <si>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</si>
  <si>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</si>
  <si>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</si>
  <si>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</si>
  <si>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</si>
  <si>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</si>
  <si>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</si>
  <si>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</si>
  <si>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</si>
  <si>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</si>
  <si>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</si>
  <si>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</si>
  <si>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</si>
  <si>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</si>
  <si>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</si>
  <si>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</si>
  <si>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</si>
  <si>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</si>
  <si>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</si>
  <si>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</si>
  <si>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</si>
  <si>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</si>
  <si>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</si>
  <si>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</si>
  <si>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</si>
  <si>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</si>
  <si>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</si>
  <si>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</si>
  <si>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</si>
  <si>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</si>
  <si>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</si>
  <si>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</si>
  <si>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</si>
  <si>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</si>
  <si>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</si>
  <si>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</si>
  <si>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</si>
  <si>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</si>
  <si>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</si>
  <si>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</si>
  <si>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</si>
  <si>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</si>
  <si>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</si>
  <si>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</si>
  <si>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</si>
  <si>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</si>
  <si>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</si>
  <si>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</si>
  <si>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</si>
  <si>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</si>
  <si>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</si>
  <si>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</si>
  <si>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</si>
  <si>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</si>
  <si>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</si>
  <si>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</si>
  <si>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</si>
  <si>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</si>
  <si>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</si>
  <si>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</si>
  <si>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</si>
  <si>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</si>
  <si>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</si>
  <si>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</si>
  <si>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</si>
  <si>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</si>
  <si>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</si>
  <si>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</si>
  <si>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</si>
  <si>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</si>
  <si>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</si>
  <si>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</si>
  <si>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</si>
  <si>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</si>
  <si>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</si>
  <si>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</si>
  <si>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</si>
  <si>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</si>
  <si>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</si>
  <si>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</si>
  <si>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</si>
  <si>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</si>
  <si>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</si>
  <si>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</si>
  <si>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</si>
  <si>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</si>
  <si>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</si>
  <si>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</si>
  <si>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</si>
  <si>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</si>
  <si>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</si>
  <si>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</si>
  <si>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</si>
  <si>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</si>
  <si>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</si>
  <si>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</si>
  <si>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</si>
  <si>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</si>
  <si>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</si>
  <si>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</si>
  <si>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</si>
  <si>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</si>
  <si>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</si>
  <si>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</si>
  <si>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</si>
  <si>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</si>
  <si>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</si>
  <si>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</si>
  <si>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</si>
  <si>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</si>
  <si>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</si>
  <si>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</si>
  <si>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</si>
  <si>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</si>
  <si>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</si>
  <si>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</si>
  <si>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</si>
  <si>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</si>
  <si>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</si>
  <si>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</si>
  <si>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</si>
  <si>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</si>
  <si>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</si>
  <si>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</si>
  <si>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</si>
  <si>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</si>
  <si>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</si>
  <si>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</si>
  <si>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</si>
  <si>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</si>
  <si>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</si>
  <si>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</si>
  <si>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</si>
  <si>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</si>
  <si>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</si>
  <si>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</si>
  <si>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</si>
  <si>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</si>
  <si>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</si>
  <si>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</si>
  <si>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</si>
  <si>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</si>
  <si>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</si>
  <si>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</si>
  <si>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</si>
  <si>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</si>
  <si>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</si>
  <si>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</si>
  <si>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</si>
  <si>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</si>
  <si>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</si>
  <si>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</si>
  <si>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</si>
  <si>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</si>
  <si>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Calibri"/>
        <family val="2"/>
        <scheme val="minor"/>
      </rPr>
      <t>Z_ESR</t>
    </r>
  </si>
  <si>
    <r>
      <t>f</t>
    </r>
    <r>
      <rPr>
        <b/>
        <vertAlign val="subscript"/>
        <sz val="11"/>
        <color theme="1"/>
        <rFont val="Calibri"/>
        <family val="2"/>
        <scheme val="minor"/>
      </rPr>
      <t>P_COMP</t>
    </r>
  </si>
  <si>
    <r>
      <t>f</t>
    </r>
    <r>
      <rPr>
        <b/>
        <vertAlign val="subscript"/>
        <sz val="11"/>
        <color theme="1"/>
        <rFont val="Arial"/>
        <family val="2"/>
      </rPr>
      <t xml:space="preserve"> </t>
    </r>
    <r>
      <rPr>
        <b/>
        <vertAlign val="subscript"/>
        <sz val="11"/>
        <color theme="1"/>
        <rFont val="Calibri"/>
        <family val="2"/>
        <scheme val="minor"/>
      </rPr>
      <t>Z_COMP</t>
    </r>
  </si>
  <si>
    <r>
      <t>f</t>
    </r>
    <r>
      <rPr>
        <b/>
        <sz val="11"/>
        <color theme="1"/>
        <rFont val="Calibri"/>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</si>
  <si>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</si>
  <si>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</si>
  <si>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</si>
  <si>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</si>
  <si>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</si>
  <si>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</si>
  <si>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</si>
  <si>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</si>
  <si>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</si>
  <si>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</si>
  <si>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</si>
  <si>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</si>
  <si>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</si>
  <si>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</si>
  <si>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</si>
  <si>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</si>
  <si>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</si>
  <si>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</si>
  <si>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</si>
  <si>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</si>
  <si>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</si>
  <si>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</si>
  <si>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</si>
  <si>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</si>
  <si>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</si>
  <si>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</si>
  <si>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</si>
  <si>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</si>
  <si>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</si>
  <si>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</si>
  <si>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</si>
  <si>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</si>
  <si>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</si>
  <si>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</si>
  <si>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</si>
  <si>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</si>
  <si>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</si>
  <si>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</si>
  <si>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</si>
  <si>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</si>
  <si>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</si>
  <si>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</si>
  <si>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</si>
  <si>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</si>
  <si>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</si>
  <si>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</si>
  <si>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</si>
  <si>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</si>
  <si>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</si>
  <si>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</si>
  <si>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</si>
  <si>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</si>
  <si>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</si>
  <si>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</si>
  <si>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</si>
  <si>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</si>
  <si>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</si>
  <si>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</si>
  <si>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</si>
  <si>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</si>
  <si>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</si>
  <si>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</si>
  <si>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</si>
  <si>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</si>
  <si>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</si>
  <si>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</si>
  <si>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</si>
  <si>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</si>
  <si>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</si>
  <si>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</si>
  <si>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</si>
  <si>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</si>
  <si>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</si>
  <si>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</si>
  <si>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</si>
  <si>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</si>
  <si>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</si>
  <si>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</si>
  <si>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</si>
  <si>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</si>
  <si>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</si>
  <si>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</si>
  <si>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</si>
  <si>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(Super-capacitor charger. No load during the Super-cap charging)</t>
  </si>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</sst>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0.0000"/>
    <numFmt numFmtId="166" formatCode="_(* #,##0.000000_);_(* \(#,##0.000000\);_(* &quot;-&quot;??_);_(@_)"/>
    <numFmt numFmtId="167" formatCode="0.000"/>
    <numFmt numFmtId="168" formatCode="0.000E+00"/>
    <numFmt numFmtId="169" formatCode="0.0%"/>
    <numFmt numFmtId="170" formatCode="_(* #,##0.0_);_(* \(#,##0.0\);_(* &quot;-&quot;??_);_(@_)"/>
    <numFmt numFmtId="171" formatCode="_(* #,##0.00000_);_(* \(#,##0.00000\);_(* &quot;-&quot;??_);_(@_)"/>
    <numFmt numFmtId="172" formatCode="_(* #,##0.0_);_(* \(#,##0.0\);_(* &quot;-&quot;?_);_(@_)"/>
    <numFmt numFmtId="173" formatCode="_(* #,##0_);_(* \(#,##0\);_(* &quot;-&quot;?_);_(@_)"/>
  </numFmts>
  <fonts count="49"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Calibri"/>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Calibri"/>
      <family val="2"/>
      <scheme val="minor"/>
    </font>
    <font>
      <b/>
      <sz val="11"/>
      <color theme="1"/>
      <name val="Calibri"/>
      <family val="2"/>
      <scheme val="minor"/>
    </font>
    <font>
      <sz val="20"/>
      <color rgb="FFFFFF00"/>
      <name val="Calibri"/>
      <family val="2"/>
      <scheme val="minor"/>
    </font>
    <font>
      <sz val="8"/>
      <color theme="1"/>
      <name val="Arial"/>
      <family val="2"/>
    </font>
    <font>
      <b/>
      <sz val="8"/>
      <color theme="1"/>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Calibri"/>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b/>
      <sz val="10"/>
      <color rgb="FF000000"/>
      <name val="Arial"/>
    </font>
    <font>
      <sz val="11"/>
      <color indexed="81"/>
      <name val="Tahoma"/>
      <charset val="1"/>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43" fontId="1" fillId="0" borderId="0" applyFont="0" applyFill="0" applyBorder="0" applyAlignment="0" applyProtection="0"/>
    <xf numFmtId="0" fontId="12" fillId="0" borderId="0"/>
  </cellStyleXfs>
  <cellXfs count="172">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64"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64" fontId="0" fillId="2" borderId="0" xfId="0" applyNumberFormat="1" applyFont="1" applyFill="1" applyBorder="1" applyProtection="1">
      <protection locked="0"/>
    </xf>
    <xf numFmtId="0" fontId="0" fillId="2" borderId="0" xfId="0" applyFont="1" applyFill="1" applyBorder="1"/>
    <xf numFmtId="164"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64"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64" fontId="2" fillId="3" borderId="0" xfId="0" applyNumberFormat="1" applyFont="1" applyFill="1" applyBorder="1" applyProtection="1">
      <protection locked="0"/>
    </xf>
    <xf numFmtId="164"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66" fontId="0" fillId="0" borderId="0" xfId="3" applyNumberFormat="1" applyFont="1"/>
    <xf numFmtId="166" fontId="0" fillId="0" borderId="0" xfId="3" applyNumberFormat="1" applyFont="1" applyFill="1" applyAlignment="1">
      <alignment wrapText="1"/>
    </xf>
    <xf numFmtId="166" fontId="0" fillId="0" borderId="0" xfId="3" applyNumberFormat="1" applyFont="1" applyFill="1"/>
    <xf numFmtId="0" fontId="12" fillId="0" borderId="0" xfId="4"/>
    <xf numFmtId="0" fontId="12" fillId="0" borderId="0" xfId="4" applyAlignment="1">
      <alignment horizontal="center"/>
    </xf>
    <xf numFmtId="167" fontId="12" fillId="0" borderId="0" xfId="4" applyNumberFormat="1"/>
    <xf numFmtId="2" fontId="12" fillId="0" borderId="0" xfId="4" applyNumberFormat="1"/>
    <xf numFmtId="165" fontId="12" fillId="0" borderId="0" xfId="4" applyNumberFormat="1"/>
    <xf numFmtId="0" fontId="12" fillId="0" borderId="0" xfId="4" applyNumberFormat="1"/>
    <xf numFmtId="10" fontId="12" fillId="0" borderId="0" xfId="4" applyNumberFormat="1"/>
    <xf numFmtId="10" fontId="28" fillId="0" borderId="0" xfId="4" applyNumberFormat="1" applyFont="1" applyAlignment="1">
      <alignment horizontal="center"/>
    </xf>
    <xf numFmtId="0" fontId="12" fillId="0" borderId="0" xfId="4" applyFont="1"/>
    <xf numFmtId="167"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67" fontId="12" fillId="0" borderId="0" xfId="4" applyNumberFormat="1" applyAlignment="1"/>
    <xf numFmtId="167" fontId="12" fillId="0" borderId="0" xfId="4" applyNumberFormat="1" applyAlignment="1">
      <alignment horizontal="right"/>
    </xf>
    <xf numFmtId="169"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67" fontId="12" fillId="3" borderId="0" xfId="4" applyNumberFormat="1" applyFill="1"/>
    <xf numFmtId="0" fontId="12" fillId="0" borderId="0" xfId="4" applyFill="1"/>
    <xf numFmtId="164" fontId="12" fillId="0" borderId="0" xfId="4" applyNumberFormat="1"/>
    <xf numFmtId="167" fontId="30" fillId="0" borderId="0" xfId="4" applyNumberFormat="1" applyFont="1"/>
    <xf numFmtId="165" fontId="0" fillId="0" borderId="0" xfId="0" applyNumberFormat="1"/>
    <xf numFmtId="2" fontId="12" fillId="0" borderId="0" xfId="4" applyNumberFormat="1" applyFill="1"/>
    <xf numFmtId="167" fontId="12" fillId="0" borderId="0" xfId="4" applyNumberFormat="1" applyFill="1"/>
    <xf numFmtId="167" fontId="12" fillId="0" borderId="0" xfId="4" applyNumberFormat="1" applyFill="1" applyAlignment="1">
      <alignment horizontal="right"/>
    </xf>
    <xf numFmtId="167" fontId="12" fillId="0" borderId="0" xfId="4" applyNumberFormat="1" applyFill="1" applyAlignment="1"/>
    <xf numFmtId="2" fontId="12" fillId="0" borderId="0" xfId="4" applyNumberFormat="1" applyFill="1" applyAlignment="1">
      <alignment horizontal="center"/>
    </xf>
    <xf numFmtId="165" fontId="12" fillId="0" borderId="0" xfId="4" applyNumberFormat="1" applyFill="1"/>
    <xf numFmtId="169"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67" fontId="30" fillId="0" borderId="0" xfId="4" applyNumberFormat="1" applyFont="1" applyFill="1"/>
    <xf numFmtId="167" fontId="30" fillId="0" borderId="0" xfId="4" applyNumberFormat="1" applyFont="1" applyFill="1" applyAlignment="1">
      <alignment horizontal="right"/>
    </xf>
    <xf numFmtId="169" fontId="30"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71"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65" fontId="12" fillId="17" borderId="1" xfId="4" applyNumberFormat="1" applyFont="1" applyFill="1" applyBorder="1" applyAlignment="1">
      <alignment horizontal="center" vertical="center" wrapText="1"/>
    </xf>
    <xf numFmtId="167"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65"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68"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67" fontId="12" fillId="16" borderId="1" xfId="4" applyNumberFormat="1" applyFont="1" applyFill="1" applyBorder="1" applyAlignment="1">
      <alignment horizontal="center" vertical="center"/>
    </xf>
    <xf numFmtId="165" fontId="12" fillId="16" borderId="1" xfId="4" applyNumberFormat="1" applyFont="1" applyFill="1" applyBorder="1" applyAlignment="1">
      <alignment horizontal="center" vertical="center" wrapText="1"/>
    </xf>
    <xf numFmtId="0" fontId="0" fillId="17" borderId="0" xfId="0" applyFill="1" applyAlignment="1">
      <alignment horizontal="right"/>
    </xf>
    <xf numFmtId="170"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43" fontId="0" fillId="0" borderId="0" xfId="0" applyNumberFormat="1"/>
    <xf numFmtId="0" fontId="2" fillId="20" borderId="0" xfId="0" applyFont="1" applyFill="1"/>
    <xf numFmtId="172" fontId="0" fillId="0" borderId="0" xfId="0" applyNumberFormat="1"/>
    <xf numFmtId="172" fontId="0" fillId="21" borderId="0" xfId="0" applyNumberFormat="1" applyFill="1"/>
    <xf numFmtId="173" fontId="0" fillId="21" borderId="0" xfId="0" applyNumberFormat="1" applyFill="1"/>
    <xf numFmtId="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1" fillId="0" borderId="5" xfId="0" applyFont="1" applyFill="1" applyBorder="1"/>
    <xf numFmtId="0" fontId="31" fillId="0" borderId="0" xfId="0" applyFont="1" applyFill="1"/>
    <xf numFmtId="0" fontId="34" fillId="3" borderId="0" xfId="0" applyFont="1" applyFill="1"/>
    <xf numFmtId="2" fontId="34"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67" fontId="2" fillId="3" borderId="0" xfId="0" applyNumberFormat="1" applyFont="1" applyFill="1" applyBorder="1" applyProtection="1">
      <protection locked="0"/>
    </xf>
    <xf numFmtId="0" fontId="0" fillId="23" borderId="0" xfId="0" applyFill="1" applyAlignment="1">
      <alignment horizontal="right"/>
    </xf>
    <xf numFmtId="0" fontId="35" fillId="2" borderId="0" xfId="0" applyFont="1" applyFill="1"/>
    <xf numFmtId="0" fontId="36"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xf>
    <xf numFmtId="0" fontId="28" fillId="2" borderId="0" xfId="0" applyFont="1" applyFill="1"/>
    <xf numFmtId="2" fontId="0" fillId="2" borderId="0" xfId="0" applyNumberFormat="1" applyFill="1"/>
    <xf numFmtId="167" fontId="0" fillId="0" borderId="0" xfId="0" applyNumberFormat="1"/>
    <xf numFmtId="164" fontId="0" fillId="2" borderId="0" xfId="0" applyNumberFormat="1" applyFont="1" applyFill="1" applyBorder="1" applyProtection="1"/>
    <xf numFmtId="2" fontId="0" fillId="2" borderId="0" xfId="0" applyNumberFormat="1" applyFont="1" applyFill="1" applyBorder="1" applyProtection="1"/>
    <xf numFmtId="164" fontId="0" fillId="2" borderId="0" xfId="0" applyNumberFormat="1" applyFont="1" applyFill="1" applyBorder="1" applyAlignment="1" applyProtection="1">
      <alignment horizontal="right"/>
    </xf>
    <xf numFmtId="1" fontId="0" fillId="2" borderId="0" xfId="0" applyNumberFormat="1" applyFont="1" applyFill="1" applyBorder="1" applyProtection="1"/>
    <xf numFmtId="164"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6" fillId="0" borderId="0" xfId="0" applyFont="1"/>
    <xf numFmtId="0" fontId="34"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68" fontId="12" fillId="11" borderId="1" xfId="4" applyNumberFormat="1" applyFont="1" applyFill="1" applyBorder="1" applyAlignment="1">
      <alignment horizontal="center"/>
    </xf>
  </cellXfs>
  <cellStyles count="5">
    <cellStyle name="Comma" xfId="3" builtinId="3"/>
    <cellStyle name="Hyperlink" xfId="1" builtinId="8"/>
    <cellStyle name="Normal" xfId="0" builtinId="0"/>
    <cellStyle name="Normal 2" xfId="2" xr:uid="{5847C10D-DD5E-4708-8BFB-B918008C1FC6}"/>
    <cellStyle name="Normal 3" xfId="4" xr:uid="{6BAEB65F-A9D5-4E14-B5F2-C0548D7B449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-7.1540561764134892E-10</c:v>
                </c:pt>
                <c:pt idx="1">
                  <c:v>-1.6096640862670967E-9</c:v>
                </c:pt>
                <c:pt idx="2">
                  <c:v>-2.8616253639013388E-9</c:v>
                </c:pt>
                <c:pt idx="3">
                  <c:v>-4.4712894506987505E-9</c:v>
                </c:pt>
                <c:pt idx="4">
                  <c:v>-6.4386486322384605E-9</c:v>
                </c:pt>
                <c:pt idx="5">
                  <c:v>-8.7637173736755387E-9</c:v>
                </c:pt>
                <c:pt idx="6">
                  <c:v>-1.1446483139040159E-8</c:v>
                </c:pt>
                <c:pt idx="7">
                  <c:v>-1.4486958464920849E-8</c:v>
                </c:pt>
                <c:pt idx="8">
                  <c:v>-1.7885128886781228E-8</c:v>
                </c:pt>
                <c:pt idx="9">
                  <c:v>-2.1641010798608088E-8</c:v>
                </c:pt>
                <c:pt idx="10">
                  <c:v>-2.5754586842971016E-8</c:v>
                </c:pt>
                <c:pt idx="11">
                  <c:v>-3.0225876306927619E-8</c:v>
                </c:pt>
                <c:pt idx="12">
                  <c:v>-3.5054858940153433E-8</c:v>
                </c:pt>
                <c:pt idx="13">
                  <c:v>-4.0241554994121946E-8</c:v>
                </c:pt>
                <c:pt idx="14">
                  <c:v>-4.5785945182924543E-8</c:v>
                </c:pt>
                <c:pt idx="15">
                  <c:v>-5.1688035293211017E-8</c:v>
                </c:pt>
                <c:pt idx="16">
                  <c:v>-5.7947832076002873E-8</c:v>
                </c:pt>
                <c:pt idx="17">
                  <c:v>-6.4565329746108626E-8</c:v>
                </c:pt>
                <c:pt idx="18">
                  <c:v>-7.1540533125983239E-8</c:v>
                </c:pt>
                <c:pt idx="19">
                  <c:v>-1.6096618927231078E-7</c:v>
                </c:pt>
                <c:pt idx="20">
                  <c:v>-2.8616211964578774E-7</c:v>
                </c:pt>
                <c:pt idx="21">
                  <c:v>-4.471282939703536E-7</c:v>
                </c:pt>
                <c:pt idx="22">
                  <c:v>-6.4386472869959495E-7</c:v>
                </c:pt>
                <c:pt idx="23">
                  <c:v>-8.7637141276352761E-7</c:v>
                </c:pt>
                <c:pt idx="24">
                  <c:v>-1.1446483413200596E-6</c:v>
                </c:pt>
                <c:pt idx="25">
                  <c:v>-1.4486955012900765E-6</c:v>
                </c:pt>
                <c:pt idx="26">
                  <c:v>-1.7885129031802529E-6</c:v>
                </c:pt>
                <c:pt idx="27">
                  <c:v>-2.1641005203304114E-6</c:v>
                </c:pt>
                <c:pt idx="28">
                  <c:v>-2.5754583496661624E-6</c:v>
                </c:pt>
                <c:pt idx="29">
                  <c:v>-3.0225863875907131E-6</c:v>
                </c:pt>
                <c:pt idx="30">
                  <c:v>-3.505484611662641E-6</c:v>
                </c:pt>
                <c:pt idx="31">
                  <c:v>-4.0241530259192956E-6</c:v>
                </c:pt>
                <c:pt idx="32">
                  <c:v>-4.5785915933738498E-6</c:v>
                </c:pt>
                <c:pt idx="33">
                  <c:v>-5.1688003266621224E-6</c:v>
                </c:pt>
                <c:pt idx="34">
                  <c:v>-5.794779196431423E-6</c:v>
                </c:pt>
                <c:pt idx="35">
                  <c:v>-6.4565281940218699E-6</c:v>
                </c:pt>
                <c:pt idx="36">
                  <c:v>-7.1540472919289319E-6</c:v>
                </c:pt>
                <c:pt idx="37">
                  <c:v>-1.6096590245304716E-5</c:v>
                </c:pt>
                <c:pt idx="38">
                  <c:v>-2.8616120193907092E-5</c:v>
                </c:pt>
                <c:pt idx="39">
                  <c:v>-4.4712606939006887E-5</c:v>
                </c:pt>
                <c:pt idx="40">
                  <c:v>-6.4386011681257947E-5</c:v>
                </c:pt>
                <c:pt idx="41">
                  <c:v>-8.76362869847362E-5</c:v>
                </c:pt>
                <c:pt idx="42">
                  <c:v>-1.1446337679299025E-4</c:v>
                </c:pt>
                <c:pt idx="43">
                  <c:v>-1.4486721641513526E-4</c:v>
                </c:pt>
                <c:pt idx="44">
                  <c:v>-1.7884773254467183E-4</c:v>
                </c:pt>
                <c:pt idx="45">
                  <c:v>-2.1640484327245711E-4</c:v>
                </c:pt>
                <c:pt idx="46">
                  <c:v>-2.5753845803018E-4</c:v>
                </c:pt>
                <c:pt idx="47">
                  <c:v>-3.0224847765721079E-4</c:v>
                </c:pt>
                <c:pt idx="48">
                  <c:v>-3.5053479437384709E-4</c:v>
                </c:pt>
                <c:pt idx="49">
                  <c:v>-4.0239729174774573E-4</c:v>
                </c:pt>
                <c:pt idx="50">
                  <c:v>-4.5783584478083868E-4</c:v>
                </c:pt>
                <c:pt idx="51">
                  <c:v>-5.1685031981584971E-4</c:v>
                </c:pt>
                <c:pt idx="52">
                  <c:v>-5.7944057458547552E-4</c:v>
                </c:pt>
                <c:pt idx="53">
                  <c:v>-6.4560645823450303E-4</c:v>
                </c:pt>
                <c:pt idx="54">
                  <c:v>-7.153478112704992E-4</c:v>
                </c:pt>
                <c:pt idx="55">
                  <c:v>-1.6093709144566182E-3</c:v>
                </c:pt>
                <c:pt idx="56">
                  <c:v>-2.860701622766415E-3</c:v>
                </c:pt>
                <c:pt idx="57">
                  <c:v>-4.469038594240163E-3</c:v>
                </c:pt>
                <c:pt idx="58">
                  <c:v>-6.4339948088992741E-3</c:v>
                </c:pt>
                <c:pt idx="59">
                  <c:v>-8.7550978825494848E-3</c:v>
                </c:pt>
                <c:pt idx="60">
                  <c:v>-1.1431790449202605E-2</c:v>
                </c:pt>
                <c:pt idx="61">
                  <c:v>-1.4463430611526594E-2</c:v>
                </c:pt>
                <c:pt idx="62">
                  <c:v>-1.784929245844798E-2</c:v>
                </c:pt>
                <c:pt idx="63">
                  <c:v>-2.1588566649200218E-2</c:v>
                </c:pt>
                <c:pt idx="64">
                  <c:v>-2.5680361062691313E-2</c:v>
                </c:pt>
                <c:pt idx="65">
                  <c:v>-3.0123701511140907E-2</c:v>
                </c:pt>
                <c:pt idx="66">
                  <c:v>-3.4917532516885626E-2</c:v>
                </c:pt>
                <c:pt idx="67">
                  <c:v>-4.0060718150899552E-2</c:v>
                </c:pt>
                <c:pt idx="68">
                  <c:v>-4.5552042931778926E-2</c:v>
                </c:pt>
                <c:pt idx="69">
                  <c:v>-5.1390212783628202E-2</c:v>
                </c:pt>
                <c:pt idx="70">
                  <c:v>-5.7573856051389788E-2</c:v>
                </c:pt>
                <c:pt idx="71">
                  <c:v>-6.4101524571809634E-2</c:v>
                </c:pt>
                <c:pt idx="72">
                  <c:v>-7.0971694798394935E-2</c:v>
                </c:pt>
                <c:pt idx="73">
                  <c:v>-0.15812441267282684</c:v>
                </c:pt>
                <c:pt idx="74">
                  <c:v>-0.27734277756934234</c:v>
                </c:pt>
                <c:pt idx="75">
                  <c:v>-0.42608263042875449</c:v>
                </c:pt>
                <c:pt idx="76">
                  <c:v>-0.60138915545177429</c:v>
                </c:pt>
                <c:pt idx="77">
                  <c:v>-0.8000708024989911</c:v>
                </c:pt>
                <c:pt idx="78">
                  <c:v>-1.0188601686377428</c:v>
                </c:pt>
                <c:pt idx="79">
                  <c:v>-1.2545493953247915</c:v>
                </c:pt>
                <c:pt idx="80">
                  <c:v>-1.5040939103956938</c:v>
                </c:pt>
                <c:pt idx="81">
                  <c:v>-1.7646837617168176</c:v>
                </c:pt>
                <c:pt idx="82">
                  <c:v>-2.0337856062098312</c:v>
                </c:pt>
                <c:pt idx="83">
                  <c:v>-2.3091605225536558</c:v>
                </c:pt>
                <c:pt idx="84">
                  <c:v>-2.5888635002283547</c:v>
                </c:pt>
                <c:pt idx="85">
                  <c:v>-2.8712301724424716</c:v>
                </c:pt>
                <c:pt idx="86">
                  <c:v>-3.1548555418935083</c:v>
                </c:pt>
                <c:pt idx="87">
                  <c:v>-3.4385684318650105</c:v>
                </c:pt>
                <c:pt idx="88">
                  <c:v>-3.7214043971115771</c:v>
                </c:pt>
                <c:pt idx="89">
                  <c:v>-4.0025789636704161</c:v>
                </c:pt>
                <c:pt idx="90">
                  <c:v>-4.2814623765457629</c:v>
                </c:pt>
                <c:pt idx="91">
                  <c:v>-6.8774097671122423</c:v>
                </c:pt>
                <c:pt idx="92">
                  <c:v>-9.0922166594528662</c:v>
                </c:pt>
                <c:pt idx="93">
                  <c:v>-10.995539719015531</c:v>
                </c:pt>
                <c:pt idx="94">
                  <c:v>-12.667359389848801</c:v>
                </c:pt>
                <c:pt idx="95">
                  <c:v>-14.166339028006639</c:v>
                </c:pt>
                <c:pt idx="96">
                  <c:v>-15.532820809060793</c:v>
                </c:pt>
                <c:pt idx="97">
                  <c:v>-16.794551822665348</c:v>
                </c:pt>
                <c:pt idx="98">
                  <c:v>-17.970956082272458</c:v>
                </c:pt>
                <c:pt idx="99">
                  <c:v>-19.075955668828321</c:v>
                </c:pt>
                <c:pt idx="100">
                  <c:v>-20.119792505756209</c:v>
                </c:pt>
                <c:pt idx="101">
                  <c:v>-21.110208031944182</c:v>
                </c:pt>
                <c:pt idx="102">
                  <c:v>-22.053214659232001</c:v>
                </c:pt>
                <c:pt idx="103">
                  <c:v>-22.953606243069203</c:v>
                </c:pt>
                <c:pt idx="104">
                  <c:v>-23.815300048003909</c:v>
                </c:pt>
                <c:pt idx="105">
                  <c:v>-24.641568787012172</c:v>
                </c:pt>
                <c:pt idx="106">
                  <c:v>-25.435200231376452</c:v>
                </c:pt>
                <c:pt idx="107">
                  <c:v>-26.198608635877303</c:v>
                </c:pt>
                <c:pt idx="108">
                  <c:v>-26.933913798212728</c:v>
                </c:pt>
                <c:pt idx="109">
                  <c:v>-33.078345555239778</c:v>
                </c:pt>
                <c:pt idx="110">
                  <c:v>-37.713050032950314</c:v>
                </c:pt>
                <c:pt idx="111">
                  <c:v>-41.410973439668751</c:v>
                </c:pt>
                <c:pt idx="112">
                  <c:v>-44.478193089686613</c:v>
                </c:pt>
                <c:pt idx="113">
                  <c:v>-47.094646376050669</c:v>
                </c:pt>
                <c:pt idx="114">
                  <c:v>-49.374003449384993</c:v>
                </c:pt>
                <c:pt idx="115">
                  <c:v>-51.392248098316372</c:v>
                </c:pt>
                <c:pt idx="116">
                  <c:v>-53.202514867018209</c:v>
                </c:pt>
                <c:pt idx="117">
                  <c:v>-54.843341997807954</c:v>
                </c:pt>
                <c:pt idx="118">
                  <c:v>-56.343533372109967</c:v>
                </c:pt>
                <c:pt idx="119">
                  <c:v>-57.725163758299196</c:v>
                </c:pt>
                <c:pt idx="120">
                  <c:v>-59.005513272106143</c:v>
                </c:pt>
                <c:pt idx="121">
                  <c:v>-60.198356332117449</c:v>
                </c:pt>
                <c:pt idx="122">
                  <c:v>-61.314846393634568</c:v>
                </c:pt>
                <c:pt idx="123">
                  <c:v>-62.364139076051671</c:v>
                </c:pt>
                <c:pt idx="124">
                  <c:v>-63.353841042974757</c:v>
                </c:pt>
                <c:pt idx="125">
                  <c:v>-64.290339850125491</c:v>
                </c:pt>
                <c:pt idx="126">
                  <c:v>-65.179050638742609</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-8.1219414889647373E-4</c:v>
                </c:pt>
                <c:pt idx="1">
                  <c:v>-1.2182912232702808E-3</c:v>
                </c:pt>
                <c:pt idx="2">
                  <c:v>-1.624388297554784E-3</c:v>
                </c:pt>
                <c:pt idx="3">
                  <c:v>-2.0304853717201979E-3</c:v>
                </c:pt>
                <c:pt idx="4">
                  <c:v>-2.4365824457367549E-3</c:v>
                </c:pt>
                <c:pt idx="5">
                  <c:v>-2.8426795195746839E-3</c:v>
                </c:pt>
                <c:pt idx="6">
                  <c:v>-3.2487765932042167E-3</c:v>
                </c:pt>
                <c:pt idx="7">
                  <c:v>-3.6548736665955837E-3</c:v>
                </c:pt>
                <c:pt idx="8">
                  <c:v>-4.0609707397190071E-3</c:v>
                </c:pt>
                <c:pt idx="9">
                  <c:v>-4.4670678125447198E-3</c:v>
                </c:pt>
                <c:pt idx="10">
                  <c:v>-4.8731648850429566E-3</c:v>
                </c:pt>
                <c:pt idx="11">
                  <c:v>-5.2792619571839384E-3</c:v>
                </c:pt>
                <c:pt idx="12">
                  <c:v>-5.6853590289378904E-3</c:v>
                </c:pt>
                <c:pt idx="13">
                  <c:v>-6.0914561002750845E-3</c:v>
                </c:pt>
                <c:pt idx="14">
                  <c:v>-6.4975531711656525E-3</c:v>
                </c:pt>
                <c:pt idx="15">
                  <c:v>-6.9036502415798931E-3</c:v>
                </c:pt>
                <c:pt idx="16">
                  <c:v>-7.3097473114880534E-3</c:v>
                </c:pt>
                <c:pt idx="17">
                  <c:v>-7.7158443808603245E-3</c:v>
                </c:pt>
                <c:pt idx="18">
                  <c:v>-8.1219414496669536E-3</c:v>
                </c:pt>
                <c:pt idx="19">
                  <c:v>-1.2182912100072758E-2</c:v>
                </c:pt>
                <c:pt idx="20">
                  <c:v>-1.6243882661165471E-2</c:v>
                </c:pt>
                <c:pt idx="21">
                  <c:v>-2.0304853103173884E-2</c:v>
                </c:pt>
                <c:pt idx="22">
                  <c:v>-2.4365823396327028E-2</c:v>
                </c:pt>
                <c:pt idx="23">
                  <c:v>-2.8426793510853827E-2</c:v>
                </c:pt>
                <c:pt idx="24">
                  <c:v>-3.2487763416983312E-2</c:v>
                </c:pt>
                <c:pt idx="25">
                  <c:v>-3.6548733084944426E-2</c:v>
                </c:pt>
                <c:pt idx="26">
                  <c:v>-4.0609702484966176E-2</c:v>
                </c:pt>
                <c:pt idx="27">
                  <c:v>-4.46706715872775E-2</c:v>
                </c:pt>
                <c:pt idx="28">
                  <c:v>-4.8731640362107524E-2</c:v>
                </c:pt>
                <c:pt idx="29">
                  <c:v>-5.2792608779685286E-2</c:v>
                </c:pt>
                <c:pt idx="30">
                  <c:v>-5.6853576810239642E-2</c:v>
                </c:pt>
                <c:pt idx="31">
                  <c:v>-6.0914544423999809E-2</c:v>
                </c:pt>
                <c:pt idx="32">
                  <c:v>-6.4975511591195356E-2</c:v>
                </c:pt>
                <c:pt idx="33">
                  <c:v>-6.9036478282054406E-2</c:v>
                </c:pt>
                <c:pt idx="34">
                  <c:v>-7.3097444466806771E-2</c:v>
                </c:pt>
                <c:pt idx="35">
                  <c:v>-7.7158410115681184E-2</c:v>
                </c:pt>
                <c:pt idx="36">
                  <c:v>-8.1219375198907165E-2</c:v>
                </c:pt>
                <c:pt idx="37">
                  <c:v>-0.12182898837094308</c:v>
                </c:pt>
                <c:pt idx="38">
                  <c:v>-0.16243851223048481</c:v>
                </c:pt>
                <c:pt idx="39">
                  <c:v>-0.20304791700737643</c:v>
                </c:pt>
                <c:pt idx="40">
                  <c:v>-0.243657172932045</c:v>
                </c:pt>
                <c:pt idx="41">
                  <c:v>-0.2842662502356425</c:v>
                </c:pt>
                <c:pt idx="42">
                  <c:v>-0.32487511915019113</c:v>
                </c:pt>
                <c:pt idx="43">
                  <c:v>-0.36548374990872873</c:v>
                </c:pt>
                <c:pt idx="44">
                  <c:v>-0.40609211274545459</c:v>
                </c:pt>
                <c:pt idx="45">
                  <c:v>-0.44670017789587391</c:v>
                </c:pt>
                <c:pt idx="46">
                  <c:v>-0.48730791559694198</c:v>
                </c:pt>
                <c:pt idx="47">
                  <c:v>-0.52791529608721288</c:v>
                </c:pt>
                <c:pt idx="48">
                  <c:v>-0.56852228960697659</c:v>
                </c:pt>
                <c:pt idx="49">
                  <c:v>-0.60912886639841712</c:v>
                </c:pt>
                <c:pt idx="50">
                  <c:v>-0.6497349967057362</c:v>
                </c:pt>
                <c:pt idx="51">
                  <c:v>-0.69034065077531959</c:v>
                </c:pt>
                <c:pt idx="52">
                  <c:v>-0.73094579885588573</c:v>
                </c:pt>
                <c:pt idx="53">
                  <c:v>-0.77155041119859447</c:v>
                </c:pt>
                <c:pt idx="54">
                  <c:v>-0.81215445805723885</c:v>
                </c:pt>
                <c:pt idx="55">
                  <c:v>-1.2181572830084431</c:v>
                </c:pt>
                <c:pt idx="56">
                  <c:v>-1.6240708636679955</c:v>
                </c:pt>
                <c:pt idx="57">
                  <c:v>-2.0298655195543707</c:v>
                </c:pt>
                <c:pt idx="58">
                  <c:v>-2.43551162803639</c:v>
                </c:pt>
                <c:pt idx="59">
                  <c:v>-2.8409796386636681</c:v>
                </c:pt>
                <c:pt idx="60">
                  <c:v>-3.2462400874094008</c:v>
                </c:pt>
                <c:pt idx="61">
                  <c:v>-3.6512636108082934</c:v>
                </c:pt>
                <c:pt idx="62">
                  <c:v>-4.0560209599730435</c:v>
                </c:pt>
                <c:pt idx="63">
                  <c:v>-4.4604830144724543</c:v>
                </c:pt>
                <c:pt idx="64">
                  <c:v>-4.8646207960552221</c:v>
                </c:pt>
                <c:pt idx="65">
                  <c:v>-5.2684054822031712</c:v>
                </c:pt>
                <c:pt idx="66">
                  <c:v>-5.6718084194986389</c:v>
                </c:pt>
                <c:pt idx="67">
                  <c:v>-6.0748011367907928</c:v>
                </c:pt>
                <c:pt idx="68">
                  <c:v>-6.4773553581459362</c:v>
                </c:pt>
                <c:pt idx="69">
                  <c:v>-6.8794430155681239</c:v>
                </c:pt>
                <c:pt idx="70">
                  <c:v>-7.2810362614759221</c:v>
                </c:pt>
                <c:pt idx="71">
                  <c:v>-7.6821074809220269</c:v>
                </c:pt>
                <c:pt idx="72">
                  <c:v>-8.0826293035435981</c:v>
                </c:pt>
                <c:pt idx="73">
                  <c:v>-12.051806547222679</c:v>
                </c:pt>
                <c:pt idx="74">
                  <c:v>-15.938161081145124</c:v>
                </c:pt>
                <c:pt idx="75">
                  <c:v>-19.719871918208202</c:v>
                </c:pt>
                <c:pt idx="76">
                  <c:v>-23.379272488135388</c:v>
                </c:pt>
                <c:pt idx="77">
                  <c:v>-26.903066075485295</c:v>
                </c:pt>
                <c:pt idx="78">
                  <c:v>-30.282217093247496</c:v>
                </c:pt>
                <c:pt idx="79">
                  <c:v>-33.511595389553349</c:v>
                </c:pt>
                <c:pt idx="80">
                  <c:v>-36.589462369493909</c:v>
                </c:pt>
                <c:pt idx="81">
                  <c:v>-39.516882002140314</c:v>
                </c:pt>
                <c:pt idx="82">
                  <c:v>-42.297123595540164</c:v>
                </c:pt>
                <c:pt idx="83">
                  <c:v>-44.935103188465924</c:v>
                </c:pt>
                <c:pt idx="84">
                  <c:v>-47.436891342240862</c:v>
                </c:pt>
                <c:pt idx="85">
                  <c:v>-49.809299644996258</c:v>
                </c:pt>
                <c:pt idx="86">
                  <c:v>-52.059547194381423</c:v>
                </c:pt>
                <c:pt idx="87">
                  <c:v>-54.195001397400823</c:v>
                </c:pt>
                <c:pt idx="88">
                  <c:v>-56.222983778744485</c:v>
                </c:pt>
                <c:pt idx="89">
                  <c:v>-58.15063016515829</c:v>
                </c:pt>
                <c:pt idx="90">
                  <c:v>-59.984794764743178</c:v>
                </c:pt>
                <c:pt idx="91">
                  <c:v>-74.427592951032651</c:v>
                </c:pt>
                <c:pt idx="92">
                  <c:v>-84.445916786460188</c:v>
                </c:pt>
                <c:pt idx="93">
                  <c:v>-92.128858319778985</c:v>
                </c:pt>
                <c:pt idx="94">
                  <c:v>-98.42272177577992</c:v>
                </c:pt>
                <c:pt idx="95">
                  <c:v>-103.79521772114892</c:v>
                </c:pt>
                <c:pt idx="96">
                  <c:v>-108.50021941239457</c:v>
                </c:pt>
                <c:pt idx="97">
                  <c:v>-112.68811413092719</c:v>
                </c:pt>
                <c:pt idx="98">
                  <c:v>-116.45548700725494</c:v>
                </c:pt>
                <c:pt idx="99">
                  <c:v>-119.86910925412501</c:v>
                </c:pt>
                <c:pt idx="100">
                  <c:v>-122.97820680084594</c:v>
                </c:pt>
                <c:pt idx="101">
                  <c:v>-125.82104315069419</c:v>
                </c:pt>
                <c:pt idx="102">
                  <c:v>-128.42860528331741</c:v>
                </c:pt>
                <c:pt idx="103">
                  <c:v>-130.82675527211063</c:v>
                </c:pt>
                <c:pt idx="104">
                  <c:v>-133.03754303784814</c:v>
                </c:pt>
                <c:pt idx="105">
                  <c:v>-135.0800471930788</c:v>
                </c:pt>
                <c:pt idx="106">
                  <c:v>-136.97094268346345</c:v>
                </c:pt>
                <c:pt idx="107">
                  <c:v>-138.72490510976138</c:v>
                </c:pt>
                <c:pt idx="108">
                  <c:v>-140.35491364899903</c:v>
                </c:pt>
                <c:pt idx="109">
                  <c:v>-151.85213471586505</c:v>
                </c:pt>
                <c:pt idx="110">
                  <c:v>-158.35192678754066</c:v>
                </c:pt>
                <c:pt idx="111">
                  <c:v>-162.46727833806059</c:v>
                </c:pt>
                <c:pt idx="112">
                  <c:v>-165.28863985151642</c:v>
                </c:pt>
                <c:pt idx="113">
                  <c:v>-167.33702763602309</c:v>
                </c:pt>
                <c:pt idx="114">
                  <c:v>-168.88924512681166</c:v>
                </c:pt>
                <c:pt idx="115">
                  <c:v>-170.10491890613065</c:v>
                </c:pt>
                <c:pt idx="116">
                  <c:v>-171.0822106073193</c:v>
                </c:pt>
                <c:pt idx="117">
                  <c:v>-171.88466332587129</c:v>
                </c:pt>
                <c:pt idx="118">
                  <c:v>-172.55516582068418</c:v>
                </c:pt>
                <c:pt idx="119">
                  <c:v>-173.12368556295579</c:v>
                </c:pt>
                <c:pt idx="120">
                  <c:v>-173.61177986032169</c:v>
                </c:pt>
                <c:pt idx="121">
                  <c:v>-174.03534529457085</c:v>
                </c:pt>
                <c:pt idx="122">
                  <c:v>-174.4063571893287</c:v>
                </c:pt>
                <c:pt idx="123">
                  <c:v>-174.73400608159542</c:v>
                </c:pt>
                <c:pt idx="124">
                  <c:v>-175.02546130331621</c:v>
                </c:pt>
                <c:pt idx="125">
                  <c:v>-175.28639678062743</c:v>
                </c:pt>
                <c:pt idx="126">
                  <c:v>-175.52136104916551</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-2.0997466390520008</c:v>
                </c:pt>
                <c:pt idx="1">
                  <c:v>-2.0997457097946133</c:v>
                </c:pt>
                <c:pt idx="2">
                  <c:v>-2.0997444088356758</c:v>
                </c:pt>
                <c:pt idx="3">
                  <c:v>-2.0997427361765308</c:v>
                </c:pt>
                <c:pt idx="4">
                  <c:v>-2.0997406918190791</c:v>
                </c:pt>
                <c:pt idx="5">
                  <c:v>-2.0997382757655312</c:v>
                </c:pt>
                <c:pt idx="6">
                  <c:v>-2.0997354880185681</c:v>
                </c:pt>
                <c:pt idx="7">
                  <c:v>-2.0997323285810992</c:v>
                </c:pt>
                <c:pt idx="8">
                  <c:v>-2.0997287974566694</c:v>
                </c:pt>
                <c:pt idx="9">
                  <c:v>-2.0997248946489071</c:v>
                </c:pt>
                <c:pt idx="10">
                  <c:v>-2.0997206201622212</c:v>
                </c:pt>
                <c:pt idx="11">
                  <c:v>-2.0997159740011124</c:v>
                </c:pt>
                <c:pt idx="12">
                  <c:v>-2.0997109561708611</c:v>
                </c:pt>
                <c:pt idx="13">
                  <c:v>-2.0997055666766791</c:v>
                </c:pt>
                <c:pt idx="14">
                  <c:v>-2.0996998055245411</c:v>
                </c:pt>
                <c:pt idx="15">
                  <c:v>-2.0996936727205053</c:v>
                </c:pt>
                <c:pt idx="16">
                  <c:v>-2.0996871682715379</c:v>
                </c:pt>
                <c:pt idx="17">
                  <c:v>-2.0996802921843964</c:v>
                </c:pt>
                <c:pt idx="18">
                  <c:v>-2.0996730444667442</c:v>
                </c:pt>
                <c:pt idx="19">
                  <c:v>-2.0995801295368208</c:v>
                </c:pt>
                <c:pt idx="20">
                  <c:v>-2.0994500627442854</c:v>
                </c:pt>
                <c:pt idx="21">
                  <c:v>-2.0992828581940688</c:v>
                </c:pt>
                <c:pt idx="22">
                  <c:v>-2.0990785340143461</c:v>
                </c:pt>
                <c:pt idx="23">
                  <c:v>-2.0988371123514296</c:v>
                </c:pt>
                <c:pt idx="24">
                  <c:v>-2.0985586193637298</c:v>
                </c:pt>
                <c:pt idx="25">
                  <c:v>-2.0982430852148553</c:v>
                </c:pt>
                <c:pt idx="26">
                  <c:v>-2.0978905440650535</c:v>
                </c:pt>
                <c:pt idx="27">
                  <c:v>-2.0975010340615059</c:v>
                </c:pt>
                <c:pt idx="28">
                  <c:v>-2.0970745973286204</c:v>
                </c:pt>
                <c:pt idx="29">
                  <c:v>-2.0966112799557135</c:v>
                </c:pt>
                <c:pt idx="30">
                  <c:v>-2.0961111319846797</c:v>
                </c:pt>
                <c:pt idx="31">
                  <c:v>-2.095574207396349</c:v>
                </c:pt>
                <c:pt idx="32">
                  <c:v>-2.0950005640953302</c:v>
                </c:pt>
                <c:pt idx="33">
                  <c:v>-2.0943902638947867</c:v>
                </c:pt>
                <c:pt idx="34">
                  <c:v>-2.0937433724988579</c:v>
                </c:pt>
                <c:pt idx="35">
                  <c:v>-2.0930599594853607</c:v>
                </c:pt>
                <c:pt idx="36">
                  <c:v>-2.0923400982860345</c:v>
                </c:pt>
                <c:pt idx="37">
                  <c:v>-2.0831557040316158</c:v>
                </c:pt>
                <c:pt idx="38">
                  <c:v>-2.0704349902000505</c:v>
                </c:pt>
                <c:pt idx="39">
                  <c:v>-2.0543109486607318</c:v>
                </c:pt>
                <c:pt idx="40">
                  <c:v>-2.0349484700026803</c:v>
                </c:pt>
                <c:pt idx="41">
                  <c:v>-2.0125401894040307</c:v>
                </c:pt>
                <c:pt idx="42">
                  <c:v>-1.9873018342145568</c:v>
                </c:pt>
                <c:pt idx="43">
                  <c:v>-1.9594672752596118</c:v>
                </c:pt>
                <c:pt idx="44">
                  <c:v>-1.9292834808857224</c:v>
                </c:pt>
                <c:pt idx="45">
                  <c:v>-1.8970055580405516</c:v>
                </c:pt>
                <c:pt idx="46">
                  <c:v>-1.862892040716317</c:v>
                </c:pt>
                <c:pt idx="47">
                  <c:v>-1.8272005558922779</c:v>
                </c:pt>
                <c:pt idx="48">
                  <c:v>-1.7901839637577694</c:v>
                </c:pt>
                <c:pt idx="49">
                  <c:v>-1.7520870353195215</c:v>
                </c:pt>
                <c:pt idx="50">
                  <c:v>-1.7131436988190887</c:v>
                </c:pt>
                <c:pt idx="51">
                  <c:v>-1.6735748584488255</c:v>
                </c:pt>
                <c:pt idx="52">
                  <c:v>-1.6335867657134648</c:v>
                </c:pt>
                <c:pt idx="53">
                  <c:v>-1.5933699059316448</c:v>
                </c:pt>
                <c:pt idx="54">
                  <c:v>-1.5530983497672319</c:v>
                </c:pt>
                <c:pt idx="55">
                  <c:v>-1.1742887995502285</c:v>
                </c:pt>
                <c:pt idx="56">
                  <c:v>-0.87719045314289845</c:v>
                </c:pt>
                <c:pt idx="57">
                  <c:v>-0.66361427205793599</c:v>
                </c:pt>
                <c:pt idx="58">
                  <c:v>-0.51328008136067671</c:v>
                </c:pt>
                <c:pt idx="59">
                  <c:v>-0.4069353522717466</c:v>
                </c:pt>
                <c:pt idx="60">
                  <c:v>-0.33066592009565826</c:v>
                </c:pt>
                <c:pt idx="61">
                  <c:v>-0.27513520391182561</c:v>
                </c:pt>
                <c:pt idx="62">
                  <c:v>-0.23417368885816431</c:v>
                </c:pt>
                <c:pt idx="63">
                  <c:v>-0.20367654765502163</c:v>
                </c:pt>
                <c:pt idx="64">
                  <c:v>-0.18086962106262225</c:v>
                </c:pt>
                <c:pt idx="65">
                  <c:v>-0.16384253384634082</c:v>
                </c:pt>
                <c:pt idx="66">
                  <c:v>-0.15125400589797205</c:v>
                </c:pt>
                <c:pt idx="67">
                  <c:v>-0.14214440855854082</c:v>
                </c:pt>
                <c:pt idx="68">
                  <c:v>-0.13581481942203366</c:v>
                </c:pt>
                <c:pt idx="69">
                  <c:v>-0.13174765206480293</c:v>
                </c:pt>
                <c:pt idx="70">
                  <c:v>-0.12955364152455223</c:v>
                </c:pt>
                <c:pt idx="71">
                  <c:v>-0.12893581060492837</c:v>
                </c:pt>
                <c:pt idx="72">
                  <c:v>-0.1296645635239593</c:v>
                </c:pt>
                <c:pt idx="73">
                  <c:v>-0.18462939447723115</c:v>
                </c:pt>
                <c:pt idx="74">
                  <c:v>-0.29233620656027659</c:v>
                </c:pt>
                <c:pt idx="75">
                  <c:v>-0.43570363110955734</c:v>
                </c:pt>
                <c:pt idx="76">
                  <c:v>-0.60807995372728918</c:v>
                </c:pt>
                <c:pt idx="77">
                  <c:v>-0.80499073055635373</c:v>
                </c:pt>
                <c:pt idx="78">
                  <c:v>-1.0226290983172839</c:v>
                </c:pt>
                <c:pt idx="79">
                  <c:v>-1.2575284590412068</c:v>
                </c:pt>
                <c:pt idx="80">
                  <c:v>-1.5065076152535555</c:v>
                </c:pt>
                <c:pt idx="81">
                  <c:v>-1.7666789648781303</c:v>
                </c:pt>
                <c:pt idx="82">
                  <c:v>-2.0354623905031248</c:v>
                </c:pt>
                <c:pt idx="83">
                  <c:v>-2.3105894339022917</c:v>
                </c:pt>
                <c:pt idx="84">
                  <c:v>-2.5900956894979394</c:v>
                </c:pt>
                <c:pt idx="85">
                  <c:v>-2.8723036289714035</c:v>
                </c:pt>
                <c:pt idx="86">
                  <c:v>-3.1557990690890403</c:v>
                </c:pt>
                <c:pt idx="87">
                  <c:v>-3.4394042643792577</c:v>
                </c:pt>
                <c:pt idx="88">
                  <c:v>-3.7221499717582907</c:v>
                </c:pt>
                <c:pt idx="89">
                  <c:v>-4.0032481469049515</c:v>
                </c:pt>
                <c:pt idx="90">
                  <c:v>-4.2820663335455658</c:v>
                </c:pt>
                <c:pt idx="91">
                  <c:v>-6.8776782361779238</c:v>
                </c:pt>
                <c:pt idx="92">
                  <c:v>-9.0923676819140571</c:v>
                </c:pt>
                <c:pt idx="93">
                  <c:v>-10.995636375941947</c:v>
                </c:pt>
                <c:pt idx="94">
                  <c:v>-12.667426513676832</c:v>
                </c:pt>
                <c:pt idx="95">
                  <c:v>-14.166388343898504</c:v>
                </c:pt>
                <c:pt idx="96">
                  <c:v>-15.532858566752386</c:v>
                </c:pt>
                <c:pt idx="97">
                  <c:v>-16.794581656017893</c:v>
                </c:pt>
                <c:pt idx="98">
                  <c:v>-17.970980247354593</c:v>
                </c:pt>
                <c:pt idx="99">
                  <c:v>-19.075975640011215</c:v>
                </c:pt>
                <c:pt idx="100">
                  <c:v>-20.119809287123353</c:v>
                </c:pt>
                <c:pt idx="101">
                  <c:v>-21.110222330877754</c:v>
                </c:pt>
                <c:pt idx="102">
                  <c:v>-22.053226988426392</c:v>
                </c:pt>
                <c:pt idx="103">
                  <c:v>-22.953616983175674</c:v>
                </c:pt>
                <c:pt idx="104">
                  <c:v>-23.81530948755659</c:v>
                </c:pt>
                <c:pt idx="105">
                  <c:v>-24.641577148696435</c:v>
                </c:pt>
                <c:pt idx="106">
                  <c:v>-25.435207689795625</c:v>
                </c:pt>
                <c:pt idx="107">
                  <c:v>-26.198615329862594</c:v>
                </c:pt>
                <c:pt idx="108">
                  <c:v>-26.933919839536404</c:v>
                </c:pt>
                <c:pt idx="109">
                  <c:v>-33.078348240276874</c:v>
                </c:pt>
                <c:pt idx="110">
                  <c:v>-37.713051543284493</c:v>
                </c:pt>
                <c:pt idx="111">
                  <c:v>-41.410974406282875</c:v>
                </c:pt>
                <c:pt idx="112">
                  <c:v>-44.478193760946581</c:v>
                </c:pt>
                <c:pt idx="113">
                  <c:v>-47.094646869221293</c:v>
                </c:pt>
                <c:pt idx="114">
                  <c:v>-49.37400382696876</c:v>
                </c:pt>
                <c:pt idx="115">
                  <c:v>-51.392248396654146</c:v>
                </c:pt>
                <c:pt idx="116">
                  <c:v>-53.202515108671818</c:v>
                </c:pt>
                <c:pt idx="117">
                  <c:v>-54.843342197521686</c:v>
                </c:pt>
                <c:pt idx="118">
                  <c:v>-56.343533539924934</c:v>
                </c:pt>
                <c:pt idx="119">
                  <c:v>-57.725163901289498</c:v>
                </c:pt>
                <c:pt idx="120">
                  <c:v>-59.005513395398822</c:v>
                </c:pt>
                <c:pt idx="121">
                  <c:v>-60.198356439519031</c:v>
                </c:pt>
                <c:pt idx="122">
                  <c:v>-61.314846488030518</c:v>
                </c:pt>
                <c:pt idx="123">
                  <c:v>-62.364139159668909</c:v>
                </c:pt>
                <c:pt idx="124">
                  <c:v>-63.353841117559227</c:v>
                </c:pt>
                <c:pt idx="125">
                  <c:v>-64.29033991706558</c:v>
                </c:pt>
                <c:pt idx="126">
                  <c:v>-65.179050699156008</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7.413262378095609E-3</c:v>
                </c:pt>
                <c:pt idx="1">
                  <c:v>1.1119888048534449E-2</c:v>
                </c:pt>
                <c:pt idx="2">
                  <c:v>1.4826507096654114E-2</c:v>
                </c:pt>
                <c:pt idx="3">
                  <c:v>1.8533117315033033E-2</c:v>
                </c:pt>
                <c:pt idx="4">
                  <c:v>2.2239716496266031E-2</c:v>
                </c:pt>
                <c:pt idx="5">
                  <c:v>2.5946302432968946E-2</c:v>
                </c:pt>
                <c:pt idx="6">
                  <c:v>2.9652872917782382E-2</c:v>
                </c:pt>
                <c:pt idx="7">
                  <c:v>3.335942574337103E-2</c:v>
                </c:pt>
                <c:pt idx="8">
                  <c:v>3.7065958702437368E-2</c:v>
                </c:pt>
                <c:pt idx="9">
                  <c:v>4.0772469587715278E-2</c:v>
                </c:pt>
                <c:pt idx="10">
                  <c:v>4.4478956191981701E-2</c:v>
                </c:pt>
                <c:pt idx="11">
                  <c:v>4.8185416308056256E-2</c:v>
                </c:pt>
                <c:pt idx="12">
                  <c:v>5.1891847728810357E-2</c:v>
                </c:pt>
                <c:pt idx="13">
                  <c:v>5.559824824716144E-2</c:v>
                </c:pt>
                <c:pt idx="14">
                  <c:v>5.9304615656089577E-2</c:v>
                </c:pt>
                <c:pt idx="15">
                  <c:v>6.3010947748630239E-2</c:v>
                </c:pt>
                <c:pt idx="16">
                  <c:v>6.6717242317890141E-2</c:v>
                </c:pt>
                <c:pt idx="17">
                  <c:v>7.0423497157033124E-2</c:v>
                </c:pt>
                <c:pt idx="18">
                  <c:v>7.4129710059307435E-2</c:v>
                </c:pt>
                <c:pt idx="19">
                  <c:v>0.11118904712750062</c:v>
                </c:pt>
                <c:pt idx="20">
                  <c:v>0.14824176376863907</c:v>
                </c:pt>
                <c:pt idx="21">
                  <c:v>0.18528565505107131</c:v>
                </c:pt>
                <c:pt idx="22">
                  <c:v>0.22231851765137908</c:v>
                </c:pt>
                <c:pt idx="23">
                  <c:v>0.25933815025525714</c:v>
                </c:pt>
                <c:pt idx="24">
                  <c:v>0.29634235395761221</c:v>
                </c:pt>
                <c:pt idx="25">
                  <c:v>0.33332893266171837</c:v>
                </c:pt>
                <c:pt idx="26">
                  <c:v>0.37029569347732139</c:v>
                </c:pt>
                <c:pt idx="27">
                  <c:v>0.40724044711739671</c:v>
                </c:pt>
                <c:pt idx="28">
                  <c:v>0.44416100829365734</c:v>
                </c:pt>
                <c:pt idx="29">
                  <c:v>0.48105519611034941</c:v>
                </c:pt>
                <c:pt idx="30">
                  <c:v>0.51792083445648029</c:v>
                </c:pt>
                <c:pt idx="31">
                  <c:v>0.55475575239610631</c:v>
                </c:pt>
                <c:pt idx="32">
                  <c:v>0.5915577845566462</c:v>
                </c:pt>
                <c:pt idx="33">
                  <c:v>0.62832477151509536</c:v>
                </c:pt>
                <c:pt idx="34">
                  <c:v>0.66505456018184117</c:v>
                </c:pt>
                <c:pt idx="35">
                  <c:v>0.70174500418213515</c:v>
                </c:pt>
                <c:pt idx="36">
                  <c:v>0.73839396423490433</c:v>
                </c:pt>
                <c:pt idx="37">
                  <c:v>1.1021371217774458</c:v>
                </c:pt>
                <c:pt idx="38">
                  <c:v>1.4594454142718225</c:v>
                </c:pt>
                <c:pt idx="39">
                  <c:v>1.8083522846685023</c:v>
                </c:pt>
                <c:pt idx="40">
                  <c:v>2.1470354441775275</c:v>
                </c:pt>
                <c:pt idx="41">
                  <c:v>2.4738427947775801</c:v>
                </c:pt>
                <c:pt idx="42">
                  <c:v>2.7873125429857084</c:v>
                </c:pt>
                <c:pt idx="43">
                  <c:v>3.0861871762054891</c:v>
                </c:pt>
                <c:pt idx="44">
                  <c:v>3.3694212933256367</c:v>
                </c:pt>
                <c:pt idx="45">
                  <c:v>3.6361835693627631</c:v>
                </c:pt>
                <c:pt idx="46">
                  <c:v>3.8858533721999811</c:v>
                </c:pt>
                <c:pt idx="47">
                  <c:v>4.118012727207093</c:v>
                </c:pt>
                <c:pt idx="48">
                  <c:v>4.3324344390368754</c:v>
                </c:pt>
                <c:pt idx="49">
                  <c:v>4.529067231603956</c:v>
                </c:pt>
                <c:pt idx="50">
                  <c:v>4.7080187642886857</c:v>
                </c:pt>
                <c:pt idx="51">
                  <c:v>4.8695373349694497</c:v>
                </c:pt>
                <c:pt idx="52">
                  <c:v>5.0139930001472628</c:v>
                </c:pt>
                <c:pt idx="53">
                  <c:v>5.1418587408497158</c:v>
                </c:pt>
                <c:pt idx="54">
                  <c:v>5.2536921907444718</c:v>
                </c:pt>
                <c:pt idx="55">
                  <c:v>5.6430246928466312</c:v>
                </c:pt>
                <c:pt idx="56">
                  <c:v>5.1872792693102054</c:v>
                </c:pt>
                <c:pt idx="57">
                  <c:v>4.382469659814058</c:v>
                </c:pt>
                <c:pt idx="58">
                  <c:v>3.4771937883299069</c:v>
                </c:pt>
                <c:pt idx="59">
                  <c:v>2.5755145875598333</c:v>
                </c:pt>
                <c:pt idx="60">
                  <c:v>1.7148972076325908</c:v>
                </c:pt>
                <c:pt idx="61">
                  <c:v>0.90491625769456929</c:v>
                </c:pt>
                <c:pt idx="62">
                  <c:v>0.14428392759618891</c:v>
                </c:pt>
                <c:pt idx="63">
                  <c:v>-0.57199680125422248</c:v>
                </c:pt>
                <c:pt idx="64">
                  <c:v>-1.2497271388524216</c:v>
                </c:pt>
                <c:pt idx="65">
                  <c:v>-1.8944024828673633</c:v>
                </c:pt>
                <c:pt idx="66">
                  <c:v>-2.5108513879368086</c:v>
                </c:pt>
                <c:pt idx="67">
                  <c:v>-3.1031782797165492</c:v>
                </c:pt>
                <c:pt idx="68">
                  <c:v>-3.6748204681011214</c:v>
                </c:pt>
                <c:pt idx="69">
                  <c:v>-4.2286397387080852</c:v>
                </c:pt>
                <c:pt idx="70">
                  <c:v>-4.7670162031890193</c:v>
                </c:pt>
                <c:pt idx="71">
                  <c:v>-5.2919325459667128</c:v>
                </c:pt>
                <c:pt idx="72">
                  <c:v>-5.8050454783270098</c:v>
                </c:pt>
                <c:pt idx="73">
                  <c:v>-10.509242319630966</c:v>
                </c:pt>
                <c:pt idx="74">
                  <c:v>-14.774752217887928</c:v>
                </c:pt>
                <c:pt idx="75">
                  <c:v>-18.786723148129255</c:v>
                </c:pt>
                <c:pt idx="76">
                  <c:v>-22.600547787828354</c:v>
                </c:pt>
                <c:pt idx="77">
                  <c:v>-26.235017556485811</c:v>
                </c:pt>
                <c:pt idx="78">
                  <c:v>-29.697350349952121</c:v>
                </c:pt>
                <c:pt idx="79">
                  <c:v>-32.991516023475846</c:v>
                </c:pt>
                <c:pt idx="80">
                  <c:v>-36.121263508029607</c:v>
                </c:pt>
                <c:pt idx="81">
                  <c:v>-39.091160918275165</c:v>
                </c:pt>
                <c:pt idx="82">
                  <c:v>-41.906819458464341</c:v>
                </c:pt>
                <c:pt idx="83">
                  <c:v>-44.574779468707966</c:v>
                </c:pt>
                <c:pt idx="84">
                  <c:v>-47.102273358359184</c:v>
                </c:pt>
                <c:pt idx="85">
                  <c:v>-49.496965674109369</c:v>
                </c:pt>
                <c:pt idx="86">
                  <c:v>-51.766715792581586</c:v>
                </c:pt>
                <c:pt idx="87">
                  <c:v>-53.919381092881274</c:v>
                </c:pt>
                <c:pt idx="88">
                  <c:v>-55.962664410867269</c:v>
                </c:pt>
                <c:pt idx="89">
                  <c:v>-57.904002754036384</c:v>
                </c:pt>
                <c:pt idx="90">
                  <c:v>-59.750491373035771</c:v>
                </c:pt>
                <c:pt idx="91">
                  <c:v>-74.271365483024312</c:v>
                </c:pt>
                <c:pt idx="92">
                  <c:v>-84.328739567181401</c:v>
                </c:pt>
                <c:pt idx="93">
                  <c:v>-92.03511409349781</c:v>
                </c:pt>
                <c:pt idx="94">
                  <c:v>-98.344600477724697</c:v>
                </c:pt>
                <c:pt idx="95">
                  <c:v>-103.72825603510026</c:v>
                </c:pt>
                <c:pt idx="96">
                  <c:v>-108.44162761144152</c:v>
                </c:pt>
                <c:pt idx="97">
                  <c:v>-112.63603233161436</c:v>
                </c:pt>
                <c:pt idx="98">
                  <c:v>-116.40861326010734</c:v>
                </c:pt>
                <c:pt idx="99">
                  <c:v>-119.82649667077911</c:v>
                </c:pt>
                <c:pt idx="100">
                  <c:v>-122.93914520619531</c:v>
                </c:pt>
                <c:pt idx="101">
                  <c:v>-125.78498625105094</c:v>
                </c:pt>
                <c:pt idx="102">
                  <c:v>-128.39512384479221</c:v>
                </c:pt>
                <c:pt idx="103">
                  <c:v>-130.7955059056078</c:v>
                </c:pt>
                <c:pt idx="104">
                  <c:v>-133.00824673842973</c:v>
                </c:pt>
                <c:pt idx="105">
                  <c:v>-135.05247419109924</c:v>
                </c:pt>
                <c:pt idx="106">
                  <c:v>-136.94490150361602</c:v>
                </c:pt>
                <c:pt idx="107">
                  <c:v>-138.70023450925817</c:v>
                </c:pt>
                <c:pt idx="108">
                  <c:v>-140.33147657116527</c:v>
                </c:pt>
                <c:pt idx="109">
                  <c:v>-151.83650997209168</c:v>
                </c:pt>
                <c:pt idx="110">
                  <c:v>-158.34020822309103</c:v>
                </c:pt>
                <c:pt idx="111">
                  <c:v>-162.45790348404972</c:v>
                </c:pt>
                <c:pt idx="112">
                  <c:v>-165.28082747206446</c:v>
                </c:pt>
                <c:pt idx="113">
                  <c:v>-167.33033131020508</c:v>
                </c:pt>
                <c:pt idx="114">
                  <c:v>-168.88338584139524</c:v>
                </c:pt>
                <c:pt idx="115">
                  <c:v>-170.09971065222868</c:v>
                </c:pt>
                <c:pt idx="116">
                  <c:v>-171.07752317867977</c:v>
                </c:pt>
                <c:pt idx="117">
                  <c:v>-171.88040202702211</c:v>
                </c:pt>
                <c:pt idx="118">
                  <c:v>-172.55125963001254</c:v>
                </c:pt>
                <c:pt idx="119">
                  <c:v>-173.12007984844661</c:v>
                </c:pt>
                <c:pt idx="120">
                  <c:v>-173.60843169681718</c:v>
                </c:pt>
                <c:pt idx="121">
                  <c:v>-174.03222034194275</c:v>
                </c:pt>
                <c:pt idx="122">
                  <c:v>-174.40342754622154</c:v>
                </c:pt>
                <c:pt idx="123">
                  <c:v>-174.73124877042144</c:v>
                </c:pt>
                <c:pt idx="124">
                  <c:v>-175.02285717608504</c:v>
                </c:pt>
                <c:pt idx="125">
                  <c:v>-175.28392971271515</c:v>
                </c:pt>
                <c:pt idx="126">
                  <c:v>-175.51901733464146</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93.262369494096049</c:v>
                </c:pt>
                <c:pt idx="1">
                  <c:v>89.7842773661867</c:v>
                </c:pt>
                <c:pt idx="2">
                  <c:v>87.300909346183019</c:v>
                </c:pt>
                <c:pt idx="3">
                  <c:v>85.369853798606755</c:v>
                </c:pt>
                <c:pt idx="4">
                  <c:v>83.790109642595581</c:v>
                </c:pt>
                <c:pt idx="5">
                  <c:v>82.453510037181829</c:v>
                </c:pt>
                <c:pt idx="6">
                  <c:v>81.295182407575112</c:v>
                </c:pt>
                <c:pt idx="7">
                  <c:v>80.273162640255734</c:v>
                </c:pt>
                <c:pt idx="8">
                  <c:v>79.358744340674662</c:v>
                </c:pt>
                <c:pt idx="9">
                  <c:v>78.531425985234819</c:v>
                </c:pt>
                <c:pt idx="10">
                  <c:v>77.776055945866133</c:v>
                </c:pt>
                <c:pt idx="11">
                  <c:v>77.081119952849789</c:v>
                </c:pt>
                <c:pt idx="12">
                  <c:v>76.437663048466419</c:v>
                </c:pt>
                <c:pt idx="13">
                  <c:v>75.838583392748276</c:v>
                </c:pt>
                <c:pt idx="14">
                  <c:v>75.278153934299127</c:v>
                </c:pt>
                <c:pt idx="15">
                  <c:v>74.751689063438363</c:v>
                </c:pt>
                <c:pt idx="16">
                  <c:v>74.255306527251548</c:v>
                </c:pt>
                <c:pt idx="17">
                  <c:v>73.7857537039948</c:v>
                </c:pt>
                <c:pt idx="18">
                  <c:v>73.340278430040584</c:v>
                </c:pt>
                <c:pt idx="19">
                  <c:v>69.818466369728029</c:v>
                </c:pt>
                <c:pt idx="20">
                  <c:v>67.319244859700333</c:v>
                </c:pt>
                <c:pt idx="21">
                  <c:v>65.380342737733613</c:v>
                </c:pt>
                <c:pt idx="22">
                  <c:v>63.795811529803444</c:v>
                </c:pt>
                <c:pt idx="23">
                  <c:v>62.455782508882315</c:v>
                </c:pt>
                <c:pt idx="24">
                  <c:v>61.294670835925849</c:v>
                </c:pt>
                <c:pt idx="25">
                  <c:v>60.270171839785569</c:v>
                </c:pt>
                <c:pt idx="26">
                  <c:v>59.353399755183844</c:v>
                </c:pt>
                <c:pt idx="27">
                  <c:v>58.523751383972794</c:v>
                </c:pt>
                <c:pt idx="28">
                  <c:v>57.766014054745099</c:v>
                </c:pt>
                <c:pt idx="29">
                  <c:v>57.068635127550927</c:v>
                </c:pt>
                <c:pt idx="30">
                  <c:v>56.422634616252637</c:v>
                </c:pt>
                <c:pt idx="31">
                  <c:v>55.820893859356779</c:v>
                </c:pt>
                <c:pt idx="32">
                  <c:v>55.257674226373119</c:v>
                </c:pt>
                <c:pt idx="33">
                  <c:v>54.728281988428002</c:v>
                </c:pt>
                <c:pt idx="34">
                  <c:v>54.228829123273513</c:v>
                </c:pt>
                <c:pt idx="35">
                  <c:v>53.75605887703837</c:v>
                </c:pt>
                <c:pt idx="36">
                  <c:v>53.307216121224393</c:v>
                </c:pt>
                <c:pt idx="37">
                  <c:v>49.743232749682534</c:v>
                </c:pt>
                <c:pt idx="38">
                  <c:v>47.186490201423339</c:v>
                </c:pt>
                <c:pt idx="39">
                  <c:v>45.175510896670446</c:v>
                </c:pt>
                <c:pt idx="40">
                  <c:v>43.505495523117119</c:v>
                </c:pt>
                <c:pt idx="41">
                  <c:v>42.067909747357049</c:v>
                </c:pt>
                <c:pt idx="42">
                  <c:v>40.798613447098049</c:v>
                </c:pt>
                <c:pt idx="43">
                  <c:v>39.656800825910139</c:v>
                </c:pt>
                <c:pt idx="44">
                  <c:v>38.615091938323062</c:v>
                </c:pt>
                <c:pt idx="45">
                  <c:v>37.654357075038902</c:v>
                </c:pt>
                <c:pt idx="46">
                  <c:v>36.760793487154437</c:v>
                </c:pt>
                <c:pt idx="47">
                  <c:v>35.92417156030335</c:v>
                </c:pt>
                <c:pt idx="48">
                  <c:v>35.136731456029182</c:v>
                </c:pt>
                <c:pt idx="49">
                  <c:v>34.392462270551675</c:v>
                </c:pt>
                <c:pt idx="50">
                  <c:v>33.686616638780208</c:v>
                </c:pt>
                <c:pt idx="51">
                  <c:v>33.015375807285132</c:v>
                </c:pt>
                <c:pt idx="52">
                  <c:v>32.375613893687202</c:v>
                </c:pt>
                <c:pt idx="53">
                  <c:v>31.764729215991746</c:v>
                </c:pt>
                <c:pt idx="54">
                  <c:v>31.180521935888713</c:v>
                </c:pt>
                <c:pt idx="55">
                  <c:v>26.481442560443675</c:v>
                </c:pt>
                <c:pt idx="56">
                  <c:v>23.227222794527691</c:v>
                </c:pt>
                <c:pt idx="57">
                  <c:v>20.871791947749038</c:v>
                </c:pt>
                <c:pt idx="58">
                  <c:v>19.096046054253229</c:v>
                </c:pt>
                <c:pt idx="59">
                  <c:v>17.702810808465706</c:v>
                </c:pt>
                <c:pt idx="60">
                  <c:v>16.568137546221614</c:v>
                </c:pt>
                <c:pt idx="61">
                  <c:v>15.613036740338757</c:v>
                </c:pt>
                <c:pt idx="62">
                  <c:v>14.786376184625798</c:v>
                </c:pt>
                <c:pt idx="63">
                  <c:v>14.054447894991217</c:v>
                </c:pt>
                <c:pt idx="64">
                  <c:v>13.394571200464297</c:v>
                </c:pt>
                <c:pt idx="65">
                  <c:v>12.791142237322298</c:v>
                </c:pt>
                <c:pt idx="66">
                  <c:v>12.233170397255684</c:v>
                </c:pt>
                <c:pt idx="67">
                  <c:v>11.712723950787856</c:v>
                </c:pt>
                <c:pt idx="68">
                  <c:v>11.223936355499244</c:v>
                </c:pt>
                <c:pt idx="69">
                  <c:v>10.762361956106352</c:v>
                </c:pt>
                <c:pt idx="70">
                  <c:v>10.324551959665827</c:v>
                </c:pt>
                <c:pt idx="71">
                  <c:v>9.9077710263054044</c:v>
                </c:pt>
                <c:pt idx="72">
                  <c:v>9.5098048007088067</c:v>
                </c:pt>
                <c:pt idx="73">
                  <c:v>6.2696451305078922</c:v>
                </c:pt>
                <c:pt idx="74">
                  <c:v>3.8767141564901291</c:v>
                </c:pt>
                <c:pt idx="75">
                  <c:v>1.976606463216918</c:v>
                </c:pt>
                <c:pt idx="76">
                  <c:v>0.39876440480469877</c:v>
                </c:pt>
                <c:pt idx="77">
                  <c:v>-0.95293554788858303</c:v>
                </c:pt>
                <c:pt idx="78">
                  <c:v>-2.1378878984480529</c:v>
                </c:pt>
                <c:pt idx="79">
                  <c:v>-3.1952509398005038</c:v>
                </c:pt>
                <c:pt idx="80">
                  <c:v>-4.1521368023927252</c:v>
                </c:pt>
                <c:pt idx="81">
                  <c:v>-5.0280508834598185</c:v>
                </c:pt>
                <c:pt idx="82">
                  <c:v>-5.8374646787899422</c:v>
                </c:pt>
                <c:pt idx="83">
                  <c:v>-6.5913887336698505</c:v>
                </c:pt>
                <c:pt idx="84">
                  <c:v>-7.2983774944514277</c:v>
                </c:pt>
                <c:pt idx="85">
                  <c:v>-7.9651953193444003</c:v>
                </c:pt>
                <c:pt idx="86">
                  <c:v>-8.5972719561990179</c:v>
                </c:pt>
                <c:pt idx="87">
                  <c:v>-9.1990225579039748</c:v>
                </c:pt>
                <c:pt idx="88">
                  <c:v>-9.7740778613733372</c:v>
                </c:pt>
                <c:pt idx="89">
                  <c:v>-10.325453190780166</c:v>
                </c:pt>
                <c:pt idx="90">
                  <c:v>-10.855674816970694</c:v>
                </c:pt>
                <c:pt idx="91">
                  <c:v>-15.342322533869522</c:v>
                </c:pt>
                <c:pt idx="92">
                  <c:v>-18.911696680862654</c:v>
                </c:pt>
                <c:pt idx="93">
                  <c:v>-21.925540759466326</c:v>
                </c:pt>
                <c:pt idx="94">
                  <c:v>-24.540982891552531</c:v>
                </c:pt>
                <c:pt idx="95">
                  <c:v>-26.848791048725648</c:v>
                </c:pt>
                <c:pt idx="96">
                  <c:v>-28.910248443195371</c:v>
                </c:pt>
                <c:pt idx="97">
                  <c:v>-30.770014991295021</c:v>
                </c:pt>
                <c:pt idx="98">
                  <c:v>-32.461954835642722</c:v>
                </c:pt>
                <c:pt idx="99">
                  <c:v>-34.012380661676488</c:v>
                </c:pt>
                <c:pt idx="100">
                  <c:v>-35.44210522295996</c:v>
                </c:pt>
                <c:pt idx="101">
                  <c:v>-36.767833043842082</c:v>
                </c:pt>
                <c:pt idx="102">
                  <c:v>-38.003142834016117</c:v>
                </c:pt>
                <c:pt idx="103">
                  <c:v>-39.159198785592778</c:v>
                </c:pt>
                <c:pt idx="104">
                  <c:v>-40.245275231362648</c:v>
                </c:pt>
                <c:pt idx="105">
                  <c:v>-41.269149567273111</c:v>
                </c:pt>
                <c:pt idx="106">
                  <c:v>-42.237400461075765</c:v>
                </c:pt>
                <c:pt idx="107">
                  <c:v>-43.155636928385427</c:v>
                </c:pt>
                <c:pt idx="108">
                  <c:v>-44.028676275634453</c:v>
                </c:pt>
                <c:pt idx="109">
                  <c:v>-50.978479940820911</c:v>
                </c:pt>
                <c:pt idx="110">
                  <c:v>-55.942698469162011</c:v>
                </c:pt>
                <c:pt idx="111">
                  <c:v>-59.803584575162652</c:v>
                </c:pt>
                <c:pt idx="112">
                  <c:v>-62.962383567015031</c:v>
                </c:pt>
                <c:pt idx="113">
                  <c:v>-65.63515160487357</c:v>
                </c:pt>
                <c:pt idx="114">
                  <c:v>-67.951513875971386</c:v>
                </c:pt>
                <c:pt idx="115">
                  <c:v>-69.995340141722636</c:v>
                </c:pt>
                <c:pt idx="116">
                  <c:v>-71.824012002643343</c:v>
                </c:pt>
                <c:pt idx="117">
                  <c:v>-73.478514657080225</c:v>
                </c:pt>
                <c:pt idx="118">
                  <c:v>-74.989140556426534</c:v>
                </c:pt>
                <c:pt idx="119">
                  <c:v>-76.37891139234678</c:v>
                </c:pt>
                <c:pt idx="120">
                  <c:v>-77.665732571353701</c:v>
                </c:pt>
                <c:pt idx="121">
                  <c:v>-78.863804707055252</c:v>
                </c:pt>
                <c:pt idx="122">
                  <c:v>-79.984579758507167</c:v>
                </c:pt>
                <c:pt idx="123">
                  <c:v>-81.037427410023355</c:v>
                </c:pt>
                <c:pt idx="124">
                  <c:v>-82.030111044991742</c:v>
                </c:pt>
                <c:pt idx="125">
                  <c:v>-82.969135070872937</c:v>
                </c:pt>
                <c:pt idx="126">
                  <c:v>-83.860003181931475</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-82.309767479724201</c:v>
                </c:pt>
                <c:pt idx="1">
                  <c:v>-84.87912461163441</c:v>
                </c:pt>
                <c:pt idx="2">
                  <c:v>-86.179197156219942</c:v>
                </c:pt>
                <c:pt idx="3">
                  <c:v>-86.966791896713858</c:v>
                </c:pt>
                <c:pt idx="4">
                  <c:v>-87.497156888685325</c:v>
                </c:pt>
                <c:pt idx="5">
                  <c:v>-87.880241024491667</c:v>
                </c:pt>
                <c:pt idx="6">
                  <c:v>-88.171167447485956</c:v>
                </c:pt>
                <c:pt idx="7">
                  <c:v>-88.400609788759866</c:v>
                </c:pt>
                <c:pt idx="8">
                  <c:v>-88.58699160944235</c:v>
                </c:pt>
                <c:pt idx="9">
                  <c:v>-88.742045484711156</c:v>
                </c:pt>
                <c:pt idx="10">
                  <c:v>-88.873597198551124</c:v>
                </c:pt>
                <c:pt idx="11">
                  <c:v>-88.98706669356099</c:v>
                </c:pt>
                <c:pt idx="12">
                  <c:v>-89.086326497933484</c:v>
                </c:pt>
                <c:pt idx="13">
                  <c:v>-89.174217118275749</c:v>
                </c:pt>
                <c:pt idx="14">
                  <c:v>-89.252869323370263</c:v>
                </c:pt>
                <c:pt idx="15">
                  <c:v>-89.323912764401072</c:v>
                </c:pt>
                <c:pt idx="16">
                  <c:v>-89.38861510007176</c:v>
                </c:pt>
                <c:pt idx="17">
                  <c:v>-89.447977212650628</c:v>
                </c:pt>
                <c:pt idx="18">
                  <c:v>-89.502799873810275</c:v>
                </c:pt>
                <c:pt idx="19">
                  <c:v>-89.901200532376748</c:v>
                </c:pt>
                <c:pt idx="20">
                  <c:v>-90.170166716113187</c:v>
                </c:pt>
                <c:pt idx="21">
                  <c:v>-90.387317193549436</c:v>
                </c:pt>
                <c:pt idx="22">
                  <c:v>-90.578519157961921</c:v>
                </c:pt>
                <c:pt idx="23">
                  <c:v>-90.754851594645828</c:v>
                </c:pt>
                <c:pt idx="24">
                  <c:v>-90.921847583832459</c:v>
                </c:pt>
                <c:pt idx="25">
                  <c:v>-91.082575293948651</c:v>
                </c:pt>
                <c:pt idx="26">
                  <c:v>-91.238870431021866</c:v>
                </c:pt>
                <c:pt idx="27">
                  <c:v>-91.391896459226089</c:v>
                </c:pt>
                <c:pt idx="28">
                  <c:v>-91.54242471788983</c:v>
                </c:pt>
                <c:pt idx="29">
                  <c:v>-91.690985257381286</c:v>
                </c:pt>
                <c:pt idx="30">
                  <c:v>-91.837953033507176</c:v>
                </c:pt>
                <c:pt idx="31">
                  <c:v>-91.983599626075673</c:v>
                </c:pt>
                <c:pt idx="32">
                  <c:v>-92.128125564629642</c:v>
                </c:pt>
                <c:pt idx="33">
                  <c:v>-92.27168124654267</c:v>
                </c:pt>
                <c:pt idx="34">
                  <c:v>-92.414380883728199</c:v>
                </c:pt>
                <c:pt idx="35">
                  <c:v>-92.556312046329751</c:v>
                </c:pt>
                <c:pt idx="36">
                  <c:v>-92.697542344420157</c:v>
                </c:pt>
                <c:pt idx="37">
                  <c:v>-94.078592453514659</c:v>
                </c:pt>
                <c:pt idx="38">
                  <c:v>-95.40892988914338</c:v>
                </c:pt>
                <c:pt idx="39">
                  <c:v>-96.685534301427282</c:v>
                </c:pt>
                <c:pt idx="40">
                  <c:v>-97.901592319007122</c:v>
                </c:pt>
                <c:pt idx="41">
                  <c:v>-99.050361625836203</c:v>
                </c:pt>
                <c:pt idx="42">
                  <c:v>-100.12617451574027</c:v>
                </c:pt>
                <c:pt idx="43">
                  <c:v>-101.12474488389518</c:v>
                </c:pt>
                <c:pt idx="44">
                  <c:v>-102.04322272233006</c:v>
                </c:pt>
                <c:pt idx="45">
                  <c:v>-102.88012959607011</c:v>
                </c:pt>
                <c:pt idx="46">
                  <c:v>-103.63523092286748</c:v>
                </c:pt>
                <c:pt idx="47">
                  <c:v>-104.30937566689774</c:v>
                </c:pt>
                <c:pt idx="48">
                  <c:v>-104.90432314759117</c:v>
                </c:pt>
                <c:pt idx="49">
                  <c:v>-105.42257034196422</c:v>
                </c:pt>
                <c:pt idx="50">
                  <c:v>-105.86718859367237</c:v>
                </c:pt>
                <c:pt idx="51">
                  <c:v>-106.24167523633346</c:v>
                </c:pt>
                <c:pt idx="52">
                  <c:v>-106.54982303705954</c:v>
                </c:pt>
                <c:pt idx="53">
                  <c:v>-106.79560844728306</c:v>
                </c:pt>
                <c:pt idx="54">
                  <c:v>-106.98309830963524</c:v>
                </c:pt>
                <c:pt idx="55">
                  <c:v>-106.49892944434613</c:v>
                </c:pt>
                <c:pt idx="56">
                  <c:v>-103.80767661081907</c:v>
                </c:pt>
                <c:pt idx="57">
                  <c:v>-100.66819553641703</c:v>
                </c:pt>
                <c:pt idx="58">
                  <c:v>-97.800997988759789</c:v>
                </c:pt>
                <c:pt idx="59">
                  <c:v>-95.428858713681663</c:v>
                </c:pt>
                <c:pt idx="60">
                  <c:v>-93.565618812110387</c:v>
                </c:pt>
                <c:pt idx="61">
                  <c:v>-92.149482375137467</c:v>
                </c:pt>
                <c:pt idx="62">
                  <c:v>-91.100330086105174</c:v>
                </c:pt>
                <c:pt idx="63">
                  <c:v>-90.342261087241639</c:v>
                </c:pt>
                <c:pt idx="64">
                  <c:v>-89.810894307302831</c:v>
                </c:pt>
                <c:pt idx="65">
                  <c:v>-89.454364524899631</c:v>
                </c:pt>
                <c:pt idx="66">
                  <c:v>-89.231987877244208</c:v>
                </c:pt>
                <c:pt idx="67">
                  <c:v>-89.112297768483117</c:v>
                </c:pt>
                <c:pt idx="68">
                  <c:v>-89.071128911353426</c:v>
                </c:pt>
                <c:pt idx="69">
                  <c:v>-89.089978674744032</c:v>
                </c:pt>
                <c:pt idx="70">
                  <c:v>-89.154687379699297</c:v>
                </c:pt>
                <c:pt idx="71">
                  <c:v>-89.254408168666203</c:v>
                </c:pt>
                <c:pt idx="72">
                  <c:v>-89.380816409911304</c:v>
                </c:pt>
                <c:pt idx="73">
                  <c:v>-91.219495433214945</c:v>
                </c:pt>
                <c:pt idx="74">
                  <c:v>-93.176970978679137</c:v>
                </c:pt>
                <c:pt idx="75">
                  <c:v>-95.006567645978265</c:v>
                </c:pt>
                <c:pt idx="76">
                  <c:v>-96.722546376958618</c:v>
                </c:pt>
                <c:pt idx="77">
                  <c:v>-98.353774457391467</c:v>
                </c:pt>
                <c:pt idx="78">
                  <c:v>-99.92105047828457</c:v>
                </c:pt>
                <c:pt idx="79">
                  <c:v>-101.43785536981974</c:v>
                </c:pt>
                <c:pt idx="80">
                  <c:v>-102.91281177290578</c:v>
                </c:pt>
                <c:pt idx="81">
                  <c:v>-104.35146792797097</c:v>
                </c:pt>
                <c:pt idx="82">
                  <c:v>-105.75742516759939</c:v>
                </c:pt>
                <c:pt idx="83">
                  <c:v>-107.13303776156154</c:v>
                </c:pt>
                <c:pt idx="84">
                  <c:v>-108.47985238909094</c:v>
                </c:pt>
                <c:pt idx="85">
                  <c:v>-109.79888957342634</c:v>
                </c:pt>
                <c:pt idx="86">
                  <c:v>-111.09082761205042</c:v>
                </c:pt>
                <c:pt idx="87">
                  <c:v>-112.35612497802153</c:v>
                </c:pt>
                <c:pt idx="88">
                  <c:v>-113.59510295650314</c:v>
                </c:pt>
                <c:pt idx="89">
                  <c:v>-114.808001982031</c:v>
                </c:pt>
                <c:pt idx="90">
                  <c:v>-115.99502020839866</c:v>
                </c:pt>
                <c:pt idx="91">
                  <c:v>-126.48884985264925</c:v>
                </c:pt>
                <c:pt idx="92">
                  <c:v>-134.71394962233762</c:v>
                </c:pt>
                <c:pt idx="93">
                  <c:v>-141.11125728557383</c:v>
                </c:pt>
                <c:pt idx="94">
                  <c:v>-146.11911391298005</c:v>
                </c:pt>
                <c:pt idx="95">
                  <c:v>-150.09154144110383</c:v>
                </c:pt>
                <c:pt idx="96">
                  <c:v>-153.29180984678464</c:v>
                </c:pt>
                <c:pt idx="97">
                  <c:v>-155.91027227639137</c:v>
                </c:pt>
                <c:pt idx="98">
                  <c:v>-158.08407406148265</c:v>
                </c:pt>
                <c:pt idx="99">
                  <c:v>-159.91278743530458</c:v>
                </c:pt>
                <c:pt idx="100">
                  <c:v>-161.46962126075235</c:v>
                </c:pt>
                <c:pt idx="101">
                  <c:v>-162.80918296330833</c:v>
                </c:pt>
                <c:pt idx="102">
                  <c:v>-163.97280938854664</c:v>
                </c:pt>
                <c:pt idx="103">
                  <c:v>-164.99224259256184</c:v>
                </c:pt>
                <c:pt idx="104">
                  <c:v>-165.89218914329965</c:v>
                </c:pt>
                <c:pt idx="105">
                  <c:v>-166.69212414902339</c:v>
                </c:pt>
                <c:pt idx="106">
                  <c:v>-167.40757996000059</c:v>
                </c:pt>
                <c:pt idx="107">
                  <c:v>-168.05107923947804</c:v>
                </c:pt>
                <c:pt idx="108">
                  <c:v>-168.63281950658723</c:v>
                </c:pt>
                <c:pt idx="109">
                  <c:v>-172.36720271531908</c:v>
                </c:pt>
                <c:pt idx="110">
                  <c:v>-174.26080051108625</c:v>
                </c:pt>
                <c:pt idx="111">
                  <c:v>-175.4032010462262</c:v>
                </c:pt>
                <c:pt idx="112">
                  <c:v>-176.16686661581528</c:v>
                </c:pt>
                <c:pt idx="113">
                  <c:v>-176.71318150267098</c:v>
                </c:pt>
                <c:pt idx="114">
                  <c:v>-177.12331018890677</c:v>
                </c:pt>
                <c:pt idx="115">
                  <c:v>-177.44250236391068</c:v>
                </c:pt>
                <c:pt idx="116">
                  <c:v>-177.69796976617269</c:v>
                </c:pt>
                <c:pt idx="117">
                  <c:v>-177.90705612904969</c:v>
                </c:pt>
                <c:pt idx="118">
                  <c:v>-178.0813369765462</c:v>
                </c:pt>
                <c:pt idx="119">
                  <c:v>-178.22883284857733</c:v>
                </c:pt>
                <c:pt idx="120">
                  <c:v>-178.35527637041889</c:v>
                </c:pt>
                <c:pt idx="121">
                  <c:v>-178.46487357121961</c:v>
                </c:pt>
                <c:pt idx="122">
                  <c:v>-178.56078023065984</c:v>
                </c:pt>
                <c:pt idx="123">
                  <c:v>-178.64541037127154</c:v>
                </c:pt>
                <c:pt idx="124">
                  <c:v>-178.72064206407862</c:v>
                </c:pt>
                <c:pt idx="125">
                  <c:v>-178.78795832368459</c:v>
                </c:pt>
                <c:pt idx="126">
                  <c:v>-178.84854578167432</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91.162622855044049</c:v>
                </c:pt>
                <c:pt idx="1">
                  <c:v>87.684531656392082</c:v>
                </c:pt>
                <c:pt idx="2">
                  <c:v>85.201164937347343</c:v>
                </c:pt>
                <c:pt idx="3">
                  <c:v>83.270111062430217</c:v>
                </c:pt>
                <c:pt idx="4">
                  <c:v>81.690368950776502</c:v>
                </c:pt>
                <c:pt idx="5">
                  <c:v>80.353771761416297</c:v>
                </c:pt>
                <c:pt idx="6">
                  <c:v>79.195446919556545</c:v>
                </c:pt>
                <c:pt idx="7">
                  <c:v>78.173430311674636</c:v>
                </c:pt>
                <c:pt idx="8">
                  <c:v>77.259015543217998</c:v>
                </c:pt>
                <c:pt idx="9">
                  <c:v>76.431701090585918</c:v>
                </c:pt>
                <c:pt idx="10">
                  <c:v>75.676335325703917</c:v>
                </c:pt>
                <c:pt idx="11">
                  <c:v>74.981403978848675</c:v>
                </c:pt>
                <c:pt idx="12">
                  <c:v>74.337952092295552</c:v>
                </c:pt>
                <c:pt idx="13">
                  <c:v>73.738877826071601</c:v>
                </c:pt>
                <c:pt idx="14">
                  <c:v>73.17845412877459</c:v>
                </c:pt>
                <c:pt idx="15">
                  <c:v>72.651995390717858</c:v>
                </c:pt>
                <c:pt idx="16">
                  <c:v>72.155619358980005</c:v>
                </c:pt>
                <c:pt idx="17">
                  <c:v>71.686073411810398</c:v>
                </c:pt>
                <c:pt idx="18">
                  <c:v>71.240605385573843</c:v>
                </c:pt>
                <c:pt idx="19">
                  <c:v>67.71888624019121</c:v>
                </c:pt>
                <c:pt idx="20">
                  <c:v>65.219794796956052</c:v>
                </c:pt>
                <c:pt idx="21">
                  <c:v>63.281059879539548</c:v>
                </c:pt>
                <c:pt idx="22">
                  <c:v>61.696732995789098</c:v>
                </c:pt>
                <c:pt idx="23">
                  <c:v>60.356945396530882</c:v>
                </c:pt>
                <c:pt idx="24">
                  <c:v>59.196112216562121</c:v>
                </c:pt>
                <c:pt idx="25">
                  <c:v>58.171928754570715</c:v>
                </c:pt>
                <c:pt idx="26">
                  <c:v>57.255509211118792</c:v>
                </c:pt>
                <c:pt idx="27">
                  <c:v>56.426250349911285</c:v>
                </c:pt>
                <c:pt idx="28">
                  <c:v>55.668939457416478</c:v>
                </c:pt>
                <c:pt idx="29">
                  <c:v>54.97202384759521</c:v>
                </c:pt>
                <c:pt idx="30">
                  <c:v>54.326523484267959</c:v>
                </c:pt>
                <c:pt idx="31">
                  <c:v>53.725319651960433</c:v>
                </c:pt>
                <c:pt idx="32">
                  <c:v>53.16267366227779</c:v>
                </c:pt>
                <c:pt idx="33">
                  <c:v>52.633891724533214</c:v>
                </c:pt>
                <c:pt idx="34">
                  <c:v>52.135085750774657</c:v>
                </c:pt>
                <c:pt idx="35">
                  <c:v>51.662998917553011</c:v>
                </c:pt>
                <c:pt idx="36">
                  <c:v>51.214876022938356</c:v>
                </c:pt>
                <c:pt idx="37">
                  <c:v>47.660077045650915</c:v>
                </c:pt>
                <c:pt idx="38">
                  <c:v>45.116055211223291</c:v>
                </c:pt>
                <c:pt idx="39">
                  <c:v>43.121199948009711</c:v>
                </c:pt>
                <c:pt idx="40">
                  <c:v>41.470547053114437</c:v>
                </c:pt>
                <c:pt idx="41">
                  <c:v>40.055369557953021</c:v>
                </c:pt>
                <c:pt idx="42">
                  <c:v>38.811311612883493</c:v>
                </c:pt>
                <c:pt idx="43">
                  <c:v>37.697333550650526</c:v>
                </c:pt>
                <c:pt idx="44">
                  <c:v>36.685808457437339</c:v>
                </c:pt>
                <c:pt idx="45">
                  <c:v>35.757351516998348</c:v>
                </c:pt>
                <c:pt idx="46">
                  <c:v>34.897901446438119</c:v>
                </c:pt>
                <c:pt idx="47">
                  <c:v>34.096971004411074</c:v>
                </c:pt>
                <c:pt idx="48">
                  <c:v>33.346547492271412</c:v>
                </c:pt>
                <c:pt idx="49">
                  <c:v>32.640375235232156</c:v>
                </c:pt>
                <c:pt idx="50">
                  <c:v>31.97347293996112</c:v>
                </c:pt>
                <c:pt idx="51">
                  <c:v>31.341800948836305</c:v>
                </c:pt>
                <c:pt idx="52">
                  <c:v>30.742027127973738</c:v>
                </c:pt>
                <c:pt idx="53">
                  <c:v>30.171359310060101</c:v>
                </c:pt>
                <c:pt idx="54">
                  <c:v>29.627423586121481</c:v>
                </c:pt>
                <c:pt idx="55">
                  <c:v>25.307153760893446</c:v>
                </c:pt>
                <c:pt idx="56">
                  <c:v>22.350032341384793</c:v>
                </c:pt>
                <c:pt idx="57">
                  <c:v>20.208177675691104</c:v>
                </c:pt>
                <c:pt idx="58">
                  <c:v>18.582765972892552</c:v>
                </c:pt>
                <c:pt idx="59">
                  <c:v>17.295875456193961</c:v>
                </c:pt>
                <c:pt idx="60">
                  <c:v>16.237471626125956</c:v>
                </c:pt>
                <c:pt idx="61">
                  <c:v>15.337901536426932</c:v>
                </c:pt>
                <c:pt idx="62">
                  <c:v>14.552202495767634</c:v>
                </c:pt>
                <c:pt idx="63">
                  <c:v>13.850771347336195</c:v>
                </c:pt>
                <c:pt idx="64">
                  <c:v>13.213701579401674</c:v>
                </c:pt>
                <c:pt idx="65">
                  <c:v>12.627299703475957</c:v>
                </c:pt>
                <c:pt idx="66">
                  <c:v>12.081916391357712</c:v>
                </c:pt>
                <c:pt idx="67">
                  <c:v>11.570579542229314</c:v>
                </c:pt>
                <c:pt idx="68">
                  <c:v>11.08812153607721</c:v>
                </c:pt>
                <c:pt idx="69">
                  <c:v>10.630614304041549</c:v>
                </c:pt>
                <c:pt idx="70">
                  <c:v>10.194998318141275</c:v>
                </c:pt>
                <c:pt idx="71">
                  <c:v>9.7788352157004752</c:v>
                </c:pt>
                <c:pt idx="72">
                  <c:v>9.3801402371848468</c:v>
                </c:pt>
                <c:pt idx="73">
                  <c:v>6.0850157360306607</c:v>
                </c:pt>
                <c:pt idx="74">
                  <c:v>3.5843779499298525</c:v>
                </c:pt>
                <c:pt idx="75">
                  <c:v>1.5409028321073608</c:v>
                </c:pt>
                <c:pt idx="76">
                  <c:v>-0.20931554892259041</c:v>
                </c:pt>
                <c:pt idx="77">
                  <c:v>-1.7579262784449368</c:v>
                </c:pt>
                <c:pt idx="78">
                  <c:v>-3.1605169967653368</c:v>
                </c:pt>
                <c:pt idx="79">
                  <c:v>-4.4527793988417104</c:v>
                </c:pt>
                <c:pt idx="80">
                  <c:v>-5.6586444176462809</c:v>
                </c:pt>
                <c:pt idx="81">
                  <c:v>-6.7947298483379486</c:v>
                </c:pt>
                <c:pt idx="82">
                  <c:v>-7.8729270692930671</c:v>
                </c:pt>
                <c:pt idx="83">
                  <c:v>-8.9019781675721426</c:v>
                </c:pt>
                <c:pt idx="84">
                  <c:v>-9.8884731839493671</c:v>
                </c:pt>
                <c:pt idx="85">
                  <c:v>-10.837498948315805</c:v>
                </c:pt>
                <c:pt idx="86">
                  <c:v>-11.753071025288058</c:v>
                </c:pt>
                <c:pt idx="87">
                  <c:v>-12.638426822283233</c:v>
                </c:pt>
                <c:pt idx="88">
                  <c:v>-13.496227833131627</c:v>
                </c:pt>
                <c:pt idx="89">
                  <c:v>-14.328701337685118</c:v>
                </c:pt>
                <c:pt idx="90">
                  <c:v>-15.137741150516259</c:v>
                </c:pt>
                <c:pt idx="91">
                  <c:v>-22.220000770047445</c:v>
                </c:pt>
                <c:pt idx="92">
                  <c:v>-28.00406436277671</c:v>
                </c:pt>
                <c:pt idx="93">
                  <c:v>-32.921177135408271</c:v>
                </c:pt>
                <c:pt idx="94">
                  <c:v>-37.208409405229361</c:v>
                </c:pt>
                <c:pt idx="95">
                  <c:v>-41.015179392624148</c:v>
                </c:pt>
                <c:pt idx="96">
                  <c:v>-44.443107009947759</c:v>
                </c:pt>
                <c:pt idx="97">
                  <c:v>-47.564596647312911</c:v>
                </c:pt>
                <c:pt idx="98">
                  <c:v>-50.432935082997318</c:v>
                </c:pt>
                <c:pt idx="99">
                  <c:v>-53.088356301687703</c:v>
                </c:pt>
                <c:pt idx="100">
                  <c:v>-55.561914510083312</c:v>
                </c:pt>
                <c:pt idx="101">
                  <c:v>-57.878055374719835</c:v>
                </c:pt>
                <c:pt idx="102">
                  <c:v>-60.056369822442505</c:v>
                </c:pt>
                <c:pt idx="103">
                  <c:v>-62.112815768768456</c:v>
                </c:pt>
                <c:pt idx="104">
                  <c:v>-64.060584718919245</c:v>
                </c:pt>
                <c:pt idx="105">
                  <c:v>-65.910726715969545</c:v>
                </c:pt>
                <c:pt idx="106">
                  <c:v>-67.672608150871383</c:v>
                </c:pt>
                <c:pt idx="107">
                  <c:v>-69.354252258248025</c:v>
                </c:pt>
                <c:pt idx="108">
                  <c:v>-70.962596115170854</c:v>
                </c:pt>
                <c:pt idx="109">
                  <c:v>-84.056828181097785</c:v>
                </c:pt>
                <c:pt idx="110">
                  <c:v>-93.655750012446504</c:v>
                </c:pt>
                <c:pt idx="111">
                  <c:v>-101.21455898144552</c:v>
                </c:pt>
                <c:pt idx="112">
                  <c:v>-107.44057732796162</c:v>
                </c:pt>
                <c:pt idx="113">
                  <c:v>-112.72979847409486</c:v>
                </c:pt>
                <c:pt idx="114">
                  <c:v>-117.32551770294015</c:v>
                </c:pt>
                <c:pt idx="115">
                  <c:v>-121.38758853837678</c:v>
                </c:pt>
                <c:pt idx="116">
                  <c:v>-125.02652711131516</c:v>
                </c:pt>
                <c:pt idx="117">
                  <c:v>-128.32185685460192</c:v>
                </c:pt>
                <c:pt idx="118">
                  <c:v>-131.33267409635147</c:v>
                </c:pt>
                <c:pt idx="119">
                  <c:v>-134.10407529363627</c:v>
                </c:pt>
                <c:pt idx="120">
                  <c:v>-136.67124596675251</c:v>
                </c:pt>
                <c:pt idx="121">
                  <c:v>-139.06216114657428</c:v>
                </c:pt>
                <c:pt idx="122">
                  <c:v>-141.29942624653768</c:v>
                </c:pt>
                <c:pt idx="123">
                  <c:v>-143.40156656969225</c:v>
                </c:pt>
                <c:pt idx="124">
                  <c:v>-145.38395216255097</c:v>
                </c:pt>
                <c:pt idx="125">
                  <c:v>-147.25947498793852</c:v>
                </c:pt>
                <c:pt idx="126">
                  <c:v>-149.03905388108748</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-82.302354217346107</c:v>
                </c:pt>
                <c:pt idx="1">
                  <c:v>-84.868004723585869</c:v>
                </c:pt>
                <c:pt idx="2">
                  <c:v>-86.164370649123285</c:v>
                </c:pt>
                <c:pt idx="3">
                  <c:v>-86.948258779398827</c:v>
                </c:pt>
                <c:pt idx="4">
                  <c:v>-87.474917172189052</c:v>
                </c:pt>
                <c:pt idx="5">
                  <c:v>-87.854294722058697</c:v>
                </c:pt>
                <c:pt idx="6">
                  <c:v>-88.141514574568177</c:v>
                </c:pt>
                <c:pt idx="7">
                  <c:v>-88.367250363016495</c:v>
                </c:pt>
                <c:pt idx="8">
                  <c:v>-88.549925650739908</c:v>
                </c:pt>
                <c:pt idx="9">
                  <c:v>-88.701273015123434</c:v>
                </c:pt>
                <c:pt idx="10">
                  <c:v>-88.829118242359144</c:v>
                </c:pt>
                <c:pt idx="11">
                  <c:v>-88.938881277252932</c:v>
                </c:pt>
                <c:pt idx="12">
                  <c:v>-89.034434650204673</c:v>
                </c:pt>
                <c:pt idx="13">
                  <c:v>-89.118618870028584</c:v>
                </c:pt>
                <c:pt idx="14">
                  <c:v>-89.193564707714174</c:v>
                </c:pt>
                <c:pt idx="15">
                  <c:v>-89.260901816652435</c:v>
                </c:pt>
                <c:pt idx="16">
                  <c:v>-89.321897857753868</c:v>
                </c:pt>
                <c:pt idx="17">
                  <c:v>-89.37755371549359</c:v>
                </c:pt>
                <c:pt idx="18">
                  <c:v>-89.428670163750965</c:v>
                </c:pt>
                <c:pt idx="19">
                  <c:v>-89.790011485249252</c:v>
                </c:pt>
                <c:pt idx="20">
                  <c:v>-90.021924952344548</c:v>
                </c:pt>
                <c:pt idx="21">
                  <c:v>-90.20203153849836</c:v>
                </c:pt>
                <c:pt idx="22">
                  <c:v>-90.356200640310547</c:v>
                </c:pt>
                <c:pt idx="23">
                  <c:v>-90.495513444390568</c:v>
                </c:pt>
                <c:pt idx="24">
                  <c:v>-90.625505229874847</c:v>
                </c:pt>
                <c:pt idx="25">
                  <c:v>-90.749246361286936</c:v>
                </c:pt>
                <c:pt idx="26">
                  <c:v>-90.868574737544549</c:v>
                </c:pt>
                <c:pt idx="27">
                  <c:v>-90.984656012108687</c:v>
                </c:pt>
                <c:pt idx="28">
                  <c:v>-91.098263709596168</c:v>
                </c:pt>
                <c:pt idx="29">
                  <c:v>-91.209930061270938</c:v>
                </c:pt>
                <c:pt idx="30">
                  <c:v>-91.320032199050701</c:v>
                </c:pt>
                <c:pt idx="31">
                  <c:v>-91.428843873679568</c:v>
                </c:pt>
                <c:pt idx="32">
                  <c:v>-91.536567780073</c:v>
                </c:pt>
                <c:pt idx="33">
                  <c:v>-91.643356475027574</c:v>
                </c:pt>
                <c:pt idx="34">
                  <c:v>-91.749326323546356</c:v>
                </c:pt>
                <c:pt idx="35">
                  <c:v>-91.854567042147622</c:v>
                </c:pt>
                <c:pt idx="36">
                  <c:v>-91.959148380185255</c:v>
                </c:pt>
                <c:pt idx="37">
                  <c:v>-92.976455331737213</c:v>
                </c:pt>
                <c:pt idx="38">
                  <c:v>-93.949484474871554</c:v>
                </c:pt>
                <c:pt idx="39">
                  <c:v>-94.87718201675878</c:v>
                </c:pt>
                <c:pt idx="40">
                  <c:v>-95.754556874829589</c:v>
                </c:pt>
                <c:pt idx="41">
                  <c:v>-96.576518831058621</c:v>
                </c:pt>
                <c:pt idx="42">
                  <c:v>-97.338861972754572</c:v>
                </c:pt>
                <c:pt idx="43">
                  <c:v>-98.038557707689691</c:v>
                </c:pt>
                <c:pt idx="44">
                  <c:v>-98.673801429004413</c:v>
                </c:pt>
                <c:pt idx="45">
                  <c:v>-99.243946026707349</c:v>
                </c:pt>
                <c:pt idx="46">
                  <c:v>-99.749377550667504</c:v>
                </c:pt>
                <c:pt idx="47">
                  <c:v>-100.19136293969065</c:v>
                </c:pt>
                <c:pt idx="48">
                  <c:v>-100.5718887085543</c:v>
                </c:pt>
                <c:pt idx="49">
                  <c:v>-100.89350311036026</c:v>
                </c:pt>
                <c:pt idx="50">
                  <c:v>-101.15916982938369</c:v>
                </c:pt>
                <c:pt idx="51">
                  <c:v>-101.37213790136401</c:v>
                </c:pt>
                <c:pt idx="52">
                  <c:v>-101.53583003691227</c:v>
                </c:pt>
                <c:pt idx="53">
                  <c:v>-101.65374970643335</c:v>
                </c:pt>
                <c:pt idx="54">
                  <c:v>-101.72940611889076</c:v>
                </c:pt>
                <c:pt idx="55">
                  <c:v>-100.85590475149949</c:v>
                </c:pt>
                <c:pt idx="56">
                  <c:v>-98.620397341508863</c:v>
                </c:pt>
                <c:pt idx="57">
                  <c:v>-96.285725876602967</c:v>
                </c:pt>
                <c:pt idx="58">
                  <c:v>-94.323804200429876</c:v>
                </c:pt>
                <c:pt idx="59">
                  <c:v>-92.853344126121826</c:v>
                </c:pt>
                <c:pt idx="60">
                  <c:v>-91.850721604477798</c:v>
                </c:pt>
                <c:pt idx="61">
                  <c:v>-91.244566117442901</c:v>
                </c:pt>
                <c:pt idx="62">
                  <c:v>-90.956046158508983</c:v>
                </c:pt>
                <c:pt idx="63">
                  <c:v>-90.914257888495854</c:v>
                </c:pt>
                <c:pt idx="64">
                  <c:v>-91.060621446155253</c:v>
                </c:pt>
                <c:pt idx="65">
                  <c:v>-91.348767007766995</c:v>
                </c:pt>
                <c:pt idx="66">
                  <c:v>-91.742839265181019</c:v>
                </c:pt>
                <c:pt idx="67">
                  <c:v>-92.215476048199662</c:v>
                </c:pt>
                <c:pt idx="68">
                  <c:v>-92.745949379454544</c:v>
                </c:pt>
                <c:pt idx="69">
                  <c:v>-93.318618413452114</c:v>
                </c:pt>
                <c:pt idx="70">
                  <c:v>-93.921703582888313</c:v>
                </c:pt>
                <c:pt idx="71">
                  <c:v>-94.546340714632919</c:v>
                </c:pt>
                <c:pt idx="72">
                  <c:v>-95.185861888238321</c:v>
                </c:pt>
                <c:pt idx="73">
                  <c:v>-101.72873775284592</c:v>
                </c:pt>
                <c:pt idx="74">
                  <c:v>-107.95172319656706</c:v>
                </c:pt>
                <c:pt idx="75">
                  <c:v>-113.79329079410752</c:v>
                </c:pt>
                <c:pt idx="76">
                  <c:v>-119.32309416478697</c:v>
                </c:pt>
                <c:pt idx="77">
                  <c:v>-124.58879201387728</c:v>
                </c:pt>
                <c:pt idx="78">
                  <c:v>-129.6184008282367</c:v>
                </c:pt>
                <c:pt idx="79">
                  <c:v>-134.42937139329558</c:v>
                </c:pt>
                <c:pt idx="80">
                  <c:v>-139.03407528093538</c:v>
                </c:pt>
                <c:pt idx="81">
                  <c:v>-143.44262884624612</c:v>
                </c:pt>
                <c:pt idx="82">
                  <c:v>-147.66424462606375</c:v>
                </c:pt>
                <c:pt idx="83">
                  <c:v>-151.70781723026951</c:v>
                </c:pt>
                <c:pt idx="84">
                  <c:v>-155.58212574745011</c:v>
                </c:pt>
                <c:pt idx="85">
                  <c:v>-159.29585524753571</c:v>
                </c:pt>
                <c:pt idx="86">
                  <c:v>-162.857543404632</c:v>
                </c:pt>
                <c:pt idx="87">
                  <c:v>-166.27550607090279</c:v>
                </c:pt>
                <c:pt idx="88">
                  <c:v>-169.55776736737042</c:v>
                </c:pt>
                <c:pt idx="89">
                  <c:v>-172.7120047360674</c:v>
                </c:pt>
                <c:pt idx="90">
                  <c:v>-175.74551158143441</c:v>
                </c:pt>
                <c:pt idx="91">
                  <c:v>-200.76021533567356</c:v>
                </c:pt>
                <c:pt idx="92">
                  <c:v>-219.04268918951902</c:v>
                </c:pt>
                <c:pt idx="93">
                  <c:v>-233.14637137907164</c:v>
                </c:pt>
                <c:pt idx="94">
                  <c:v>-244.46371439070475</c:v>
                </c:pt>
                <c:pt idx="95">
                  <c:v>-253.81979747620409</c:v>
                </c:pt>
                <c:pt idx="96">
                  <c:v>-261.73343745822615</c:v>
                </c:pt>
                <c:pt idx="97">
                  <c:v>-268.5463046080057</c:v>
                </c:pt>
                <c:pt idx="98">
                  <c:v>-274.49268732158998</c:v>
                </c:pt>
                <c:pt idx="99">
                  <c:v>-279.73928410608369</c:v>
                </c:pt>
                <c:pt idx="100">
                  <c:v>-284.40876646694767</c:v>
                </c:pt>
                <c:pt idx="101">
                  <c:v>-288.59416921435928</c:v>
                </c:pt>
                <c:pt idx="102">
                  <c:v>-292.36793323333882</c:v>
                </c:pt>
                <c:pt idx="103">
                  <c:v>-295.78774849816966</c:v>
                </c:pt>
                <c:pt idx="104">
                  <c:v>-298.90043588172938</c:v>
                </c:pt>
                <c:pt idx="105">
                  <c:v>-301.74459834012259</c:v>
                </c:pt>
                <c:pt idx="106">
                  <c:v>-304.35248146361664</c:v>
                </c:pt>
                <c:pt idx="107">
                  <c:v>-306.75131374873621</c:v>
                </c:pt>
                <c:pt idx="108">
                  <c:v>-308.96429607775246</c:v>
                </c:pt>
                <c:pt idx="109">
                  <c:v>-324.20371268741076</c:v>
                </c:pt>
                <c:pt idx="110">
                  <c:v>-332.6010087341773</c:v>
                </c:pt>
                <c:pt idx="111">
                  <c:v>-337.86110453027595</c:v>
                </c:pt>
                <c:pt idx="112">
                  <c:v>-341.44769408787977</c:v>
                </c:pt>
                <c:pt idx="113">
                  <c:v>-344.04351281287609</c:v>
                </c:pt>
                <c:pt idx="114">
                  <c:v>-346.00669603030201</c:v>
                </c:pt>
                <c:pt idx="115">
                  <c:v>-347.54221301613939</c:v>
                </c:pt>
                <c:pt idx="116">
                  <c:v>-348.77549294485243</c:v>
                </c:pt>
                <c:pt idx="117">
                  <c:v>-349.78745815607181</c:v>
                </c:pt>
                <c:pt idx="118">
                  <c:v>-350.63259660655876</c:v>
                </c:pt>
                <c:pt idx="119">
                  <c:v>-351.34891269702393</c:v>
                </c:pt>
                <c:pt idx="120">
                  <c:v>-351.9637080672361</c:v>
                </c:pt>
                <c:pt idx="121">
                  <c:v>-352.49709391316236</c:v>
                </c:pt>
                <c:pt idx="122">
                  <c:v>-352.96420777688138</c:v>
                </c:pt>
                <c:pt idx="123">
                  <c:v>-353.37665914169298</c:v>
                </c:pt>
                <c:pt idx="124">
                  <c:v>-353.74349924016366</c:v>
                </c:pt>
                <c:pt idx="125">
                  <c:v>-354.07188803639974</c:v>
                </c:pt>
                <c:pt idx="126">
                  <c:v>-354.36756311631575</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86.482408920880687</c:v>
                </c:pt>
                <c:pt idx="1">
                  <c:v>83.004320744198893</c:v>
                </c:pt>
                <c:pt idx="2">
                  <c:v>80.520958255902627</c:v>
                </c:pt>
                <c:pt idx="3">
                  <c:v>78.589909820502669</c:v>
                </c:pt>
                <c:pt idx="4">
                  <c:v>77.010174357122395</c:v>
                </c:pt>
                <c:pt idx="5">
                  <c:v>75.673585024776472</c:v>
                </c:pt>
                <c:pt idx="6">
                  <c:v>74.515269248654221</c:v>
                </c:pt>
                <c:pt idx="7">
                  <c:v>73.493262915212142</c:v>
                </c:pt>
                <c:pt idx="8">
                  <c:v>72.578859629874003</c:v>
                </c:pt>
                <c:pt idx="9">
                  <c:v>71.751557869012743</c:v>
                </c:pt>
                <c:pt idx="10">
                  <c:v>70.996206004525092</c:v>
                </c:pt>
                <c:pt idx="11">
                  <c:v>70.301289766655628</c:v>
                </c:pt>
                <c:pt idx="12">
                  <c:v>69.657854197645477</c:v>
                </c:pt>
                <c:pt idx="13">
                  <c:v>69.058797457483962</c:v>
                </c:pt>
                <c:pt idx="14">
                  <c:v>68.498392494729075</c:v>
                </c:pt>
                <c:pt idx="15">
                  <c:v>67.971953699650939</c:v>
                </c:pt>
                <c:pt idx="16">
                  <c:v>67.475598819282794</c:v>
                </c:pt>
                <c:pt idx="17">
                  <c:v>67.006075231825406</c:v>
                </c:pt>
                <c:pt idx="18">
                  <c:v>66.560630773592578</c:v>
                </c:pt>
                <c:pt idx="19">
                  <c:v>63.039213751042666</c:v>
                </c:pt>
                <c:pt idx="20">
                  <c:v>60.540545182997242</c:v>
                </c:pt>
                <c:pt idx="21">
                  <c:v>58.60235379646106</c:v>
                </c:pt>
                <c:pt idx="22">
                  <c:v>57.018690975151102</c:v>
                </c:pt>
                <c:pt idx="23">
                  <c:v>55.679687818414365</c:v>
                </c:pt>
                <c:pt idx="24">
                  <c:v>54.51975928235909</c:v>
                </c:pt>
                <c:pt idx="25">
                  <c:v>53.496600459937426</c:v>
                </c:pt>
                <c:pt idx="26">
                  <c:v>52.581325319112835</c:v>
                </c:pt>
                <c:pt idx="27">
                  <c:v>51.753330364334552</c:v>
                </c:pt>
                <c:pt idx="28">
                  <c:v>50.997402596384852</c:v>
                </c:pt>
                <c:pt idx="29">
                  <c:v>50.301989017351829</c:v>
                </c:pt>
                <c:pt idx="30">
                  <c:v>49.658109253259553</c:v>
                </c:pt>
                <c:pt idx="31">
                  <c:v>49.058644225192047</c:v>
                </c:pt>
                <c:pt idx="32">
                  <c:v>48.497854855961549</c:v>
                </c:pt>
                <c:pt idx="33">
                  <c:v>47.971046941044598</c:v>
                </c:pt>
                <c:pt idx="34">
                  <c:v>47.47433195392901</c:v>
                </c:pt>
                <c:pt idx="35">
                  <c:v>47.004452608214194</c:v>
                </c:pt>
                <c:pt idx="36">
                  <c:v>46.558653214969411</c:v>
                </c:pt>
                <c:pt idx="37">
                  <c:v>43.033346404630912</c:v>
                </c:pt>
                <c:pt idx="38">
                  <c:v>40.529718228416776</c:v>
                </c:pt>
                <c:pt idx="39">
                  <c:v>38.585334723208554</c:v>
                </c:pt>
                <c:pt idx="40">
                  <c:v>36.994256523679084</c:v>
                </c:pt>
                <c:pt idx="41">
                  <c:v>35.64667363885934</c:v>
                </c:pt>
                <c:pt idx="42">
                  <c:v>34.477083509565055</c:v>
                </c:pt>
                <c:pt idx="43">
                  <c:v>33.443278180755605</c:v>
                </c:pt>
                <c:pt idx="44">
                  <c:v>32.516478530918185</c:v>
                </c:pt>
                <c:pt idx="45">
                  <c:v>31.676195060441401</c:v>
                </c:pt>
                <c:pt idx="46">
                  <c:v>30.907333663723179</c:v>
                </c:pt>
                <c:pt idx="47">
                  <c:v>30.198463275085189</c:v>
                </c:pt>
                <c:pt idx="48">
                  <c:v>29.54072682285652</c:v>
                </c:pt>
                <c:pt idx="49">
                  <c:v>28.92712837402075</c:v>
                </c:pt>
                <c:pt idx="50">
                  <c:v>28.352050445431843</c:v>
                </c:pt>
                <c:pt idx="51">
                  <c:v>27.810917613570172</c:v>
                </c:pt>
                <c:pt idx="52">
                  <c:v>27.299956199989381</c:v>
                </c:pt>
                <c:pt idx="53">
                  <c:v>26.816018860867437</c:v>
                </c:pt>
                <c:pt idx="54">
                  <c:v>26.356454122362308</c:v>
                </c:pt>
                <c:pt idx="55">
                  <c:v>22.727488996388196</c:v>
                </c:pt>
                <c:pt idx="56">
                  <c:v>20.211310087038438</c:v>
                </c:pt>
                <c:pt idx="57">
                  <c:v>18.345295953617811</c:v>
                </c:pt>
                <c:pt idx="58">
                  <c:v>16.897327378853262</c:v>
                </c:pt>
                <c:pt idx="59">
                  <c:v>15.729020608163911</c:v>
                </c:pt>
                <c:pt idx="60">
                  <c:v>14.752861179133985</c:v>
                </c:pt>
                <c:pt idx="61">
                  <c:v>13.912246629964631</c:v>
                </c:pt>
                <c:pt idx="62">
                  <c:v>13.170029969194964</c:v>
                </c:pt>
                <c:pt idx="63">
                  <c:v>12.501458478434664</c:v>
                </c:pt>
                <c:pt idx="64">
                  <c:v>11.889740089770811</c:v>
                </c:pt>
                <c:pt idx="65">
                  <c:v>11.323244315383521</c:v>
                </c:pt>
                <c:pt idx="66">
                  <c:v>10.793727122101878</c:v>
                </c:pt>
                <c:pt idx="67">
                  <c:v>10.295197903727233</c:v>
                </c:pt>
                <c:pt idx="68">
                  <c:v>9.8231900015332716</c:v>
                </c:pt>
                <c:pt idx="69">
                  <c:v>9.3742860392464227</c:v>
                </c:pt>
                <c:pt idx="70">
                  <c:v>8.9458052714619765</c:v>
                </c:pt>
                <c:pt idx="71">
                  <c:v>8.5355948368000529</c:v>
                </c:pt>
                <c:pt idx="72">
                  <c:v>8.1418883181844937</c:v>
                </c:pt>
                <c:pt idx="73">
                  <c:v>4.8681084860231341</c:v>
                </c:pt>
                <c:pt idx="74">
                  <c:v>2.3670018028517035</c:v>
                </c:pt>
                <c:pt idx="75">
                  <c:v>0.31452163580670955</c:v>
                </c:pt>
                <c:pt idx="76">
                  <c:v>-1.4498846460411094</c:v>
                </c:pt>
                <c:pt idx="77">
                  <c:v>-3.0166843468702744</c:v>
                </c:pt>
                <c:pt idx="78">
                  <c:v>-4.4409436657325987</c:v>
                </c:pt>
                <c:pt idx="79">
                  <c:v>-5.7580779747080157</c:v>
                </c:pt>
                <c:pt idx="80">
                  <c:v>-6.9918454709318301</c:v>
                </c:pt>
                <c:pt idx="81">
                  <c:v>-8.158738812937262</c:v>
                </c:pt>
                <c:pt idx="82">
                  <c:v>-9.2705471733912006</c:v>
                </c:pt>
                <c:pt idx="83">
                  <c:v>-10.335921606850285</c:v>
                </c:pt>
                <c:pt idx="84">
                  <c:v>-11.361366375627547</c:v>
                </c:pt>
                <c:pt idx="85">
                  <c:v>-12.351884710135591</c:v>
                </c:pt>
                <c:pt idx="86">
                  <c:v>-13.311409151211549</c:v>
                </c:pt>
                <c:pt idx="87">
                  <c:v>-14.243093854758133</c:v>
                </c:pt>
                <c:pt idx="88">
                  <c:v>-15.149516483610599</c:v>
                </c:pt>
                <c:pt idx="89">
                  <c:v>-16.032819817530026</c:v>
                </c:pt>
                <c:pt idx="90">
                  <c:v>-16.894812566571002</c:v>
                </c:pt>
                <c:pt idx="91">
                  <c:v>-24.604617691612475</c:v>
                </c:pt>
                <c:pt idx="92">
                  <c:v>-31.13836155459385</c:v>
                </c:pt>
                <c:pt idx="93">
                  <c:v>-36.861210525630689</c:v>
                </c:pt>
                <c:pt idx="94">
                  <c:v>-41.965399957574085</c:v>
                </c:pt>
                <c:pt idx="95">
                  <c:v>-46.573587086451155</c:v>
                </c:pt>
                <c:pt idx="96">
                  <c:v>-50.773130860598322</c:v>
                </c:pt>
                <c:pt idx="97">
                  <c:v>-54.629923359717033</c:v>
                </c:pt>
                <c:pt idx="98">
                  <c:v>-58.195226274717939</c:v>
                </c:pt>
                <c:pt idx="99">
                  <c:v>-61.509707070265875</c:v>
                </c:pt>
                <c:pt idx="100">
                  <c:v>-64.60611385979638</c:v>
                </c:pt>
                <c:pt idx="101">
                  <c:v>-67.511161345666267</c:v>
                </c:pt>
                <c:pt idx="102">
                  <c:v>-70.246903019755166</c:v>
                </c:pt>
                <c:pt idx="103">
                  <c:v>-72.831747267370076</c:v>
                </c:pt>
                <c:pt idx="104">
                  <c:v>-75.28121894933463</c:v>
                </c:pt>
                <c:pt idx="105">
                  <c:v>-77.608536150803374</c:v>
                </c:pt>
                <c:pt idx="106">
                  <c:v>-79.825051352871725</c:v>
                </c:pt>
                <c:pt idx="107">
                  <c:v>-81.940592336811108</c:v>
                </c:pt>
                <c:pt idx="108">
                  <c:v>-83.963728334551078</c:v>
                </c:pt>
                <c:pt idx="109">
                  <c:v>-100.41819889473993</c:v>
                </c:pt>
                <c:pt idx="110">
                  <c:v>-112.45788922189962</c:v>
                </c:pt>
                <c:pt idx="111">
                  <c:v>-121.92778529972014</c:v>
                </c:pt>
                <c:pt idx="112">
                  <c:v>-129.72262918098707</c:v>
                </c:pt>
                <c:pt idx="113">
                  <c:v>-136.34183812417353</c:v>
                </c:pt>
                <c:pt idx="114">
                  <c:v>-142.09157881811322</c:v>
                </c:pt>
                <c:pt idx="115">
                  <c:v>-147.17270715380425</c:v>
                </c:pt>
                <c:pt idx="116">
                  <c:v>-151.72393715149875</c:v>
                </c:pt>
                <c:pt idx="117">
                  <c:v>-155.8450045037016</c:v>
                </c:pt>
                <c:pt idx="118">
                  <c:v>-159.60998280943062</c:v>
                </c:pt>
                <c:pt idx="119">
                  <c:v>-163.07537264043748</c:v>
                </c:pt>
                <c:pt idx="120">
                  <c:v>-166.2852421163976</c:v>
                </c:pt>
                <c:pt idx="121">
                  <c:v>-169.27461899166866</c:v>
                </c:pt>
                <c:pt idx="122">
                  <c:v>-172.07180144306363</c:v>
                </c:pt>
                <c:pt idx="123">
                  <c:v>-174.69997585985607</c:v>
                </c:pt>
                <c:pt idx="124">
                  <c:v>-177.17837662678559</c:v>
                </c:pt>
                <c:pt idx="125">
                  <c:v>-179.52313499537743</c:v>
                </c:pt>
                <c:pt idx="126">
                  <c:v>-181.74791187587266</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-82.283526446988944</c:v>
                </c:pt>
                <c:pt idx="1">
                  <c:v>-84.839763093630438</c:v>
                </c:pt>
                <c:pt idx="2">
                  <c:v>-86.126715190265756</c:v>
                </c:pt>
                <c:pt idx="3">
                  <c:v>-86.901189532567301</c:v>
                </c:pt>
                <c:pt idx="4">
                  <c:v>-87.418434188543287</c:v>
                </c:pt>
                <c:pt idx="5">
                  <c:v>-87.788398062989884</c:v>
                </c:pt>
                <c:pt idx="6">
                  <c:v>-88.066204311698712</c:v>
                </c:pt>
                <c:pt idx="7">
                  <c:v>-88.282526578199622</c:v>
                </c:pt>
                <c:pt idx="8">
                  <c:v>-88.455788436059407</c:v>
                </c:pt>
                <c:pt idx="9">
                  <c:v>-88.597722472893153</c:v>
                </c:pt>
                <c:pt idx="10">
                  <c:v>-88.716154485122559</c:v>
                </c:pt>
                <c:pt idx="11">
                  <c:v>-88.816504427782689</c:v>
                </c:pt>
                <c:pt idx="12">
                  <c:v>-88.90264484150201</c:v>
                </c:pt>
                <c:pt idx="13">
                  <c:v>-88.977416245322772</c:v>
                </c:pt>
                <c:pt idx="14">
                  <c:v>-89.042949420461838</c:v>
                </c:pt>
                <c:pt idx="15">
                  <c:v>-89.100874030536929</c:v>
                </c:pt>
                <c:pt idx="16">
                  <c:v>-89.152457746684505</c:v>
                </c:pt>
                <c:pt idx="17">
                  <c:v>-89.198701463604877</c:v>
                </c:pt>
                <c:pt idx="18">
                  <c:v>-89.240405965401834</c:v>
                </c:pt>
                <c:pt idx="19">
                  <c:v>-89.507640760732244</c:v>
                </c:pt>
                <c:pt idx="20">
                  <c:v>-89.64547837661425</c:v>
                </c:pt>
                <c:pt idx="21">
                  <c:v>-89.731549990438623</c:v>
                </c:pt>
                <c:pt idx="22">
                  <c:v>-89.791735184752937</c:v>
                </c:pt>
                <c:pt idx="23">
                  <c:v>-89.837125309719298</c:v>
                </c:pt>
                <c:pt idx="24">
                  <c:v>-89.873265781270945</c:v>
                </c:pt>
                <c:pt idx="25">
                  <c:v>-89.903237069673864</c:v>
                </c:pt>
                <c:pt idx="26">
                  <c:v>-89.928887144305236</c:v>
                </c:pt>
                <c:pt idx="27">
                  <c:v>-89.951391689652354</c:v>
                </c:pt>
                <c:pt idx="28">
                  <c:v>-89.971534217858718</c:v>
                </c:pt>
                <c:pt idx="29">
                  <c:v>-89.989856900239417</c:v>
                </c:pt>
                <c:pt idx="30">
                  <c:v>-90.00674675740656</c:v>
                </c:pt>
                <c:pt idx="31">
                  <c:v>-90.022487373659018</c:v>
                </c:pt>
                <c:pt idx="32">
                  <c:v>-90.037291218646089</c:v>
                </c:pt>
                <c:pt idx="33">
                  <c:v>-90.051320561499523</c:v>
                </c:pt>
                <c:pt idx="34">
                  <c:v>-90.064701413685327</c:v>
                </c:pt>
                <c:pt idx="35">
                  <c:v>-90.077533068944206</c:v>
                </c:pt>
                <c:pt idx="36">
                  <c:v>-90.089894781348207</c:v>
                </c:pt>
                <c:pt idx="37">
                  <c:v>-90.197457721906261</c:v>
                </c:pt>
                <c:pt idx="38">
                  <c:v>-90.289494202315325</c:v>
                </c:pt>
                <c:pt idx="39">
                  <c:v>-90.372850693892644</c:v>
                </c:pt>
                <c:pt idx="40">
                  <c:v>-90.449228212252606</c:v>
                </c:pt>
                <c:pt idx="41">
                  <c:v>-90.518910198451081</c:v>
                </c:pt>
                <c:pt idx="42">
                  <c:v>-90.581703198246728</c:v>
                </c:pt>
                <c:pt idx="43">
                  <c:v>-90.637252524768087</c:v>
                </c:pt>
                <c:pt idx="44">
                  <c:v>-90.685168798396589</c:v>
                </c:pt>
                <c:pt idx="45">
                  <c:v>-90.725085312073162</c:v>
                </c:pt>
                <c:pt idx="46">
                  <c:v>-90.756686267431675</c:v>
                </c:pt>
                <c:pt idx="47">
                  <c:v>-90.779721147543256</c:v>
                </c:pt>
                <c:pt idx="48">
                  <c:v>-90.79401168152522</c:v>
                </c:pt>
                <c:pt idx="49">
                  <c:v>-90.799454402008493</c:v>
                </c:pt>
                <c:pt idx="50">
                  <c:v>-90.796020335108139</c:v>
                </c:pt>
                <c:pt idx="51">
                  <c:v>-90.783752702410752</c:v>
                </c:pt>
                <c:pt idx="52">
                  <c:v>-90.762763196570688</c:v>
                </c:pt>
                <c:pt idx="53">
                  <c:v>-90.733227227550287</c:v>
                </c:pt>
                <c:pt idx="54">
                  <c:v>-90.695378443428098</c:v>
                </c:pt>
                <c:pt idx="55">
                  <c:v>-89.940469691702958</c:v>
                </c:pt>
                <c:pt idx="56">
                  <c:v>-88.818996031318449</c:v>
                </c:pt>
                <c:pt idx="57">
                  <c:v>-87.731650363706507</c:v>
                </c:pt>
                <c:pt idx="58">
                  <c:v>-86.905432510785801</c:v>
                </c:pt>
                <c:pt idx="59">
                  <c:v>-86.415133909181591</c:v>
                </c:pt>
                <c:pt idx="60">
                  <c:v>-86.249401872376708</c:v>
                </c:pt>
                <c:pt idx="61">
                  <c:v>-86.360797391641313</c:v>
                </c:pt>
                <c:pt idx="62">
                  <c:v>-86.693414724092662</c:v>
                </c:pt>
                <c:pt idx="63">
                  <c:v>-87.195367294075211</c:v>
                </c:pt>
                <c:pt idx="64">
                  <c:v>-87.823135454379454</c:v>
                </c:pt>
                <c:pt idx="65">
                  <c:v>-88.542109453104857</c:v>
                </c:pt>
                <c:pt idx="66">
                  <c:v>-89.325609480326577</c:v>
                </c:pt>
                <c:pt idx="67">
                  <c:v>-90.1534686769959</c:v>
                </c:pt>
                <c:pt idx="68">
                  <c:v>-91.010645189350001</c:v>
                </c:pt>
                <c:pt idx="69">
                  <c:v>-91.886031274665129</c:v>
                </c:pt>
                <c:pt idx="70">
                  <c:v>-92.771494146201206</c:v>
                </c:pt>
                <c:pt idx="71">
                  <c:v>-93.661129717987848</c:v>
                </c:pt>
                <c:pt idx="72">
                  <c:v>-94.550693536853402</c:v>
                </c:pt>
                <c:pt idx="73">
                  <c:v>-103.08646418638716</c:v>
                </c:pt>
                <c:pt idx="74">
                  <c:v>-110.85013731413497</c:v>
                </c:pt>
                <c:pt idx="75">
                  <c:v>-118.0450061039429</c:v>
                </c:pt>
                <c:pt idx="76">
                  <c:v>-124.83124974110406</c:v>
                </c:pt>
                <c:pt idx="77">
                  <c:v>-131.29543395205158</c:v>
                </c:pt>
                <c:pt idx="78">
                  <c:v>-137.48482537260122</c:v>
                </c:pt>
                <c:pt idx="79">
                  <c:v>-143.42732500314497</c:v>
                </c:pt>
                <c:pt idx="80">
                  <c:v>-149.14134406781071</c:v>
                </c:pt>
                <c:pt idx="81">
                  <c:v>-154.64063710537332</c:v>
                </c:pt>
                <c:pt idx="82">
                  <c:v>-159.93666306323797</c:v>
                </c:pt>
                <c:pt idx="83">
                  <c:v>-165.0397171436959</c:v>
                </c:pt>
                <c:pt idx="84">
                  <c:v>-169.95944632905639</c:v>
                </c:pt>
                <c:pt idx="85">
                  <c:v>-174.70505937398767</c:v>
                </c:pt>
                <c:pt idx="86">
                  <c:v>-179.28539156125566</c:v>
                </c:pt>
                <c:pt idx="87">
                  <c:v>-183.70890685660231</c:v>
                </c:pt>
                <c:pt idx="88">
                  <c:v>-187.98367906624702</c:v>
                </c:pt>
                <c:pt idx="89">
                  <c:v>-192.11737174616525</c:v>
                </c:pt>
                <c:pt idx="90">
                  <c:v>-196.1172250871293</c:v>
                </c:pt>
                <c:pt idx="91">
                  <c:v>-230.05789945834698</c:v>
                </c:pt>
                <c:pt idx="92">
                  <c:v>-255.91563380837059</c:v>
                </c:pt>
                <c:pt idx="93">
                  <c:v>-276.33582146645688</c:v>
                </c:pt>
                <c:pt idx="94">
                  <c:v>-292.88535421370733</c:v>
                </c:pt>
                <c:pt idx="95">
                  <c:v>-306.58011566649424</c:v>
                </c:pt>
                <c:pt idx="96">
                  <c:v>-318.1115390650657</c:v>
                </c:pt>
                <c:pt idx="97">
                  <c:v>-327.96473571100938</c:v>
                </c:pt>
                <c:pt idx="98">
                  <c:v>-336.48854386445589</c:v>
                </c:pt>
                <c:pt idx="99">
                  <c:v>-343.93958506307411</c:v>
                </c:pt>
                <c:pt idx="100">
                  <c:v>-350.5107652517475</c:v>
                </c:pt>
                <c:pt idx="101">
                  <c:v>-356.35006147437548</c:v>
                </c:pt>
                <c:pt idx="102">
                  <c:v>-361.57311715225393</c:v>
                </c:pt>
                <c:pt idx="103">
                  <c:v>-366.27183488863216</c:v>
                </c:pt>
                <c:pt idx="104">
                  <c:v>-370.52034635891948</c:v>
                </c:pt>
                <c:pt idx="105">
                  <c:v>-374.37923803837862</c:v>
                </c:pt>
                <c:pt idx="106">
                  <c:v>-377.89859864091875</c:v>
                </c:pt>
                <c:pt idx="107">
                  <c:v>-381.12025712693952</c:v>
                </c:pt>
                <c:pt idx="108">
                  <c:v>-384.07945499611617</c:v>
                </c:pt>
                <c:pt idx="109">
                  <c:v>-404.15607507407015</c:v>
                </c:pt>
                <c:pt idx="110">
                  <c:v>-415.03161601809575</c:v>
                </c:pt>
                <c:pt idx="111">
                  <c:v>-421.79297917164672</c:v>
                </c:pt>
                <c:pt idx="112">
                  <c:v>-426.3851824232288</c:v>
                </c:pt>
                <c:pt idx="113">
                  <c:v>-429.70124152190965</c:v>
                </c:pt>
                <c:pt idx="114">
                  <c:v>-432.20551616031673</c:v>
                </c:pt>
                <c:pt idx="115">
                  <c:v>-434.16235428161042</c:v>
                </c:pt>
                <c:pt idx="116">
                  <c:v>-435.73295550293733</c:v>
                </c:pt>
                <c:pt idx="117">
                  <c:v>-437.02106814825851</c:v>
                </c:pt>
                <c:pt idx="118">
                  <c:v>-438.09642774792422</c:v>
                </c:pt>
                <c:pt idx="119">
                  <c:v>-439.00761031520528</c:v>
                </c:pt>
                <c:pt idx="120">
                  <c:v>-439.7894771689447</c:v>
                </c:pt>
                <c:pt idx="121">
                  <c:v>-440.46768816342194</c:v>
                </c:pt>
                <c:pt idx="122">
                  <c:v>-441.06154526134731</c:v>
                </c:pt>
                <c:pt idx="123">
                  <c:v>-441.58584431688951</c:v>
                </c:pt>
                <c:pt idx="124">
                  <c:v>-442.0521160105032</c:v>
                </c:pt>
                <c:pt idx="125">
                  <c:v>-442.46947852662618</c:v>
                </c:pt>
                <c:pt idx="126">
                  <c:v>-442.84523653968949</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91.162622855044049</c:v>
                </c:pt>
                <c:pt idx="1">
                  <c:v>87.684531656392082</c:v>
                </c:pt>
                <c:pt idx="2">
                  <c:v>85.201164937347343</c:v>
                </c:pt>
                <c:pt idx="3">
                  <c:v>83.270111062430217</c:v>
                </c:pt>
                <c:pt idx="4">
                  <c:v>81.690368950776502</c:v>
                </c:pt>
                <c:pt idx="5">
                  <c:v>80.353771761416297</c:v>
                </c:pt>
                <c:pt idx="6">
                  <c:v>79.195446919556545</c:v>
                </c:pt>
                <c:pt idx="7">
                  <c:v>78.173430311674636</c:v>
                </c:pt>
                <c:pt idx="8">
                  <c:v>77.259015543217998</c:v>
                </c:pt>
                <c:pt idx="9">
                  <c:v>76.431701090585918</c:v>
                </c:pt>
                <c:pt idx="10">
                  <c:v>75.676335325703917</c:v>
                </c:pt>
                <c:pt idx="11">
                  <c:v>74.981403978848675</c:v>
                </c:pt>
                <c:pt idx="12">
                  <c:v>74.337952092295552</c:v>
                </c:pt>
                <c:pt idx="13">
                  <c:v>73.738877826071601</c:v>
                </c:pt>
                <c:pt idx="14">
                  <c:v>73.17845412877459</c:v>
                </c:pt>
                <c:pt idx="15">
                  <c:v>72.651995390717858</c:v>
                </c:pt>
                <c:pt idx="16">
                  <c:v>72.155619358980005</c:v>
                </c:pt>
                <c:pt idx="17">
                  <c:v>71.686073411810398</c:v>
                </c:pt>
                <c:pt idx="18">
                  <c:v>71.240605385573843</c:v>
                </c:pt>
                <c:pt idx="19">
                  <c:v>67.71888624019121</c:v>
                </c:pt>
                <c:pt idx="20">
                  <c:v>65.219794796956052</c:v>
                </c:pt>
                <c:pt idx="21">
                  <c:v>63.281059879539548</c:v>
                </c:pt>
                <c:pt idx="22">
                  <c:v>61.696732995789098</c:v>
                </c:pt>
                <c:pt idx="23">
                  <c:v>60.356945396530882</c:v>
                </c:pt>
                <c:pt idx="24">
                  <c:v>59.196112216562121</c:v>
                </c:pt>
                <c:pt idx="25">
                  <c:v>58.171928754570715</c:v>
                </c:pt>
                <c:pt idx="26">
                  <c:v>57.255509211118792</c:v>
                </c:pt>
                <c:pt idx="27">
                  <c:v>56.426250349911285</c:v>
                </c:pt>
                <c:pt idx="28">
                  <c:v>55.668939457416478</c:v>
                </c:pt>
                <c:pt idx="29">
                  <c:v>54.97202384759521</c:v>
                </c:pt>
                <c:pt idx="30">
                  <c:v>54.326523484267959</c:v>
                </c:pt>
                <c:pt idx="31">
                  <c:v>53.725319651960433</c:v>
                </c:pt>
                <c:pt idx="32">
                  <c:v>53.16267366227779</c:v>
                </c:pt>
                <c:pt idx="33">
                  <c:v>52.633891724533214</c:v>
                </c:pt>
                <c:pt idx="34">
                  <c:v>52.135085750774657</c:v>
                </c:pt>
                <c:pt idx="35">
                  <c:v>51.662998917553011</c:v>
                </c:pt>
                <c:pt idx="36">
                  <c:v>51.214876022938356</c:v>
                </c:pt>
                <c:pt idx="37">
                  <c:v>47.660077045650915</c:v>
                </c:pt>
                <c:pt idx="38">
                  <c:v>45.116055211223291</c:v>
                </c:pt>
                <c:pt idx="39">
                  <c:v>43.121199948009711</c:v>
                </c:pt>
                <c:pt idx="40">
                  <c:v>41.470547053114437</c:v>
                </c:pt>
                <c:pt idx="41">
                  <c:v>40.055369557953021</c:v>
                </c:pt>
                <c:pt idx="42">
                  <c:v>38.811311612883493</c:v>
                </c:pt>
                <c:pt idx="43">
                  <c:v>37.697333550650526</c:v>
                </c:pt>
                <c:pt idx="44">
                  <c:v>36.685808457437339</c:v>
                </c:pt>
                <c:pt idx="45">
                  <c:v>35.757351516998348</c:v>
                </c:pt>
                <c:pt idx="46">
                  <c:v>34.897901446438119</c:v>
                </c:pt>
                <c:pt idx="47">
                  <c:v>34.096971004411074</c:v>
                </c:pt>
                <c:pt idx="48">
                  <c:v>33.346547492271412</c:v>
                </c:pt>
                <c:pt idx="49">
                  <c:v>32.640375235232156</c:v>
                </c:pt>
                <c:pt idx="50">
                  <c:v>31.97347293996112</c:v>
                </c:pt>
                <c:pt idx="51">
                  <c:v>31.341800948836305</c:v>
                </c:pt>
                <c:pt idx="52">
                  <c:v>30.742027127973738</c:v>
                </c:pt>
                <c:pt idx="53">
                  <c:v>30.171359310060101</c:v>
                </c:pt>
                <c:pt idx="54">
                  <c:v>29.627423586121481</c:v>
                </c:pt>
                <c:pt idx="55">
                  <c:v>25.307153760893446</c:v>
                </c:pt>
                <c:pt idx="56">
                  <c:v>22.350032341384793</c:v>
                </c:pt>
                <c:pt idx="57">
                  <c:v>20.208177675691104</c:v>
                </c:pt>
                <c:pt idx="58">
                  <c:v>18.582765972892552</c:v>
                </c:pt>
                <c:pt idx="59">
                  <c:v>17.295875456193961</c:v>
                </c:pt>
                <c:pt idx="60">
                  <c:v>16.237471626125956</c:v>
                </c:pt>
                <c:pt idx="61">
                  <c:v>15.337901536426932</c:v>
                </c:pt>
                <c:pt idx="62">
                  <c:v>14.552202495767634</c:v>
                </c:pt>
                <c:pt idx="63">
                  <c:v>13.850771347336195</c:v>
                </c:pt>
                <c:pt idx="64">
                  <c:v>13.213701579401674</c:v>
                </c:pt>
                <c:pt idx="65">
                  <c:v>12.627299703475957</c:v>
                </c:pt>
                <c:pt idx="66">
                  <c:v>12.081916391357712</c:v>
                </c:pt>
                <c:pt idx="67">
                  <c:v>11.570579542229314</c:v>
                </c:pt>
                <c:pt idx="68">
                  <c:v>11.08812153607721</c:v>
                </c:pt>
                <c:pt idx="69">
                  <c:v>10.630614304041549</c:v>
                </c:pt>
                <c:pt idx="70">
                  <c:v>10.194998318141275</c:v>
                </c:pt>
                <c:pt idx="71">
                  <c:v>9.7788352157004752</c:v>
                </c:pt>
                <c:pt idx="72">
                  <c:v>9.3801402371848468</c:v>
                </c:pt>
                <c:pt idx="73">
                  <c:v>6.0850157360306607</c:v>
                </c:pt>
                <c:pt idx="74">
                  <c:v>3.5843779499298525</c:v>
                </c:pt>
                <c:pt idx="75">
                  <c:v>1.5409028321073608</c:v>
                </c:pt>
                <c:pt idx="76">
                  <c:v>-0.20931554892259041</c:v>
                </c:pt>
                <c:pt idx="77">
                  <c:v>-1.7579262784449368</c:v>
                </c:pt>
                <c:pt idx="78">
                  <c:v>-3.1605169967653368</c:v>
                </c:pt>
                <c:pt idx="79">
                  <c:v>-4.4527793988417104</c:v>
                </c:pt>
                <c:pt idx="80">
                  <c:v>-5.6586444176462809</c:v>
                </c:pt>
                <c:pt idx="81">
                  <c:v>-6.7947298483379486</c:v>
                </c:pt>
                <c:pt idx="82">
                  <c:v>-7.8729270692930671</c:v>
                </c:pt>
                <c:pt idx="83">
                  <c:v>-8.9019781675721426</c:v>
                </c:pt>
                <c:pt idx="84">
                  <c:v>-9.8884731839493671</c:v>
                </c:pt>
                <c:pt idx="85">
                  <c:v>-10.837498948315805</c:v>
                </c:pt>
                <c:pt idx="86">
                  <c:v>-11.753071025288058</c:v>
                </c:pt>
                <c:pt idx="87">
                  <c:v>-12.638426822283233</c:v>
                </c:pt>
                <c:pt idx="88">
                  <c:v>-13.496227833131627</c:v>
                </c:pt>
                <c:pt idx="89">
                  <c:v>-14.328701337685118</c:v>
                </c:pt>
                <c:pt idx="90">
                  <c:v>-15.137741150516259</c:v>
                </c:pt>
                <c:pt idx="91">
                  <c:v>-22.220000770047445</c:v>
                </c:pt>
                <c:pt idx="92">
                  <c:v>-28.00406436277671</c:v>
                </c:pt>
                <c:pt idx="93">
                  <c:v>-32.921177135408271</c:v>
                </c:pt>
                <c:pt idx="94">
                  <c:v>-37.208409405229361</c:v>
                </c:pt>
                <c:pt idx="95">
                  <c:v>-41.015179392624148</c:v>
                </c:pt>
                <c:pt idx="96">
                  <c:v>-44.443107009947759</c:v>
                </c:pt>
                <c:pt idx="97">
                  <c:v>-47.564596647312911</c:v>
                </c:pt>
                <c:pt idx="98">
                  <c:v>-50.432935082997318</c:v>
                </c:pt>
                <c:pt idx="99">
                  <c:v>-53.088356301687703</c:v>
                </c:pt>
                <c:pt idx="100">
                  <c:v>-55.561914510083312</c:v>
                </c:pt>
                <c:pt idx="101">
                  <c:v>-57.878055374719835</c:v>
                </c:pt>
                <c:pt idx="102">
                  <c:v>-60.056369822442505</c:v>
                </c:pt>
                <c:pt idx="103">
                  <c:v>-62.112815768768456</c:v>
                </c:pt>
                <c:pt idx="104">
                  <c:v>-64.060584718919245</c:v>
                </c:pt>
                <c:pt idx="105">
                  <c:v>-65.910726715969545</c:v>
                </c:pt>
                <c:pt idx="106">
                  <c:v>-67.672608150871383</c:v>
                </c:pt>
                <c:pt idx="107">
                  <c:v>-69.354252258248025</c:v>
                </c:pt>
                <c:pt idx="108">
                  <c:v>-70.962596115170854</c:v>
                </c:pt>
                <c:pt idx="109">
                  <c:v>-84.056828181097785</c:v>
                </c:pt>
                <c:pt idx="110">
                  <c:v>-93.655750012446504</c:v>
                </c:pt>
                <c:pt idx="111">
                  <c:v>-101.21455898144552</c:v>
                </c:pt>
                <c:pt idx="112">
                  <c:v>-107.44057732796162</c:v>
                </c:pt>
                <c:pt idx="113">
                  <c:v>-112.72979847409486</c:v>
                </c:pt>
                <c:pt idx="114">
                  <c:v>-117.32551770294015</c:v>
                </c:pt>
                <c:pt idx="115">
                  <c:v>-121.38758853837678</c:v>
                </c:pt>
                <c:pt idx="116">
                  <c:v>-125.02652711131516</c:v>
                </c:pt>
                <c:pt idx="117">
                  <c:v>-128.32185685460192</c:v>
                </c:pt>
                <c:pt idx="118">
                  <c:v>-131.33267409635147</c:v>
                </c:pt>
                <c:pt idx="119">
                  <c:v>-134.10407529363627</c:v>
                </c:pt>
                <c:pt idx="120">
                  <c:v>-136.67124596675251</c:v>
                </c:pt>
                <c:pt idx="121">
                  <c:v>-139.06216114657428</c:v>
                </c:pt>
                <c:pt idx="122">
                  <c:v>-141.29942624653768</c:v>
                </c:pt>
                <c:pt idx="123">
                  <c:v>-143.40156656969225</c:v>
                </c:pt>
                <c:pt idx="124">
                  <c:v>-145.38395216255097</c:v>
                </c:pt>
                <c:pt idx="125">
                  <c:v>-147.25947498793852</c:v>
                </c:pt>
                <c:pt idx="126">
                  <c:v>-149.03905388108748</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29402.030194656581</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Bode!$BX$7</c:f>
              <c:numCache>
                <c:formatCode>General</c:formatCode>
                <c:ptCount val="1"/>
                <c:pt idx="0">
                  <c:v>1495.2637482280802</c:v>
                </c:pt>
              </c:numCache>
            </c:numRef>
          </c:xVal>
          <c:yVal>
            <c:numRef>
              <c:f>Bode!$BX$8</c:f>
              <c:numCache>
                <c:formatCode>0.00</c:formatCode>
                <c:ptCount val="1"/>
                <c:pt idx="0">
                  <c:v>25.348077532123263</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Bode!$BS$8</c:f>
              <c:numCache>
                <c:formatCode>_(* #,##0.0_);_(* \(#,##0.0\);_(* "-"?_);_(@_)</c:formatCode>
                <c:ptCount val="1"/>
                <c:pt idx="0">
                  <c:v>2787.4978317771465</c:v>
                </c:pt>
              </c:numCache>
            </c:numRef>
          </c:xVal>
          <c:yVal>
            <c:numRef>
              <c:f>Bode!$BT$8</c:f>
              <c:numCache>
                <c:formatCode>_(* #,##0.0_);_(* \(#,##0.0\);_(* "-"?_);_(@_)</c:formatCode>
                <c:ptCount val="1"/>
                <c:pt idx="0">
                  <c:v>17.512720302165306</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-82.302354217346107</c:v>
                </c:pt>
                <c:pt idx="1">
                  <c:v>-84.868004723585869</c:v>
                </c:pt>
                <c:pt idx="2">
                  <c:v>-86.164370649123285</c:v>
                </c:pt>
                <c:pt idx="3">
                  <c:v>-86.948258779398827</c:v>
                </c:pt>
                <c:pt idx="4">
                  <c:v>-87.474917172189052</c:v>
                </c:pt>
                <c:pt idx="5">
                  <c:v>-87.854294722058697</c:v>
                </c:pt>
                <c:pt idx="6">
                  <c:v>-88.141514574568177</c:v>
                </c:pt>
                <c:pt idx="7">
                  <c:v>-88.367250363016495</c:v>
                </c:pt>
                <c:pt idx="8">
                  <c:v>-88.549925650739908</c:v>
                </c:pt>
                <c:pt idx="9">
                  <c:v>-88.701273015123434</c:v>
                </c:pt>
                <c:pt idx="10">
                  <c:v>-88.829118242359144</c:v>
                </c:pt>
                <c:pt idx="11">
                  <c:v>-88.938881277252932</c:v>
                </c:pt>
                <c:pt idx="12">
                  <c:v>-89.034434650204673</c:v>
                </c:pt>
                <c:pt idx="13">
                  <c:v>-89.118618870028584</c:v>
                </c:pt>
                <c:pt idx="14">
                  <c:v>-89.193564707714174</c:v>
                </c:pt>
                <c:pt idx="15">
                  <c:v>-89.260901816652435</c:v>
                </c:pt>
                <c:pt idx="16">
                  <c:v>-89.321897857753868</c:v>
                </c:pt>
                <c:pt idx="17">
                  <c:v>-89.37755371549359</c:v>
                </c:pt>
                <c:pt idx="18">
                  <c:v>-89.428670163750965</c:v>
                </c:pt>
                <c:pt idx="19">
                  <c:v>-89.790011485249252</c:v>
                </c:pt>
                <c:pt idx="20">
                  <c:v>-90.021924952344548</c:v>
                </c:pt>
                <c:pt idx="21">
                  <c:v>-90.20203153849836</c:v>
                </c:pt>
                <c:pt idx="22">
                  <c:v>-90.356200640310547</c:v>
                </c:pt>
                <c:pt idx="23">
                  <c:v>-90.495513444390568</c:v>
                </c:pt>
                <c:pt idx="24">
                  <c:v>-90.625505229874847</c:v>
                </c:pt>
                <c:pt idx="25">
                  <c:v>-90.749246361286936</c:v>
                </c:pt>
                <c:pt idx="26">
                  <c:v>-90.868574737544549</c:v>
                </c:pt>
                <c:pt idx="27">
                  <c:v>-90.984656012108687</c:v>
                </c:pt>
                <c:pt idx="28">
                  <c:v>-91.098263709596168</c:v>
                </c:pt>
                <c:pt idx="29">
                  <c:v>-91.209930061270938</c:v>
                </c:pt>
                <c:pt idx="30">
                  <c:v>-91.320032199050701</c:v>
                </c:pt>
                <c:pt idx="31">
                  <c:v>-91.428843873679568</c:v>
                </c:pt>
                <c:pt idx="32">
                  <c:v>-91.536567780073</c:v>
                </c:pt>
                <c:pt idx="33">
                  <c:v>-91.643356475027574</c:v>
                </c:pt>
                <c:pt idx="34">
                  <c:v>-91.749326323546356</c:v>
                </c:pt>
                <c:pt idx="35">
                  <c:v>-91.854567042147622</c:v>
                </c:pt>
                <c:pt idx="36">
                  <c:v>-91.959148380185255</c:v>
                </c:pt>
                <c:pt idx="37">
                  <c:v>-92.976455331737213</c:v>
                </c:pt>
                <c:pt idx="38">
                  <c:v>-93.949484474871554</c:v>
                </c:pt>
                <c:pt idx="39">
                  <c:v>-94.87718201675878</c:v>
                </c:pt>
                <c:pt idx="40">
                  <c:v>-95.754556874829589</c:v>
                </c:pt>
                <c:pt idx="41">
                  <c:v>-96.576518831058621</c:v>
                </c:pt>
                <c:pt idx="42">
                  <c:v>-97.338861972754572</c:v>
                </c:pt>
                <c:pt idx="43">
                  <c:v>-98.038557707689691</c:v>
                </c:pt>
                <c:pt idx="44">
                  <c:v>-98.673801429004413</c:v>
                </c:pt>
                <c:pt idx="45">
                  <c:v>-99.243946026707349</c:v>
                </c:pt>
                <c:pt idx="46">
                  <c:v>-99.749377550667504</c:v>
                </c:pt>
                <c:pt idx="47">
                  <c:v>-100.19136293969065</c:v>
                </c:pt>
                <c:pt idx="48">
                  <c:v>-100.5718887085543</c:v>
                </c:pt>
                <c:pt idx="49">
                  <c:v>-100.89350311036026</c:v>
                </c:pt>
                <c:pt idx="50">
                  <c:v>-101.15916982938369</c:v>
                </c:pt>
                <c:pt idx="51">
                  <c:v>-101.37213790136401</c:v>
                </c:pt>
                <c:pt idx="52">
                  <c:v>-101.53583003691227</c:v>
                </c:pt>
                <c:pt idx="53">
                  <c:v>-101.65374970643335</c:v>
                </c:pt>
                <c:pt idx="54">
                  <c:v>-101.72940611889076</c:v>
                </c:pt>
                <c:pt idx="55">
                  <c:v>-100.85590475149949</c:v>
                </c:pt>
                <c:pt idx="56">
                  <c:v>-98.620397341508863</c:v>
                </c:pt>
                <c:pt idx="57">
                  <c:v>-96.285725876602967</c:v>
                </c:pt>
                <c:pt idx="58">
                  <c:v>-94.323804200429876</c:v>
                </c:pt>
                <c:pt idx="59">
                  <c:v>-92.853344126121826</c:v>
                </c:pt>
                <c:pt idx="60">
                  <c:v>-91.850721604477798</c:v>
                </c:pt>
                <c:pt idx="61">
                  <c:v>-91.244566117442901</c:v>
                </c:pt>
                <c:pt idx="62">
                  <c:v>-90.956046158508983</c:v>
                </c:pt>
                <c:pt idx="63">
                  <c:v>-90.914257888495854</c:v>
                </c:pt>
                <c:pt idx="64">
                  <c:v>-91.060621446155253</c:v>
                </c:pt>
                <c:pt idx="65">
                  <c:v>-91.348767007766995</c:v>
                </c:pt>
                <c:pt idx="66">
                  <c:v>-91.742839265181019</c:v>
                </c:pt>
                <c:pt idx="67">
                  <c:v>-92.215476048199662</c:v>
                </c:pt>
                <c:pt idx="68">
                  <c:v>-92.745949379454544</c:v>
                </c:pt>
                <c:pt idx="69">
                  <c:v>-93.318618413452114</c:v>
                </c:pt>
                <c:pt idx="70">
                  <c:v>-93.921703582888313</c:v>
                </c:pt>
                <c:pt idx="71">
                  <c:v>-94.546340714632919</c:v>
                </c:pt>
                <c:pt idx="72">
                  <c:v>-95.185861888238321</c:v>
                </c:pt>
                <c:pt idx="73">
                  <c:v>-101.72873775284592</c:v>
                </c:pt>
                <c:pt idx="74">
                  <c:v>-107.95172319656706</c:v>
                </c:pt>
                <c:pt idx="75">
                  <c:v>-113.79329079410752</c:v>
                </c:pt>
                <c:pt idx="76">
                  <c:v>-119.32309416478697</c:v>
                </c:pt>
                <c:pt idx="77">
                  <c:v>-124.58879201387728</c:v>
                </c:pt>
                <c:pt idx="78">
                  <c:v>-129.6184008282367</c:v>
                </c:pt>
                <c:pt idx="79">
                  <c:v>-134.42937139329558</c:v>
                </c:pt>
                <c:pt idx="80">
                  <c:v>-139.03407528093538</c:v>
                </c:pt>
                <c:pt idx="81">
                  <c:v>-143.44262884624612</c:v>
                </c:pt>
                <c:pt idx="82">
                  <c:v>-147.66424462606375</c:v>
                </c:pt>
                <c:pt idx="83">
                  <c:v>-151.70781723026951</c:v>
                </c:pt>
                <c:pt idx="84">
                  <c:v>-155.58212574745011</c:v>
                </c:pt>
                <c:pt idx="85">
                  <c:v>-159.29585524753571</c:v>
                </c:pt>
                <c:pt idx="86">
                  <c:v>-162.857543404632</c:v>
                </c:pt>
                <c:pt idx="87">
                  <c:v>-166.27550607090279</c:v>
                </c:pt>
                <c:pt idx="88">
                  <c:v>-169.55776736737042</c:v>
                </c:pt>
                <c:pt idx="89">
                  <c:v>-172.7120047360674</c:v>
                </c:pt>
                <c:pt idx="90">
                  <c:v>-175.74551158143441</c:v>
                </c:pt>
                <c:pt idx="91">
                  <c:v>-200.76021533567356</c:v>
                </c:pt>
                <c:pt idx="92">
                  <c:v>-219.04268918951902</c:v>
                </c:pt>
                <c:pt idx="93">
                  <c:v>-233.14637137907164</c:v>
                </c:pt>
                <c:pt idx="94">
                  <c:v>-244.46371439070475</c:v>
                </c:pt>
                <c:pt idx="95">
                  <c:v>-253.81979747620409</c:v>
                </c:pt>
                <c:pt idx="96">
                  <c:v>-261.73343745822615</c:v>
                </c:pt>
                <c:pt idx="97">
                  <c:v>-268.5463046080057</c:v>
                </c:pt>
                <c:pt idx="98">
                  <c:v>-274.49268732158998</c:v>
                </c:pt>
                <c:pt idx="99">
                  <c:v>-279.73928410608369</c:v>
                </c:pt>
                <c:pt idx="100">
                  <c:v>-284.40876646694767</c:v>
                </c:pt>
                <c:pt idx="101">
                  <c:v>-288.59416921435928</c:v>
                </c:pt>
                <c:pt idx="102">
                  <c:v>-292.36793323333882</c:v>
                </c:pt>
                <c:pt idx="103">
                  <c:v>-295.78774849816966</c:v>
                </c:pt>
                <c:pt idx="104">
                  <c:v>-298.90043588172938</c:v>
                </c:pt>
                <c:pt idx="105">
                  <c:v>-301.74459834012259</c:v>
                </c:pt>
                <c:pt idx="106">
                  <c:v>-304.35248146361664</c:v>
                </c:pt>
                <c:pt idx="107">
                  <c:v>-306.75131374873621</c:v>
                </c:pt>
                <c:pt idx="108">
                  <c:v>-308.96429607775246</c:v>
                </c:pt>
                <c:pt idx="109">
                  <c:v>-324.20371268741076</c:v>
                </c:pt>
                <c:pt idx="110">
                  <c:v>-332.6010087341773</c:v>
                </c:pt>
                <c:pt idx="111">
                  <c:v>-337.86110453027595</c:v>
                </c:pt>
                <c:pt idx="112">
                  <c:v>-341.44769408787977</c:v>
                </c:pt>
                <c:pt idx="113">
                  <c:v>-344.04351281287609</c:v>
                </c:pt>
                <c:pt idx="114">
                  <c:v>-346.00669603030201</c:v>
                </c:pt>
                <c:pt idx="115">
                  <c:v>-347.54221301613939</c:v>
                </c:pt>
                <c:pt idx="116">
                  <c:v>-348.77549294485243</c:v>
                </c:pt>
                <c:pt idx="117">
                  <c:v>-349.78745815607181</c:v>
                </c:pt>
                <c:pt idx="118">
                  <c:v>-350.63259660655876</c:v>
                </c:pt>
                <c:pt idx="119">
                  <c:v>-351.34891269702393</c:v>
                </c:pt>
                <c:pt idx="120">
                  <c:v>-351.9637080672361</c:v>
                </c:pt>
                <c:pt idx="121">
                  <c:v>-352.49709391316236</c:v>
                </c:pt>
                <c:pt idx="122">
                  <c:v>-352.96420777688138</c:v>
                </c:pt>
                <c:pt idx="123">
                  <c:v>-353.37665914169298</c:v>
                </c:pt>
                <c:pt idx="124">
                  <c:v>-353.74349924016366</c:v>
                </c:pt>
                <c:pt idx="125">
                  <c:v>-354.07188803639974</c:v>
                </c:pt>
                <c:pt idx="126">
                  <c:v>-354.36756311631575</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19.254495186719698</c:v>
                </c:pt>
                <c:pt idx="2">
                  <c:v>32.217463166674733</c:v>
                </c:pt>
                <c:pt idx="3">
                  <c:v>41.536534991201798</c:v>
                </c:pt>
                <c:pt idx="4">
                  <c:v>48.556513292526525</c:v>
                </c:pt>
                <c:pt idx="5">
                  <c:v>54.03294814544526</c:v>
                </c:pt>
                <c:pt idx="6">
                  <c:v>58.423014771692891</c:v>
                </c:pt>
                <c:pt idx="7">
                  <c:v>62.0195679508303</c:v>
                </c:pt>
                <c:pt idx="8">
                  <c:v>64.986350844673083</c:v>
                </c:pt>
                <c:pt idx="9">
                  <c:v>67.416720202159539</c:v>
                </c:pt>
                <c:pt idx="10">
                  <c:v>69.418238068906646</c:v>
                </c:pt>
                <c:pt idx="11">
                  <c:v>71.130032307535657</c:v>
                </c:pt>
                <c:pt idx="12">
                  <c:v>72.737695961345182</c:v>
                </c:pt>
                <c:pt idx="13">
                  <c:v>74.153683215254404</c:v>
                </c:pt>
                <c:pt idx="14">
                  <c:v>75.409886176500521</c:v>
                </c:pt>
                <c:pt idx="15">
                  <c:v>76.531493959409417</c:v>
                </c:pt>
                <c:pt idx="16">
                  <c:v>77.538665791588414</c:v>
                </c:pt>
                <c:pt idx="17">
                  <c:v>78.447726807623269</c:v>
                </c:pt>
                <c:pt idx="18">
                  <c:v>79.272038184725986</c:v>
                </c:pt>
                <c:pt idx="19">
                  <c:v>80.022640597742225</c:v>
                </c:pt>
                <c:pt idx="20">
                  <c:v>80.708737021815068</c:v>
                </c:pt>
                <c:pt idx="21">
                  <c:v>81.338059808606971</c:v>
                </c:pt>
                <c:pt idx="22">
                  <c:v>81.917153155397386</c:v>
                </c:pt>
                <c:pt idx="23">
                  <c:v>82.451592876608558</c:v>
                </c:pt>
                <c:pt idx="24">
                  <c:v>82.946159134492433</c:v>
                </c:pt>
                <c:pt idx="25">
                  <c:v>83.40497347131128</c:v>
                </c:pt>
                <c:pt idx="26">
                  <c:v>83.831608463903976</c:v>
                </c:pt>
                <c:pt idx="27">
                  <c:v>84.229176176387952</c:v>
                </c:pt>
                <c:pt idx="28">
                  <c:v>84.600400044331707</c:v>
                </c:pt>
                <c:pt idx="29">
                  <c:v>84.947673701574132</c:v>
                </c:pt>
                <c:pt idx="30">
                  <c:v>85.273109435474382</c:v>
                </c:pt>
                <c:pt idx="31">
                  <c:v>85.578578343036099</c:v>
                </c:pt>
                <c:pt idx="32">
                  <c:v>85.865743800210552</c:v>
                </c:pt>
                <c:pt idx="33">
                  <c:v>86.13608950837363</c:v>
                </c:pt>
                <c:pt idx="34">
                  <c:v>86.39094311608936</c:v>
                </c:pt>
                <c:pt idx="35">
                  <c:v>86.631496209696095</c:v>
                </c:pt>
                <c:pt idx="36">
                  <c:v>86.858821307670681</c:v>
                </c:pt>
                <c:pt idx="37">
                  <c:v>87.0738863699262</c:v>
                </c:pt>
                <c:pt idx="38">
                  <c:v>87.277567235910652</c:v>
                </c:pt>
                <c:pt idx="39">
                  <c:v>87.47065832843046</c:v>
                </c:pt>
                <c:pt idx="40">
                  <c:v>87.653881898908395</c:v>
                </c:pt>
                <c:pt idx="41">
                  <c:v>87.827896040805044</c:v>
                </c:pt>
                <c:pt idx="42">
                  <c:v>87.993301658528381</c:v>
                </c:pt>
                <c:pt idx="43">
                  <c:v>88.150648547292448</c:v>
                </c:pt>
                <c:pt idx="44">
                  <c:v>88.300440713493657</c:v>
                </c:pt>
                <c:pt idx="45">
                  <c:v>88.443141044031421</c:v>
                </c:pt>
                <c:pt idx="46">
                  <c:v>88.579175415664565</c:v>
                </c:pt>
                <c:pt idx="47">
                  <c:v>88.708936321212533</c:v>
                </c:pt>
                <c:pt idx="48">
                  <c:v>88.832786077603004</c:v>
                </c:pt>
                <c:pt idx="49">
                  <c:v>88.951059670960404</c:v>
                </c:pt>
                <c:pt idx="50">
                  <c:v>89.064067285758057</c:v>
                </c:pt>
                <c:pt idx="51">
                  <c:v>89.172096558221199</c:v>
                </c:pt>
                <c:pt idx="52">
                  <c:v>89.275414588429882</c:v>
                </c:pt>
                <c:pt idx="53">
                  <c:v>89.374269740738782</c:v>
                </c:pt>
                <c:pt idx="54">
                  <c:v>89.468893258047899</c:v>
                </c:pt>
                <c:pt idx="55">
                  <c:v>89.559500711998055</c:v>
                </c:pt>
                <c:pt idx="56">
                  <c:v>89.646293308222752</c:v>
                </c:pt>
                <c:pt idx="57">
                  <c:v>89.72945906328124</c:v>
                </c:pt>
                <c:pt idx="58">
                  <c:v>89.809173867752591</c:v>
                </c:pt>
                <c:pt idx="59">
                  <c:v>89.885602448133341</c:v>
                </c:pt>
                <c:pt idx="60">
                  <c:v>89.958899238601717</c:v>
                </c:pt>
                <c:pt idx="61">
                  <c:v>90.029209172350278</c:v>
                </c:pt>
                <c:pt idx="62">
                  <c:v>90.096668401013517</c:v>
                </c:pt>
                <c:pt idx="63">
                  <c:v>90.161404949699403</c:v>
                </c:pt>
                <c:pt idx="64">
                  <c:v>90.223539314250857</c:v>
                </c:pt>
                <c:pt idx="65">
                  <c:v>90.283185006594991</c:v>
                </c:pt>
                <c:pt idx="66">
                  <c:v>90.340449053369213</c:v>
                </c:pt>
                <c:pt idx="67">
                  <c:v>90.395432452428594</c:v>
                </c:pt>
                <c:pt idx="68">
                  <c:v>90.448230591327473</c:v>
                </c:pt>
                <c:pt idx="69">
                  <c:v>90.498933631420201</c:v>
                </c:pt>
                <c:pt idx="70">
                  <c:v>90.54762686083177</c:v>
                </c:pt>
                <c:pt idx="71">
                  <c:v>90.594391019202547</c:v>
                </c:pt>
                <c:pt idx="72">
                  <c:v>90.639302596805948</c:v>
                </c:pt>
                <c:pt idx="73">
                  <c:v>90.682434110367609</c:v>
                </c:pt>
                <c:pt idx="74">
                  <c:v>90.723854357676331</c:v>
                </c:pt>
                <c:pt idx="75">
                  <c:v>90.763628652865066</c:v>
                </c:pt>
                <c:pt idx="76">
                  <c:v>90.801819044052749</c:v>
                </c:pt>
                <c:pt idx="77">
                  <c:v>90.838484514870672</c:v>
                </c:pt>
                <c:pt idx="78">
                  <c:v>90.873681171248805</c:v>
                </c:pt>
                <c:pt idx="79">
                  <c:v>90.907462414704312</c:v>
                </c:pt>
                <c:pt idx="80">
                  <c:v>90.939879103257141</c:v>
                </c:pt>
                <c:pt idx="81">
                  <c:v>90.970979700990839</c:v>
                </c:pt>
                <c:pt idx="82">
                  <c:v>91.000810417182805</c:v>
                </c:pt>
                <c:pt idx="83">
                  <c:v>91.029415335842586</c:v>
                </c:pt>
                <c:pt idx="84">
                  <c:v>91.056836536421343</c:v>
                </c:pt>
                <c:pt idx="85">
                  <c:v>91.083114206386284</c:v>
                </c:pt>
                <c:pt idx="86">
                  <c:v>91.108286746292649</c:v>
                </c:pt>
                <c:pt idx="87">
                  <c:v>91.13239086793044</c:v>
                </c:pt>
                <c:pt idx="88">
                  <c:v>91.155461686072172</c:v>
                </c:pt>
                <c:pt idx="89">
                  <c:v>91.177532804303425</c:v>
                </c:pt>
                <c:pt idx="90">
                  <c:v>91.198636395376781</c:v>
                </c:pt>
                <c:pt idx="91">
                  <c:v>91.218803276492253</c:v>
                </c:pt>
                <c:pt idx="92">
                  <c:v>91.238062979874073</c:v>
                </c:pt>
                <c:pt idx="93">
                  <c:v>91.25644381898357</c:v>
                </c:pt>
                <c:pt idx="94">
                  <c:v>91.273972950679223</c:v>
                </c:pt>
                <c:pt idx="95">
                  <c:v>91.290676433610543</c:v>
                </c:pt>
                <c:pt idx="96">
                  <c:v>91.306579283109613</c:v>
                </c:pt>
                <c:pt idx="97">
                  <c:v>91.321705522822384</c:v>
                </c:pt>
                <c:pt idx="98">
                  <c:v>91.336078233304022</c:v>
                </c:pt>
                <c:pt idx="99">
                  <c:v>91.349719597784059</c:v>
                </c:pt>
                <c:pt idx="100">
                  <c:v>91.362650945292074</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1.0019735158559699</c:v>
                </c:pt>
                <c:pt idx="1">
                  <c:v>1.0020262983294814</c:v>
                </c:pt>
                <c:pt idx="2">
                  <c:v>1.0021826642729996</c:v>
                </c:pt>
                <c:pt idx="3">
                  <c:v>1.0024426136865245</c:v>
                </c:pt>
                <c:pt idx="4">
                  <c:v>1.0028061465700562</c:v>
                </c:pt>
                <c:pt idx="5">
                  <c:v>1.0032732629235945</c:v>
                </c:pt>
                <c:pt idx="6">
                  <c:v>1.0038439627471396</c:v>
                </c:pt>
                <c:pt idx="7">
                  <c:v>1.0045182460406914</c:v>
                </c:pt>
                <c:pt idx="8">
                  <c:v>1.0052961128042499</c:v>
                </c:pt>
                <c:pt idx="9">
                  <c:v>1.0061775630378151</c:v>
                </c:pt>
                <c:pt idx="10">
                  <c:v>1.0071625967413871</c:v>
                </c:pt>
                <c:pt idx="11">
                  <c:v>1.0082512139149657</c:v>
                </c:pt>
                <c:pt idx="12">
                  <c:v>1.0094434145585511</c:v>
                </c:pt>
                <c:pt idx="13">
                  <c:v>1.0107391986721432</c:v>
                </c:pt>
                <c:pt idx="14">
                  <c:v>1.0121385662557421</c:v>
                </c:pt>
                <c:pt idx="15">
                  <c:v>1.0136415173093476</c:v>
                </c:pt>
                <c:pt idx="16">
                  <c:v>1.0152480518329599</c:v>
                </c:pt>
                <c:pt idx="17">
                  <c:v>1.0169581698265786</c:v>
                </c:pt>
                <c:pt idx="18">
                  <c:v>1.0187718712902043</c:v>
                </c:pt>
                <c:pt idx="19">
                  <c:v>1.0206891562238367</c:v>
                </c:pt>
                <c:pt idx="20">
                  <c:v>1.0227100246274758</c:v>
                </c:pt>
                <c:pt idx="21">
                  <c:v>1.0248344765011217</c:v>
                </c:pt>
                <c:pt idx="22">
                  <c:v>1.0270625118447743</c:v>
                </c:pt>
                <c:pt idx="23">
                  <c:v>1.0293941306584335</c:v>
                </c:pt>
                <c:pt idx="24">
                  <c:v>1.0318293329420993</c:v>
                </c:pt>
                <c:pt idx="25">
                  <c:v>1.0343681186957721</c:v>
                </c:pt>
                <c:pt idx="26">
                  <c:v>1.0370104879194515</c:v>
                </c:pt>
                <c:pt idx="27">
                  <c:v>1.0397564406131377</c:v>
                </c:pt>
                <c:pt idx="28">
                  <c:v>1.0426059767768305</c:v>
                </c:pt>
                <c:pt idx="29">
                  <c:v>1.0455590964105301</c:v>
                </c:pt>
                <c:pt idx="30">
                  <c:v>1.0486157995142362</c:v>
                </c:pt>
                <c:pt idx="31">
                  <c:v>1.0517760860879493</c:v>
                </c:pt>
                <c:pt idx="32">
                  <c:v>1.055039956131669</c:v>
                </c:pt>
                <c:pt idx="33">
                  <c:v>1.0584074096453955</c:v>
                </c:pt>
                <c:pt idx="34">
                  <c:v>1.0618784466291284</c:v>
                </c:pt>
                <c:pt idx="35">
                  <c:v>1.0654530670828684</c:v>
                </c:pt>
                <c:pt idx="36">
                  <c:v>1.069131271006615</c:v>
                </c:pt>
                <c:pt idx="37">
                  <c:v>1.0729130584003683</c:v>
                </c:pt>
                <c:pt idx="38">
                  <c:v>1.0767984292641284</c:v>
                </c:pt>
                <c:pt idx="39">
                  <c:v>1.0807873835978949</c:v>
                </c:pt>
                <c:pt idx="40">
                  <c:v>1.0848799214016684</c:v>
                </c:pt>
                <c:pt idx="41">
                  <c:v>1.0890760426754487</c:v>
                </c:pt>
                <c:pt idx="42">
                  <c:v>1.0933757474192356</c:v>
                </c:pt>
                <c:pt idx="43">
                  <c:v>1.097779035633029</c:v>
                </c:pt>
                <c:pt idx="44">
                  <c:v>1.1022859073168294</c:v>
                </c:pt>
                <c:pt idx="45">
                  <c:v>1.1068963624706365</c:v>
                </c:pt>
                <c:pt idx="46">
                  <c:v>1.1116104010944501</c:v>
                </c:pt>
                <c:pt idx="47">
                  <c:v>1.1164280231882706</c:v>
                </c:pt>
                <c:pt idx="48">
                  <c:v>1.1213492287520979</c:v>
                </c:pt>
                <c:pt idx="49">
                  <c:v>1.1263740177859316</c:v>
                </c:pt>
                <c:pt idx="50">
                  <c:v>1.1315023902897723</c:v>
                </c:pt>
                <c:pt idx="51">
                  <c:v>1.1367343462636197</c:v>
                </c:pt>
                <c:pt idx="52">
                  <c:v>1.1420698857074738</c:v>
                </c:pt>
                <c:pt idx="53">
                  <c:v>1.1475090086213344</c:v>
                </c:pt>
                <c:pt idx="54">
                  <c:v>1.153051715005202</c:v>
                </c:pt>
                <c:pt idx="55">
                  <c:v>1.158698004859076</c:v>
                </c:pt>
                <c:pt idx="56">
                  <c:v>1.164447878182957</c:v>
                </c:pt>
                <c:pt idx="57">
                  <c:v>1.1703013349768447</c:v>
                </c:pt>
                <c:pt idx="58">
                  <c:v>1.176258375240739</c:v>
                </c:pt>
                <c:pt idx="59">
                  <c:v>1.1823189989746401</c:v>
                </c:pt>
                <c:pt idx="60">
                  <c:v>1.1884832061785477</c:v>
                </c:pt>
                <c:pt idx="61">
                  <c:v>1.1947509968524623</c:v>
                </c:pt>
                <c:pt idx="62">
                  <c:v>1.2011223709963836</c:v>
                </c:pt>
                <c:pt idx="63">
                  <c:v>1.2075973286103114</c:v>
                </c:pt>
                <c:pt idx="64">
                  <c:v>1.2141758696942462</c:v>
                </c:pt>
                <c:pt idx="65">
                  <c:v>1.2208579942481874</c:v>
                </c:pt>
                <c:pt idx="66">
                  <c:v>1.2276437022721356</c:v>
                </c:pt>
                <c:pt idx="67">
                  <c:v>1.2345329937660903</c:v>
                </c:pt>
                <c:pt idx="68">
                  <c:v>1.2415258687300519</c:v>
                </c:pt>
                <c:pt idx="69">
                  <c:v>1.2486223271640202</c:v>
                </c:pt>
                <c:pt idx="70">
                  <c:v>1.255822369067995</c:v>
                </c:pt>
                <c:pt idx="71">
                  <c:v>1.2631259944419768</c:v>
                </c:pt>
                <c:pt idx="72">
                  <c:v>1.2705332032859651</c:v>
                </c:pt>
                <c:pt idx="73">
                  <c:v>1.2780439955999603</c:v>
                </c:pt>
                <c:pt idx="74">
                  <c:v>1.285658371383962</c:v>
                </c:pt>
                <c:pt idx="75">
                  <c:v>1.2933763306379706</c:v>
                </c:pt>
                <c:pt idx="76">
                  <c:v>1.3011978733619858</c:v>
                </c:pt>
                <c:pt idx="77">
                  <c:v>1.3091229995560079</c:v>
                </c:pt>
                <c:pt idx="78">
                  <c:v>1.3171517092200364</c:v>
                </c:pt>
                <c:pt idx="79">
                  <c:v>1.325284002354072</c:v>
                </c:pt>
                <c:pt idx="80">
                  <c:v>1.333519878958114</c:v>
                </c:pt>
                <c:pt idx="81">
                  <c:v>1.3418593390321627</c:v>
                </c:pt>
                <c:pt idx="82">
                  <c:v>1.3503023825762184</c:v>
                </c:pt>
                <c:pt idx="83">
                  <c:v>1.3588490095902808</c:v>
                </c:pt>
                <c:pt idx="84">
                  <c:v>1.3674992200743497</c:v>
                </c:pt>
                <c:pt idx="85">
                  <c:v>1.3762530140284253</c:v>
                </c:pt>
                <c:pt idx="86">
                  <c:v>1.3851103914525076</c:v>
                </c:pt>
                <c:pt idx="87">
                  <c:v>1.3940713523465968</c:v>
                </c:pt>
                <c:pt idx="88">
                  <c:v>1.4031358967106928</c:v>
                </c:pt>
                <c:pt idx="89">
                  <c:v>1.4123040245447953</c:v>
                </c:pt>
                <c:pt idx="90">
                  <c:v>1.4215757358489045</c:v>
                </c:pt>
                <c:pt idx="91">
                  <c:v>1.4309510306230204</c:v>
                </c:pt>
                <c:pt idx="92">
                  <c:v>1.4404299088671433</c:v>
                </c:pt>
                <c:pt idx="93">
                  <c:v>1.4500123705812729</c:v>
                </c:pt>
                <c:pt idx="94">
                  <c:v>1.4596984157654089</c:v>
                </c:pt>
                <c:pt idx="95">
                  <c:v>1.4694880444195517</c:v>
                </c:pt>
                <c:pt idx="96">
                  <c:v>1.4793812565437012</c:v>
                </c:pt>
                <c:pt idx="97">
                  <c:v>1.4893780521378575</c:v>
                </c:pt>
                <c:pt idx="98">
                  <c:v>1.4994784312020208</c:v>
                </c:pt>
                <c:pt idx="99">
                  <c:v>1.5096823937361905</c:v>
                </c:pt>
                <c:pt idx="100">
                  <c:v>1.5199899397403669</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0.29875052065932561</c:v>
                </c:pt>
                <c:pt idx="1">
                  <c:v>0.3031444153419881</c:v>
                </c:pt>
                <c:pt idx="2">
                  <c:v>0.30754210220510825</c:v>
                </c:pt>
                <c:pt idx="3">
                  <c:v>0.31194358412668777</c:v>
                </c:pt>
                <c:pt idx="4">
                  <c:v>0.31634886400099654</c:v>
                </c:pt>
                <c:pt idx="5">
                  <c:v>0.32075794473861363</c:v>
                </c:pt>
                <c:pt idx="6">
                  <c:v>0.3251708292664689</c:v>
                </c:pt>
                <c:pt idx="7">
                  <c:v>0.32958752052788409</c:v>
                </c:pt>
                <c:pt idx="8">
                  <c:v>0.33647167604492551</c:v>
                </c:pt>
                <c:pt idx="9">
                  <c:v>0.34955439455975335</c:v>
                </c:pt>
                <c:pt idx="10">
                  <c:v>0.36887400439141804</c:v>
                </c:pt>
                <c:pt idx="11">
                  <c:v>0.38904825942636911</c:v>
                </c:pt>
                <c:pt idx="12">
                  <c:v>0.39759200856452093</c:v>
                </c:pt>
                <c:pt idx="13">
                  <c:v>0.40613958244275405</c:v>
                </c:pt>
                <c:pt idx="14">
                  <c:v>0.41469098412031691</c:v>
                </c:pt>
                <c:pt idx="15">
                  <c:v>0.42324621667319012</c:v>
                </c:pt>
                <c:pt idx="16">
                  <c:v>0.43180528319413014</c:v>
                </c:pt>
                <c:pt idx="17">
                  <c:v>0.4403681867927125</c:v>
                </c:pt>
                <c:pt idx="18">
                  <c:v>0.44893493059537637</c:v>
                </c:pt>
                <c:pt idx="19">
                  <c:v>0.45750551774546788</c:v>
                </c:pt>
                <c:pt idx="20">
                  <c:v>0.46607995140328506</c:v>
                </c:pt>
                <c:pt idx="21">
                  <c:v>0.47465823474612234</c:v>
                </c:pt>
                <c:pt idx="22">
                  <c:v>0.4832403709683149</c:v>
                </c:pt>
                <c:pt idx="23">
                  <c:v>0.49182636328128404</c:v>
                </c:pt>
                <c:pt idx="24">
                  <c:v>0.50041621491358257</c:v>
                </c:pt>
                <c:pt idx="25">
                  <c:v>0.50900992911093967</c:v>
                </c:pt>
                <c:pt idx="26">
                  <c:v>0.51760750913630715</c:v>
                </c:pt>
                <c:pt idx="27">
                  <c:v>0.52620895826990499</c:v>
                </c:pt>
                <c:pt idx="28">
                  <c:v>0.53481427980926743</c:v>
                </c:pt>
                <c:pt idx="29">
                  <c:v>0.54342347706929028</c:v>
                </c:pt>
                <c:pt idx="30">
                  <c:v>0.55203655338227531</c:v>
                </c:pt>
                <c:pt idx="31">
                  <c:v>0.56065351209798009</c:v>
                </c:pt>
                <c:pt idx="32">
                  <c:v>0.56927435658366221</c:v>
                </c:pt>
                <c:pt idx="33">
                  <c:v>0.57789909022412833</c:v>
                </c:pt>
                <c:pt idx="34">
                  <c:v>0.58652771642178103</c:v>
                </c:pt>
                <c:pt idx="35">
                  <c:v>0.595160238596667</c:v>
                </c:pt>
                <c:pt idx="36">
                  <c:v>0.60379666018652423</c:v>
                </c:pt>
                <c:pt idx="37">
                  <c:v>0.61243698464683116</c:v>
                </c:pt>
                <c:pt idx="38">
                  <c:v>0.62108121545085426</c:v>
                </c:pt>
                <c:pt idx="39">
                  <c:v>0.62972935608969793</c:v>
                </c:pt>
                <c:pt idx="40">
                  <c:v>0.63838141007235216</c:v>
                </c:pt>
                <c:pt idx="41">
                  <c:v>0.64703738092574259</c:v>
                </c:pt>
                <c:pt idx="42">
                  <c:v>0.65569727219477925</c:v>
                </c:pt>
                <c:pt idx="43">
                  <c:v>0.66436108744240718</c:v>
                </c:pt>
                <c:pt idx="44">
                  <c:v>0.67302883024965532</c:v>
                </c:pt>
                <c:pt idx="45">
                  <c:v>0.68170050421568784</c:v>
                </c:pt>
                <c:pt idx="46">
                  <c:v>0.69037611295785317</c:v>
                </c:pt>
                <c:pt idx="47">
                  <c:v>0.6990556601117357</c:v>
                </c:pt>
                <c:pt idx="48">
                  <c:v>0.70773914933120663</c:v>
                </c:pt>
                <c:pt idx="49">
                  <c:v>0.71642658428847472</c:v>
                </c:pt>
                <c:pt idx="50">
                  <c:v>0.7251179686741378</c:v>
                </c:pt>
                <c:pt idx="51">
                  <c:v>0.73381330619723473</c:v>
                </c:pt>
                <c:pt idx="52">
                  <c:v>0.74251260058529711</c:v>
                </c:pt>
                <c:pt idx="53">
                  <c:v>0.75121585558440152</c:v>
                </c:pt>
                <c:pt idx="54">
                  <c:v>0.75992307495922207</c:v>
                </c:pt>
                <c:pt idx="55">
                  <c:v>0.76863426249308264</c:v>
                </c:pt>
                <c:pt idx="56">
                  <c:v>0.77734942198801082</c:v>
                </c:pt>
                <c:pt idx="57">
                  <c:v>0.78606855726479008</c:v>
                </c:pt>
                <c:pt idx="58">
                  <c:v>0.79479167216301372</c:v>
                </c:pt>
                <c:pt idx="59">
                  <c:v>0.80351877054113907</c:v>
                </c:pt>
                <c:pt idx="60">
                  <c:v>0.81224985627654034</c:v>
                </c:pt>
                <c:pt idx="61">
                  <c:v>0.82098493326556432</c:v>
                </c:pt>
                <c:pt idx="62">
                  <c:v>0.82972400542358393</c:v>
                </c:pt>
                <c:pt idx="63">
                  <c:v>0.83846707668505283</c:v>
                </c:pt>
                <c:pt idx="64">
                  <c:v>0.84721415100356245</c:v>
                </c:pt>
                <c:pt idx="65">
                  <c:v>0.85596523235189403</c:v>
                </c:pt>
                <c:pt idx="66">
                  <c:v>0.86472032472207805</c:v>
                </c:pt>
                <c:pt idx="67">
                  <c:v>0.87347943212544665</c:v>
                </c:pt>
                <c:pt idx="68">
                  <c:v>0.88224255859269274</c:v>
                </c:pt>
                <c:pt idx="69">
                  <c:v>0.89100970817392411</c:v>
                </c:pt>
                <c:pt idx="70">
                  <c:v>0.89978088493872166</c:v>
                </c:pt>
                <c:pt idx="71">
                  <c:v>0.90855609297619622</c:v>
                </c:pt>
                <c:pt idx="72">
                  <c:v>0.91733533639504516</c:v>
                </c:pt>
                <c:pt idx="73">
                  <c:v>0.92611861932361061</c:v>
                </c:pt>
                <c:pt idx="74">
                  <c:v>0.93490594590993714</c:v>
                </c:pt>
                <c:pt idx="75">
                  <c:v>0.94369732032182974</c:v>
                </c:pt>
                <c:pt idx="76">
                  <c:v>0.95249274674691242</c:v>
                </c:pt>
                <c:pt idx="77">
                  <c:v>0.96129222939268733</c:v>
                </c:pt>
                <c:pt idx="78">
                  <c:v>0.97009577248659262</c:v>
                </c:pt>
                <c:pt idx="79">
                  <c:v>0.97890338027606361</c:v>
                </c:pt>
                <c:pt idx="80">
                  <c:v>0.98771505702859042</c:v>
                </c:pt>
                <c:pt idx="81">
                  <c:v>0.9965308070317791</c:v>
                </c:pt>
                <c:pt idx="82">
                  <c:v>1.0053506345934109</c:v>
                </c:pt>
                <c:pt idx="83">
                  <c:v>1.0141745440415042</c:v>
                </c:pt>
                <c:pt idx="84">
                  <c:v>1.023002539724374</c:v>
                </c:pt>
                <c:pt idx="85">
                  <c:v>1.031834626010693</c:v>
                </c:pt>
                <c:pt idx="86">
                  <c:v>1.0406708072895541</c:v>
                </c:pt>
                <c:pt idx="87">
                  <c:v>1.0495110879705307</c:v>
                </c:pt>
                <c:pt idx="88">
                  <c:v>1.0583554724837401</c:v>
                </c:pt>
                <c:pt idx="89">
                  <c:v>1.0672039652799039</c:v>
                </c:pt>
                <c:pt idx="90">
                  <c:v>1.0760565708304128</c:v>
                </c:pt>
                <c:pt idx="91">
                  <c:v>1.0849132936273884</c:v>
                </c:pt>
                <c:pt idx="92">
                  <c:v>1.0937741381837458</c:v>
                </c:pt>
                <c:pt idx="93">
                  <c:v>1.1026391090332586</c:v>
                </c:pt>
                <c:pt idx="94">
                  <c:v>1.1115082107306211</c:v>
                </c:pt>
                <c:pt idx="95">
                  <c:v>1.1203814478515139</c:v>
                </c:pt>
                <c:pt idx="96">
                  <c:v>1.1292588249926681</c:v>
                </c:pt>
                <c:pt idx="97">
                  <c:v>1.1381403467719289</c:v>
                </c:pt>
                <c:pt idx="98">
                  <c:v>1.147026017828322</c:v>
                </c:pt>
                <c:pt idx="99">
                  <c:v>1.1559158428221188</c:v>
                </c:pt>
                <c:pt idx="100">
                  <c:v>1.1648098264349018</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0.24911064744955602</c:v>
                </c:pt>
                <c:pt idx="1">
                  <c:v>0.25006280708166162</c:v>
                </c:pt>
                <c:pt idx="2">
                  <c:v>0.25103391263310043</c:v>
                </c:pt>
                <c:pt idx="3">
                  <c:v>0.25202396186044373</c:v>
                </c:pt>
                <c:pt idx="4">
                  <c:v>0.25303295292461941</c:v>
                </c:pt>
                <c:pt idx="5">
                  <c:v>0.25406088439076291</c:v>
                </c:pt>
                <c:pt idx="6">
                  <c:v>0.25510775522808982</c:v>
                </c:pt>
                <c:pt idx="7">
                  <c:v>0.2561735648097902</c:v>
                </c:pt>
                <c:pt idx="8">
                  <c:v>0.25725831291294421</c:v>
                </c:pt>
                <c:pt idx="9">
                  <c:v>0.25836199971845952</c:v>
                </c:pt>
                <c:pt idx="10">
                  <c:v>0.25948462581102999</c:v>
                </c:pt>
                <c:pt idx="11">
                  <c:v>0.26099292059040824</c:v>
                </c:pt>
                <c:pt idx="12">
                  <c:v>0.26346589683076399</c:v>
                </c:pt>
                <c:pt idx="13">
                  <c:v>0.26595781653488554</c:v>
                </c:pt>
                <c:pt idx="14">
                  <c:v>0.26846868190263062</c:v>
                </c:pt>
                <c:pt idx="15">
                  <c:v>0.2709984955377604</c:v>
                </c:pt>
                <c:pt idx="16">
                  <c:v>0.27354726044802724</c:v>
                </c:pt>
                <c:pt idx="17">
                  <c:v>0.27611498004528423</c:v>
                </c:pt>
                <c:pt idx="18">
                  <c:v>0.27870165814561643</c:v>
                </c:pt>
                <c:pt idx="19">
                  <c:v>0.28130729896949308</c:v>
                </c:pt>
                <c:pt idx="20">
                  <c:v>0.28393190714194233</c:v>
                </c:pt>
                <c:pt idx="21">
                  <c:v>0.28657548769274649</c:v>
                </c:pt>
                <c:pt idx="22">
                  <c:v>0.28923804605665948</c:v>
                </c:pt>
                <c:pt idx="23">
                  <c:v>0.2919195880736461</c:v>
                </c:pt>
                <c:pt idx="24">
                  <c:v>0.29462011998914217</c:v>
                </c:pt>
                <c:pt idx="25">
                  <c:v>0.29733964845433725</c:v>
                </c:pt>
                <c:pt idx="26">
                  <c:v>0.30007818052647817</c:v>
                </c:pt>
                <c:pt idx="27">
                  <c:v>0.30283572366919498</c:v>
                </c:pt>
                <c:pt idx="28">
                  <c:v>0.30561228575284816</c:v>
                </c:pt>
                <c:pt idx="29">
                  <c:v>0.30840787505489797</c:v>
                </c:pt>
                <c:pt idx="30">
                  <c:v>0.3112225002602953</c:v>
                </c:pt>
                <c:pt idx="31">
                  <c:v>0.31405617046189471</c:v>
                </c:pt>
                <c:pt idx="32">
                  <c:v>0.31690889516088883</c:v>
                </c:pt>
                <c:pt idx="33">
                  <c:v>0.31978068426726525</c:v>
                </c:pt>
                <c:pt idx="34">
                  <c:v>0.32267154810028509</c:v>
                </c:pt>
                <c:pt idx="35">
                  <c:v>0.32558149738898368</c:v>
                </c:pt>
                <c:pt idx="36">
                  <c:v>0.32851054327269302</c:v>
                </c:pt>
                <c:pt idx="37">
                  <c:v>0.33145869730158695</c:v>
                </c:pt>
                <c:pt idx="38">
                  <c:v>0.33442597143724778</c:v>
                </c:pt>
                <c:pt idx="39">
                  <c:v>0.33741237805325575</c:v>
                </c:pt>
                <c:pt idx="40">
                  <c:v>0.34041792993580028</c:v>
                </c:pt>
                <c:pt idx="41">
                  <c:v>0.34344264028431382</c:v>
                </c:pt>
                <c:pt idx="42">
                  <c:v>0.34648652271212821</c:v>
                </c:pt>
                <c:pt idx="43">
                  <c:v>0.34954959124715301</c:v>
                </c:pt>
                <c:pt idx="44">
                  <c:v>0.35263186033257699</c:v>
                </c:pt>
                <c:pt idx="45">
                  <c:v>0.3557333448275915</c:v>
                </c:pt>
                <c:pt idx="46">
                  <c:v>0.35885406000813747</c:v>
                </c:pt>
                <c:pt idx="47">
                  <c:v>0.36199402156767391</c:v>
                </c:pt>
                <c:pt idx="48">
                  <c:v>0.3651532456179703</c:v>
                </c:pt>
                <c:pt idx="49">
                  <c:v>0.36833174868992125</c:v>
                </c:pt>
                <c:pt idx="50">
                  <c:v>0.3715295477343844</c:v>
                </c:pt>
                <c:pt idx="51">
                  <c:v>0.3747466601230412</c:v>
                </c:pt>
                <c:pt idx="52">
                  <c:v>0.37798310364928089</c:v>
                </c:pt>
                <c:pt idx="53">
                  <c:v>0.3812388965291077</c:v>
                </c:pt>
                <c:pt idx="54">
                  <c:v>0.3845140574020714</c:v>
                </c:pt>
                <c:pt idx="55">
                  <c:v>0.38780860533222117</c:v>
                </c:pt>
                <c:pt idx="56">
                  <c:v>0.39112255980908295</c:v>
                </c:pt>
                <c:pt idx="57">
                  <c:v>0.39445594074866058</c:v>
                </c:pt>
                <c:pt idx="58">
                  <c:v>0.39780876849446012</c:v>
                </c:pt>
                <c:pt idx="59">
                  <c:v>0.40118106381853857</c:v>
                </c:pt>
                <c:pt idx="60">
                  <c:v>0.4045728479225762</c:v>
                </c:pt>
                <c:pt idx="61">
                  <c:v>0.40798414243897285</c:v>
                </c:pt>
                <c:pt idx="62">
                  <c:v>0.4114149694319682</c:v>
                </c:pt>
                <c:pt idx="63">
                  <c:v>0.41486535139878666</c:v>
                </c:pt>
                <c:pt idx="64">
                  <c:v>0.41833531127080625</c:v>
                </c:pt>
                <c:pt idx="65">
                  <c:v>0.42182487241475208</c:v>
                </c:pt>
                <c:pt idx="66">
                  <c:v>0.42533405863391416</c:v>
                </c:pt>
                <c:pt idx="67">
                  <c:v>0.42886289416939039</c:v>
                </c:pt>
                <c:pt idx="68">
                  <c:v>0.43241140370135367</c:v>
                </c:pt>
                <c:pt idx="69">
                  <c:v>0.43597961235034499</c:v>
                </c:pt>
                <c:pt idx="70">
                  <c:v>0.43956754567859002</c:v>
                </c:pt>
                <c:pt idx="71">
                  <c:v>0.4431752296913426</c:v>
                </c:pt>
                <c:pt idx="72">
                  <c:v>0.44680269083825241</c:v>
                </c:pt>
                <c:pt idx="73">
                  <c:v>0.45044995601475846</c:v>
                </c:pt>
                <c:pt idx="74">
                  <c:v>0.45411705256350826</c:v>
                </c:pt>
                <c:pt idx="75">
                  <c:v>0.45780400827580303</c:v>
                </c:pt>
                <c:pt idx="76">
                  <c:v>0.46151085139306797</c:v>
                </c:pt>
                <c:pt idx="77">
                  <c:v>0.46523761060834945</c:v>
                </c:pt>
                <c:pt idx="78">
                  <c:v>0.46898431506783772</c:v>
                </c:pt>
                <c:pt idx="79">
                  <c:v>0.47275099437241686</c:v>
                </c:pt>
                <c:pt idx="80">
                  <c:v>0.47653767857924029</c:v>
                </c:pt>
                <c:pt idx="81">
                  <c:v>0.48034439820333324</c:v>
                </c:pt>
                <c:pt idx="82">
                  <c:v>0.48417118421922267</c:v>
                </c:pt>
                <c:pt idx="83">
                  <c:v>0.4880180680625934</c:v>
                </c:pt>
                <c:pt idx="84">
                  <c:v>0.49188508163197164</c:v>
                </c:pt>
                <c:pt idx="85">
                  <c:v>0.4957722572904365</c:v>
                </c:pt>
                <c:pt idx="86">
                  <c:v>0.49967962786735765</c:v>
                </c:pt>
                <c:pt idx="87">
                  <c:v>0.50360722666016233</c:v>
                </c:pt>
                <c:pt idx="88">
                  <c:v>0.5075550874361292</c:v>
                </c:pt>
                <c:pt idx="89">
                  <c:v>0.51152324443421004</c:v>
                </c:pt>
                <c:pt idx="90">
                  <c:v>0.51551173236688086</c:v>
                </c:pt>
                <c:pt idx="91">
                  <c:v>0.51952058642202059</c:v>
                </c:pt>
                <c:pt idx="92">
                  <c:v>0.52354984226481827</c:v>
                </c:pt>
                <c:pt idx="93">
                  <c:v>0.52759953603970988</c:v>
                </c:pt>
                <c:pt idx="94">
                  <c:v>0.5316697043723434</c:v>
                </c:pt>
                <c:pt idx="95">
                  <c:v>0.53576038437157381</c:v>
                </c:pt>
                <c:pt idx="96">
                  <c:v>0.53987161363148684</c:v>
                </c:pt>
                <c:pt idx="97">
                  <c:v>0.54400343023345332</c:v>
                </c:pt>
                <c:pt idx="98">
                  <c:v>0.54815587274821254</c:v>
                </c:pt>
                <c:pt idx="99">
                  <c:v>0.5523289802379856</c:v>
                </c:pt>
                <c:pt idx="100">
                  <c:v>0.55652279225862067</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1.5241973213537536E-3</c:v>
                </c:pt>
                <c:pt idx="1">
                  <c:v>1.5649625903518484E-3</c:v>
                </c:pt>
                <c:pt idx="2">
                  <c:v>1.6857280514148601E-3</c:v>
                </c:pt>
                <c:pt idx="3">
                  <c:v>1.8864937045427908E-3</c:v>
                </c:pt>
                <c:pt idx="4">
                  <c:v>2.1672595497356385E-3</c:v>
                </c:pt>
                <c:pt idx="5">
                  <c:v>2.5280255869934046E-3</c:v>
                </c:pt>
                <c:pt idx="6">
                  <c:v>2.9687918163160891E-3</c:v>
                </c:pt>
                <c:pt idx="7">
                  <c:v>3.4895582377036912E-3</c:v>
                </c:pt>
                <c:pt idx="8">
                  <c:v>4.0903248511562108E-3</c:v>
                </c:pt>
                <c:pt idx="9">
                  <c:v>4.771091656673652E-3</c:v>
                </c:pt>
                <c:pt idx="10">
                  <c:v>5.5318586542560094E-3</c:v>
                </c:pt>
                <c:pt idx="11">
                  <c:v>6.372625843903283E-3</c:v>
                </c:pt>
                <c:pt idx="12">
                  <c:v>7.2933932256154738E-3</c:v>
                </c:pt>
                <c:pt idx="13">
                  <c:v>8.2941607993925869E-3</c:v>
                </c:pt>
                <c:pt idx="14">
                  <c:v>9.3749285652346137E-3</c:v>
                </c:pt>
                <c:pt idx="15">
                  <c:v>1.0535696523141564E-2</c:v>
                </c:pt>
                <c:pt idx="16">
                  <c:v>1.1776464673113426E-2</c:v>
                </c:pt>
                <c:pt idx="17">
                  <c:v>1.3097233015150209E-2</c:v>
                </c:pt>
                <c:pt idx="18">
                  <c:v>1.4498001549251913E-2</c:v>
                </c:pt>
                <c:pt idx="19">
                  <c:v>1.5978770275418532E-2</c:v>
                </c:pt>
                <c:pt idx="20">
                  <c:v>1.7539539193650071E-2</c:v>
                </c:pt>
                <c:pt idx="21">
                  <c:v>1.9180308303946524E-2</c:v>
                </c:pt>
                <c:pt idx="22">
                  <c:v>2.09010776063079E-2</c:v>
                </c:pt>
                <c:pt idx="23">
                  <c:v>2.2701847100734186E-2</c:v>
                </c:pt>
                <c:pt idx="24">
                  <c:v>2.4582616787225398E-2</c:v>
                </c:pt>
                <c:pt idx="25">
                  <c:v>2.6543386665781522E-2</c:v>
                </c:pt>
                <c:pt idx="26">
                  <c:v>2.8584156736402581E-2</c:v>
                </c:pt>
                <c:pt idx="27">
                  <c:v>3.0704926999088538E-2</c:v>
                </c:pt>
                <c:pt idx="28">
                  <c:v>3.2905697453839415E-2</c:v>
                </c:pt>
                <c:pt idx="29">
                  <c:v>3.5186468100655219E-2</c:v>
                </c:pt>
                <c:pt idx="30">
                  <c:v>3.7547238939535932E-2</c:v>
                </c:pt>
                <c:pt idx="31">
                  <c:v>3.9988009970481582E-2</c:v>
                </c:pt>
                <c:pt idx="32">
                  <c:v>4.2508781193492141E-2</c:v>
                </c:pt>
                <c:pt idx="33">
                  <c:v>4.5109552608567596E-2</c:v>
                </c:pt>
                <c:pt idx="34">
                  <c:v>4.7790324215707988E-2</c:v>
                </c:pt>
                <c:pt idx="35">
                  <c:v>5.055109601491329E-2</c:v>
                </c:pt>
                <c:pt idx="36">
                  <c:v>5.3391868006183521E-2</c:v>
                </c:pt>
                <c:pt idx="37">
                  <c:v>5.6312640189518669E-2</c:v>
                </c:pt>
                <c:pt idx="38">
                  <c:v>5.9313412564918733E-2</c:v>
                </c:pt>
                <c:pt idx="39">
                  <c:v>6.2394185132383713E-2</c:v>
                </c:pt>
                <c:pt idx="40">
                  <c:v>6.5554957891913623E-2</c:v>
                </c:pt>
                <c:pt idx="41">
                  <c:v>6.8795730843508443E-2</c:v>
                </c:pt>
                <c:pt idx="42">
                  <c:v>7.2116503987168193E-2</c:v>
                </c:pt>
                <c:pt idx="43">
                  <c:v>7.5517277322892831E-2</c:v>
                </c:pt>
                <c:pt idx="44">
                  <c:v>7.8998050850682386E-2</c:v>
                </c:pt>
                <c:pt idx="45">
                  <c:v>8.2558824570536871E-2</c:v>
                </c:pt>
                <c:pt idx="46">
                  <c:v>8.6199598482456286E-2</c:v>
                </c:pt>
                <c:pt idx="47">
                  <c:v>8.9920372586440617E-2</c:v>
                </c:pt>
                <c:pt idx="48">
                  <c:v>9.372114688248985E-2</c:v>
                </c:pt>
                <c:pt idx="49">
                  <c:v>9.7601921370604028E-2</c:v>
                </c:pt>
                <c:pt idx="50">
                  <c:v>0.10156269605078311</c:v>
                </c:pt>
                <c:pt idx="51">
                  <c:v>0.1056034709230271</c:v>
                </c:pt>
                <c:pt idx="52">
                  <c:v>0.10972424598733604</c:v>
                </c:pt>
                <c:pt idx="53">
                  <c:v>0.11392502124370987</c:v>
                </c:pt>
                <c:pt idx="54">
                  <c:v>0.1182057966921486</c:v>
                </c:pt>
                <c:pt idx="55">
                  <c:v>0.12256657233265228</c:v>
                </c:pt>
                <c:pt idx="56">
                  <c:v>0.12700734816522083</c:v>
                </c:pt>
                <c:pt idx="57">
                  <c:v>0.13152812418985438</c:v>
                </c:pt>
                <c:pt idx="58">
                  <c:v>0.13612890040655276</c:v>
                </c:pt>
                <c:pt idx="59">
                  <c:v>0.14080967681531611</c:v>
                </c:pt>
                <c:pt idx="60">
                  <c:v>0.14557045341614441</c:v>
                </c:pt>
                <c:pt idx="61">
                  <c:v>0.15041123020903752</c:v>
                </c:pt>
                <c:pt idx="62">
                  <c:v>0.15533200719399567</c:v>
                </c:pt>
                <c:pt idx="63">
                  <c:v>0.16033278437101864</c:v>
                </c:pt>
                <c:pt idx="64">
                  <c:v>0.16541356174010666</c:v>
                </c:pt>
                <c:pt idx="65">
                  <c:v>0.17057433930125948</c:v>
                </c:pt>
                <c:pt idx="66">
                  <c:v>0.17581511705447719</c:v>
                </c:pt>
                <c:pt idx="67">
                  <c:v>0.18113589499975993</c:v>
                </c:pt>
                <c:pt idx="68">
                  <c:v>0.18653667313710753</c:v>
                </c:pt>
                <c:pt idx="69">
                  <c:v>0.19201745146652008</c:v>
                </c:pt>
                <c:pt idx="70">
                  <c:v>0.19757822998799748</c:v>
                </c:pt>
                <c:pt idx="71">
                  <c:v>0.20321900870153986</c:v>
                </c:pt>
                <c:pt idx="72">
                  <c:v>0.20893978760714713</c:v>
                </c:pt>
                <c:pt idx="73">
                  <c:v>0.21474056670481936</c:v>
                </c:pt>
                <c:pt idx="74">
                  <c:v>0.22062134599455643</c:v>
                </c:pt>
                <c:pt idx="75">
                  <c:v>0.2265821254763585</c:v>
                </c:pt>
                <c:pt idx="76">
                  <c:v>0.23262290515022546</c:v>
                </c:pt>
                <c:pt idx="77">
                  <c:v>0.23874368501615731</c:v>
                </c:pt>
                <c:pt idx="78">
                  <c:v>0.2449444650741541</c:v>
                </c:pt>
                <c:pt idx="79">
                  <c:v>0.25122524532421581</c:v>
                </c:pt>
                <c:pt idx="80">
                  <c:v>0.25758602576634243</c:v>
                </c:pt>
                <c:pt idx="81">
                  <c:v>0.26402680640053389</c:v>
                </c:pt>
                <c:pt idx="82">
                  <c:v>0.27054758722679034</c:v>
                </c:pt>
                <c:pt idx="83">
                  <c:v>0.27714836824511185</c:v>
                </c:pt>
                <c:pt idx="84">
                  <c:v>0.28382914945549814</c:v>
                </c:pt>
                <c:pt idx="85">
                  <c:v>0.29058993085794926</c:v>
                </c:pt>
                <c:pt idx="86">
                  <c:v>0.29743071245246533</c:v>
                </c:pt>
                <c:pt idx="87">
                  <c:v>0.30435149423904651</c:v>
                </c:pt>
                <c:pt idx="88">
                  <c:v>0.31135227621769251</c:v>
                </c:pt>
                <c:pt idx="89">
                  <c:v>0.3184330583884033</c:v>
                </c:pt>
                <c:pt idx="90">
                  <c:v>0.32559384075117909</c:v>
                </c:pt>
                <c:pt idx="91">
                  <c:v>0.33283462330601982</c:v>
                </c:pt>
                <c:pt idx="92">
                  <c:v>0.34015540605292549</c:v>
                </c:pt>
                <c:pt idx="93">
                  <c:v>0.34755618899189605</c:v>
                </c:pt>
                <c:pt idx="94">
                  <c:v>0.3550369721229315</c:v>
                </c:pt>
                <c:pt idx="95">
                  <c:v>0.36259775544603196</c:v>
                </c:pt>
                <c:pt idx="96">
                  <c:v>0.37023853896119718</c:v>
                </c:pt>
                <c:pt idx="97">
                  <c:v>0.37795932266842741</c:v>
                </c:pt>
                <c:pt idx="98">
                  <c:v>0.38576010656772275</c:v>
                </c:pt>
                <c:pt idx="99">
                  <c:v>0.39364089065908264</c:v>
                </c:pt>
                <c:pt idx="100">
                  <c:v>0.40160167494250765</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en-US"/>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86.482408920880687</c:v>
                </c:pt>
                <c:pt idx="1">
                  <c:v>83.004320744198893</c:v>
                </c:pt>
                <c:pt idx="2">
                  <c:v>80.520958255902627</c:v>
                </c:pt>
                <c:pt idx="3">
                  <c:v>78.589909820502669</c:v>
                </c:pt>
                <c:pt idx="4">
                  <c:v>77.010174357122395</c:v>
                </c:pt>
                <c:pt idx="5">
                  <c:v>75.673585024776472</c:v>
                </c:pt>
                <c:pt idx="6">
                  <c:v>74.515269248654221</c:v>
                </c:pt>
                <c:pt idx="7">
                  <c:v>73.493262915212142</c:v>
                </c:pt>
                <c:pt idx="8">
                  <c:v>72.578859629874003</c:v>
                </c:pt>
                <c:pt idx="9">
                  <c:v>71.751557869012743</c:v>
                </c:pt>
                <c:pt idx="10">
                  <c:v>70.996206004525092</c:v>
                </c:pt>
                <c:pt idx="11">
                  <c:v>70.301289766655628</c:v>
                </c:pt>
                <c:pt idx="12">
                  <c:v>69.657854197645477</c:v>
                </c:pt>
                <c:pt idx="13">
                  <c:v>69.058797457483962</c:v>
                </c:pt>
                <c:pt idx="14">
                  <c:v>68.498392494729075</c:v>
                </c:pt>
                <c:pt idx="15">
                  <c:v>67.971953699650939</c:v>
                </c:pt>
                <c:pt idx="16">
                  <c:v>67.475598819282794</c:v>
                </c:pt>
                <c:pt idx="17">
                  <c:v>67.006075231825406</c:v>
                </c:pt>
                <c:pt idx="18">
                  <c:v>66.560630773592578</c:v>
                </c:pt>
                <c:pt idx="19">
                  <c:v>63.039213751042666</c:v>
                </c:pt>
                <c:pt idx="20">
                  <c:v>60.540545182997242</c:v>
                </c:pt>
                <c:pt idx="21">
                  <c:v>58.60235379646106</c:v>
                </c:pt>
                <c:pt idx="22">
                  <c:v>57.018690975151102</c:v>
                </c:pt>
                <c:pt idx="23">
                  <c:v>55.679687818414365</c:v>
                </c:pt>
                <c:pt idx="24">
                  <c:v>54.51975928235909</c:v>
                </c:pt>
                <c:pt idx="25">
                  <c:v>53.496600459937426</c:v>
                </c:pt>
                <c:pt idx="26">
                  <c:v>52.581325319112835</c:v>
                </c:pt>
                <c:pt idx="27">
                  <c:v>51.753330364334552</c:v>
                </c:pt>
                <c:pt idx="28">
                  <c:v>50.997402596384852</c:v>
                </c:pt>
                <c:pt idx="29">
                  <c:v>50.301989017351829</c:v>
                </c:pt>
                <c:pt idx="30">
                  <c:v>49.658109253259553</c:v>
                </c:pt>
                <c:pt idx="31">
                  <c:v>49.058644225192047</c:v>
                </c:pt>
                <c:pt idx="32">
                  <c:v>48.497854855961549</c:v>
                </c:pt>
                <c:pt idx="33">
                  <c:v>47.971046941044598</c:v>
                </c:pt>
                <c:pt idx="34">
                  <c:v>47.47433195392901</c:v>
                </c:pt>
                <c:pt idx="35">
                  <c:v>47.004452608214194</c:v>
                </c:pt>
                <c:pt idx="36">
                  <c:v>46.558653214969411</c:v>
                </c:pt>
                <c:pt idx="37">
                  <c:v>43.033346404630912</c:v>
                </c:pt>
                <c:pt idx="38">
                  <c:v>40.529718228416776</c:v>
                </c:pt>
                <c:pt idx="39">
                  <c:v>38.585334723208554</c:v>
                </c:pt>
                <c:pt idx="40">
                  <c:v>36.994256523679084</c:v>
                </c:pt>
                <c:pt idx="41">
                  <c:v>35.64667363885934</c:v>
                </c:pt>
                <c:pt idx="42">
                  <c:v>34.477083509565055</c:v>
                </c:pt>
                <c:pt idx="43">
                  <c:v>33.443278180755605</c:v>
                </c:pt>
                <c:pt idx="44">
                  <c:v>32.516478530918185</c:v>
                </c:pt>
                <c:pt idx="45">
                  <c:v>31.676195060441401</c:v>
                </c:pt>
                <c:pt idx="46">
                  <c:v>30.907333663723179</c:v>
                </c:pt>
                <c:pt idx="47">
                  <c:v>30.198463275085189</c:v>
                </c:pt>
                <c:pt idx="48">
                  <c:v>29.54072682285652</c:v>
                </c:pt>
                <c:pt idx="49">
                  <c:v>28.92712837402075</c:v>
                </c:pt>
                <c:pt idx="50">
                  <c:v>28.352050445431843</c:v>
                </c:pt>
                <c:pt idx="51">
                  <c:v>27.810917613570172</c:v>
                </c:pt>
                <c:pt idx="52">
                  <c:v>27.299956199989381</c:v>
                </c:pt>
                <c:pt idx="53">
                  <c:v>26.816018860867437</c:v>
                </c:pt>
                <c:pt idx="54">
                  <c:v>26.356454122362308</c:v>
                </c:pt>
                <c:pt idx="55">
                  <c:v>22.727488996388196</c:v>
                </c:pt>
                <c:pt idx="56">
                  <c:v>20.211310087038438</c:v>
                </c:pt>
                <c:pt idx="57">
                  <c:v>18.345295953617811</c:v>
                </c:pt>
                <c:pt idx="58">
                  <c:v>16.897327378853262</c:v>
                </c:pt>
                <c:pt idx="59">
                  <c:v>15.729020608163911</c:v>
                </c:pt>
                <c:pt idx="60">
                  <c:v>14.752861179133985</c:v>
                </c:pt>
                <c:pt idx="61">
                  <c:v>13.912246629964631</c:v>
                </c:pt>
                <c:pt idx="62">
                  <c:v>13.170029969194964</c:v>
                </c:pt>
                <c:pt idx="63">
                  <c:v>12.501458478434664</c:v>
                </c:pt>
                <c:pt idx="64">
                  <c:v>11.889740089770811</c:v>
                </c:pt>
                <c:pt idx="65">
                  <c:v>11.323244315383521</c:v>
                </c:pt>
                <c:pt idx="66">
                  <c:v>10.793727122101878</c:v>
                </c:pt>
                <c:pt idx="67">
                  <c:v>10.295197903727233</c:v>
                </c:pt>
                <c:pt idx="68">
                  <c:v>9.8231900015332716</c:v>
                </c:pt>
                <c:pt idx="69">
                  <c:v>9.3742860392464227</c:v>
                </c:pt>
                <c:pt idx="70">
                  <c:v>8.9458052714619765</c:v>
                </c:pt>
                <c:pt idx="71">
                  <c:v>8.5355948368000529</c:v>
                </c:pt>
                <c:pt idx="72">
                  <c:v>8.1418883181844937</c:v>
                </c:pt>
                <c:pt idx="73">
                  <c:v>4.8681084860231341</c:v>
                </c:pt>
                <c:pt idx="74">
                  <c:v>2.3670018028517035</c:v>
                </c:pt>
                <c:pt idx="75">
                  <c:v>0.31452163580670955</c:v>
                </c:pt>
                <c:pt idx="76">
                  <c:v>-1.4498846460411094</c:v>
                </c:pt>
                <c:pt idx="77">
                  <c:v>-3.0166843468702744</c:v>
                </c:pt>
                <c:pt idx="78">
                  <c:v>-4.4409436657325987</c:v>
                </c:pt>
                <c:pt idx="79">
                  <c:v>-5.7580779747080157</c:v>
                </c:pt>
                <c:pt idx="80">
                  <c:v>-6.9918454709318301</c:v>
                </c:pt>
                <c:pt idx="81">
                  <c:v>-8.158738812937262</c:v>
                </c:pt>
                <c:pt idx="82">
                  <c:v>-9.2705471733912006</c:v>
                </c:pt>
                <c:pt idx="83">
                  <c:v>-10.335921606850285</c:v>
                </c:pt>
                <c:pt idx="84">
                  <c:v>-11.361366375627547</c:v>
                </c:pt>
                <c:pt idx="85">
                  <c:v>-12.351884710135591</c:v>
                </c:pt>
                <c:pt idx="86">
                  <c:v>-13.311409151211549</c:v>
                </c:pt>
                <c:pt idx="87">
                  <c:v>-14.243093854758133</c:v>
                </c:pt>
                <c:pt idx="88">
                  <c:v>-15.149516483610599</c:v>
                </c:pt>
                <c:pt idx="89">
                  <c:v>-16.032819817530026</c:v>
                </c:pt>
                <c:pt idx="90">
                  <c:v>-16.894812566571002</c:v>
                </c:pt>
                <c:pt idx="91">
                  <c:v>-24.604617691612475</c:v>
                </c:pt>
                <c:pt idx="92">
                  <c:v>-31.13836155459385</c:v>
                </c:pt>
                <c:pt idx="93">
                  <c:v>-36.861210525630689</c:v>
                </c:pt>
                <c:pt idx="94">
                  <c:v>-41.965399957574085</c:v>
                </c:pt>
                <c:pt idx="95">
                  <c:v>-46.573587086451155</c:v>
                </c:pt>
                <c:pt idx="96">
                  <c:v>-50.773130860598322</c:v>
                </c:pt>
                <c:pt idx="97">
                  <c:v>-54.629923359717033</c:v>
                </c:pt>
                <c:pt idx="98">
                  <c:v>-58.195226274717939</c:v>
                </c:pt>
                <c:pt idx="99">
                  <c:v>-61.509707070265875</c:v>
                </c:pt>
                <c:pt idx="100">
                  <c:v>-64.60611385979638</c:v>
                </c:pt>
                <c:pt idx="101">
                  <c:v>-67.511161345666267</c:v>
                </c:pt>
                <c:pt idx="102">
                  <c:v>-70.246903019755166</c:v>
                </c:pt>
                <c:pt idx="103">
                  <c:v>-72.831747267370076</c:v>
                </c:pt>
                <c:pt idx="104">
                  <c:v>-75.28121894933463</c:v>
                </c:pt>
                <c:pt idx="105">
                  <c:v>-77.608536150803374</c:v>
                </c:pt>
                <c:pt idx="106">
                  <c:v>-79.825051352871725</c:v>
                </c:pt>
                <c:pt idx="107">
                  <c:v>-81.940592336811108</c:v>
                </c:pt>
                <c:pt idx="108">
                  <c:v>-83.963728334551078</c:v>
                </c:pt>
                <c:pt idx="109">
                  <c:v>-100.41819889473993</c:v>
                </c:pt>
                <c:pt idx="110">
                  <c:v>-112.45788922189962</c:v>
                </c:pt>
                <c:pt idx="111">
                  <c:v>-121.92778529972014</c:v>
                </c:pt>
                <c:pt idx="112">
                  <c:v>-129.72262918098707</c:v>
                </c:pt>
                <c:pt idx="113">
                  <c:v>-136.34183812417353</c:v>
                </c:pt>
                <c:pt idx="114">
                  <c:v>-142.09157881811322</c:v>
                </c:pt>
                <c:pt idx="115">
                  <c:v>-147.17270715380425</c:v>
                </c:pt>
                <c:pt idx="116">
                  <c:v>-151.72393715149875</c:v>
                </c:pt>
                <c:pt idx="117">
                  <c:v>-155.8450045037016</c:v>
                </c:pt>
                <c:pt idx="118">
                  <c:v>-159.60998280943062</c:v>
                </c:pt>
                <c:pt idx="119">
                  <c:v>-163.07537264043748</c:v>
                </c:pt>
                <c:pt idx="120">
                  <c:v>-166.2852421163976</c:v>
                </c:pt>
                <c:pt idx="121">
                  <c:v>-169.27461899166866</c:v>
                </c:pt>
                <c:pt idx="122">
                  <c:v>-172.07180144306363</c:v>
                </c:pt>
                <c:pt idx="123">
                  <c:v>-174.69997585985607</c:v>
                </c:pt>
                <c:pt idx="124">
                  <c:v>-177.17837662678559</c:v>
                </c:pt>
                <c:pt idx="125">
                  <c:v>-179.52313499537743</c:v>
                </c:pt>
                <c:pt idx="126">
                  <c:v>-181.74791187587266</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25891.295953325782</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[SERIES NAME]</a:t>
                    </a:fld>
                    <a:endParaRPr 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63217.330125159235</c:v>
                </c:pt>
              </c:numCache>
            </c:numRef>
          </c:xVal>
          <c:yVal>
            <c:numRef>
              <c:f>Bode!$AN$8</c:f>
              <c:numCache>
                <c:formatCode>_(* #,##0.0_);_(* \(#,##0.0\);_(* "-"?_);_(@_)</c:formatCode>
                <c:ptCount val="1"/>
                <c:pt idx="0">
                  <c:v>-9.9560794252596736</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Bode!$AP$8</c:f>
              <c:numCache>
                <c:formatCode>_(* #,##0.0_);_(* \(#,##0.0\);_(* "-"?_);_(@_)</c:formatCode>
                <c:ptCount val="1"/>
                <c:pt idx="0">
                  <c:v>2787.4978317771465</c:v>
                </c:pt>
              </c:numCache>
            </c:numRef>
          </c:xVal>
          <c:yVal>
            <c:numRef>
              <c:f>Bode!$AQ$8</c:f>
              <c:numCache>
                <c:formatCode>_(* #,##0.0_);_(* \(#,##0.0\);_(* "-"?_);_(@_)</c:formatCode>
                <c:ptCount val="1"/>
                <c:pt idx="0">
                  <c:v>17.512720302165306</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-82.283526446988944</c:v>
                </c:pt>
                <c:pt idx="1">
                  <c:v>-84.839763093630438</c:v>
                </c:pt>
                <c:pt idx="2">
                  <c:v>-86.126715190265756</c:v>
                </c:pt>
                <c:pt idx="3">
                  <c:v>-86.901189532567301</c:v>
                </c:pt>
                <c:pt idx="4">
                  <c:v>-87.418434188543287</c:v>
                </c:pt>
                <c:pt idx="5">
                  <c:v>-87.788398062989884</c:v>
                </c:pt>
                <c:pt idx="6">
                  <c:v>-88.066204311698712</c:v>
                </c:pt>
                <c:pt idx="7">
                  <c:v>-88.282526578199622</c:v>
                </c:pt>
                <c:pt idx="8">
                  <c:v>-88.455788436059407</c:v>
                </c:pt>
                <c:pt idx="9">
                  <c:v>-88.597722472893153</c:v>
                </c:pt>
                <c:pt idx="10">
                  <c:v>-88.716154485122559</c:v>
                </c:pt>
                <c:pt idx="11">
                  <c:v>-88.816504427782689</c:v>
                </c:pt>
                <c:pt idx="12">
                  <c:v>-88.90264484150201</c:v>
                </c:pt>
                <c:pt idx="13">
                  <c:v>-88.977416245322772</c:v>
                </c:pt>
                <c:pt idx="14">
                  <c:v>-89.042949420461838</c:v>
                </c:pt>
                <c:pt idx="15">
                  <c:v>-89.100874030536929</c:v>
                </c:pt>
                <c:pt idx="16">
                  <c:v>-89.152457746684505</c:v>
                </c:pt>
                <c:pt idx="17">
                  <c:v>-89.198701463604877</c:v>
                </c:pt>
                <c:pt idx="18">
                  <c:v>-89.240405965401834</c:v>
                </c:pt>
                <c:pt idx="19">
                  <c:v>-89.507640760732244</c:v>
                </c:pt>
                <c:pt idx="20">
                  <c:v>-89.64547837661425</c:v>
                </c:pt>
                <c:pt idx="21">
                  <c:v>-89.731549990438623</c:v>
                </c:pt>
                <c:pt idx="22">
                  <c:v>-89.791735184752937</c:v>
                </c:pt>
                <c:pt idx="23">
                  <c:v>-89.837125309719298</c:v>
                </c:pt>
                <c:pt idx="24">
                  <c:v>-89.873265781270945</c:v>
                </c:pt>
                <c:pt idx="25">
                  <c:v>-89.903237069673864</c:v>
                </c:pt>
                <c:pt idx="26">
                  <c:v>-89.928887144305236</c:v>
                </c:pt>
                <c:pt idx="27">
                  <c:v>-89.951391689652354</c:v>
                </c:pt>
                <c:pt idx="28">
                  <c:v>-89.971534217858718</c:v>
                </c:pt>
                <c:pt idx="29">
                  <c:v>-89.989856900239417</c:v>
                </c:pt>
                <c:pt idx="30">
                  <c:v>-90.00674675740656</c:v>
                </c:pt>
                <c:pt idx="31">
                  <c:v>-90.022487373659018</c:v>
                </c:pt>
                <c:pt idx="32">
                  <c:v>-90.037291218646089</c:v>
                </c:pt>
                <c:pt idx="33">
                  <c:v>-90.051320561499523</c:v>
                </c:pt>
                <c:pt idx="34">
                  <c:v>-90.064701413685327</c:v>
                </c:pt>
                <c:pt idx="35">
                  <c:v>-90.077533068944206</c:v>
                </c:pt>
                <c:pt idx="36">
                  <c:v>-90.089894781348207</c:v>
                </c:pt>
                <c:pt idx="37">
                  <c:v>-90.197457721906261</c:v>
                </c:pt>
                <c:pt idx="38">
                  <c:v>-90.289494202315325</c:v>
                </c:pt>
                <c:pt idx="39">
                  <c:v>-90.372850693892644</c:v>
                </c:pt>
                <c:pt idx="40">
                  <c:v>-90.449228212252606</c:v>
                </c:pt>
                <c:pt idx="41">
                  <c:v>-90.518910198451081</c:v>
                </c:pt>
                <c:pt idx="42">
                  <c:v>-90.581703198246728</c:v>
                </c:pt>
                <c:pt idx="43">
                  <c:v>-90.637252524768087</c:v>
                </c:pt>
                <c:pt idx="44">
                  <c:v>-90.685168798396589</c:v>
                </c:pt>
                <c:pt idx="45">
                  <c:v>-90.725085312073162</c:v>
                </c:pt>
                <c:pt idx="46">
                  <c:v>-90.756686267431675</c:v>
                </c:pt>
                <c:pt idx="47">
                  <c:v>-90.779721147543256</c:v>
                </c:pt>
                <c:pt idx="48">
                  <c:v>-90.79401168152522</c:v>
                </c:pt>
                <c:pt idx="49">
                  <c:v>-90.799454402008493</c:v>
                </c:pt>
                <c:pt idx="50">
                  <c:v>-90.796020335108139</c:v>
                </c:pt>
                <c:pt idx="51">
                  <c:v>-90.783752702410752</c:v>
                </c:pt>
                <c:pt idx="52">
                  <c:v>-90.762763196570688</c:v>
                </c:pt>
                <c:pt idx="53">
                  <c:v>-90.733227227550287</c:v>
                </c:pt>
                <c:pt idx="54">
                  <c:v>-90.695378443428098</c:v>
                </c:pt>
                <c:pt idx="55">
                  <c:v>-89.940469691702958</c:v>
                </c:pt>
                <c:pt idx="56">
                  <c:v>-88.818996031318449</c:v>
                </c:pt>
                <c:pt idx="57">
                  <c:v>-87.731650363706507</c:v>
                </c:pt>
                <c:pt idx="58">
                  <c:v>-86.905432510785801</c:v>
                </c:pt>
                <c:pt idx="59">
                  <c:v>-86.415133909181591</c:v>
                </c:pt>
                <c:pt idx="60">
                  <c:v>-86.249401872376708</c:v>
                </c:pt>
                <c:pt idx="61">
                  <c:v>-86.360797391641313</c:v>
                </c:pt>
                <c:pt idx="62">
                  <c:v>-86.693414724092662</c:v>
                </c:pt>
                <c:pt idx="63">
                  <c:v>-87.195367294075211</c:v>
                </c:pt>
                <c:pt idx="64">
                  <c:v>-87.823135454379454</c:v>
                </c:pt>
                <c:pt idx="65">
                  <c:v>-88.542109453104857</c:v>
                </c:pt>
                <c:pt idx="66">
                  <c:v>-89.325609480326577</c:v>
                </c:pt>
                <c:pt idx="67">
                  <c:v>-90.1534686769959</c:v>
                </c:pt>
                <c:pt idx="68">
                  <c:v>-91.010645189350001</c:v>
                </c:pt>
                <c:pt idx="69">
                  <c:v>-91.886031274665129</c:v>
                </c:pt>
                <c:pt idx="70">
                  <c:v>-92.771494146201206</c:v>
                </c:pt>
                <c:pt idx="71">
                  <c:v>-93.661129717987848</c:v>
                </c:pt>
                <c:pt idx="72">
                  <c:v>-94.550693536853402</c:v>
                </c:pt>
                <c:pt idx="73">
                  <c:v>-103.08646418638716</c:v>
                </c:pt>
                <c:pt idx="74">
                  <c:v>-110.85013731413497</c:v>
                </c:pt>
                <c:pt idx="75">
                  <c:v>-118.0450061039429</c:v>
                </c:pt>
                <c:pt idx="76">
                  <c:v>-124.83124974110406</c:v>
                </c:pt>
                <c:pt idx="77">
                  <c:v>-131.29543395205158</c:v>
                </c:pt>
                <c:pt idx="78">
                  <c:v>-137.48482537260122</c:v>
                </c:pt>
                <c:pt idx="79">
                  <c:v>-143.42732500314497</c:v>
                </c:pt>
                <c:pt idx="80">
                  <c:v>-149.14134406781071</c:v>
                </c:pt>
                <c:pt idx="81">
                  <c:v>-154.64063710537332</c:v>
                </c:pt>
                <c:pt idx="82">
                  <c:v>-159.93666306323797</c:v>
                </c:pt>
                <c:pt idx="83">
                  <c:v>-165.0397171436959</c:v>
                </c:pt>
                <c:pt idx="84">
                  <c:v>-169.95944632905639</c:v>
                </c:pt>
                <c:pt idx="85">
                  <c:v>-174.70505937398767</c:v>
                </c:pt>
                <c:pt idx="86">
                  <c:v>-179.28539156125566</c:v>
                </c:pt>
                <c:pt idx="87">
                  <c:v>-183.70890685660231</c:v>
                </c:pt>
                <c:pt idx="88">
                  <c:v>-187.98367906624702</c:v>
                </c:pt>
                <c:pt idx="89">
                  <c:v>-192.11737174616525</c:v>
                </c:pt>
                <c:pt idx="90">
                  <c:v>-196.1172250871293</c:v>
                </c:pt>
                <c:pt idx="91">
                  <c:v>-230.05789945834698</c:v>
                </c:pt>
                <c:pt idx="92">
                  <c:v>-255.91563380837059</c:v>
                </c:pt>
                <c:pt idx="93">
                  <c:v>-276.33582146645688</c:v>
                </c:pt>
                <c:pt idx="94">
                  <c:v>-292.88535421370733</c:v>
                </c:pt>
                <c:pt idx="95">
                  <c:v>-306.58011566649424</c:v>
                </c:pt>
                <c:pt idx="96">
                  <c:v>-318.1115390650657</c:v>
                </c:pt>
                <c:pt idx="97">
                  <c:v>-327.96473571100938</c:v>
                </c:pt>
                <c:pt idx="98">
                  <c:v>-336.48854386445589</c:v>
                </c:pt>
                <c:pt idx="99">
                  <c:v>-343.93958506307411</c:v>
                </c:pt>
                <c:pt idx="100">
                  <c:v>-350.5107652517475</c:v>
                </c:pt>
                <c:pt idx="101">
                  <c:v>-356.35006147437548</c:v>
                </c:pt>
                <c:pt idx="102">
                  <c:v>-361.57311715225393</c:v>
                </c:pt>
                <c:pt idx="103">
                  <c:v>-366.27183488863216</c:v>
                </c:pt>
                <c:pt idx="104">
                  <c:v>-370.52034635891948</c:v>
                </c:pt>
                <c:pt idx="105">
                  <c:v>-374.37923803837862</c:v>
                </c:pt>
                <c:pt idx="106">
                  <c:v>-377.89859864091875</c:v>
                </c:pt>
                <c:pt idx="107">
                  <c:v>-381.12025712693952</c:v>
                </c:pt>
                <c:pt idx="108">
                  <c:v>-384.07945499611617</c:v>
                </c:pt>
                <c:pt idx="109">
                  <c:v>-404.15607507407015</c:v>
                </c:pt>
                <c:pt idx="110">
                  <c:v>-415.03161601809575</c:v>
                </c:pt>
                <c:pt idx="111">
                  <c:v>-421.79297917164672</c:v>
                </c:pt>
                <c:pt idx="112">
                  <c:v>-426.3851824232288</c:v>
                </c:pt>
                <c:pt idx="113">
                  <c:v>-429.70124152190965</c:v>
                </c:pt>
                <c:pt idx="114">
                  <c:v>-432.20551616031673</c:v>
                </c:pt>
                <c:pt idx="115">
                  <c:v>-434.16235428161042</c:v>
                </c:pt>
                <c:pt idx="116">
                  <c:v>-435.73295550293733</c:v>
                </c:pt>
                <c:pt idx="117">
                  <c:v>-437.02106814825851</c:v>
                </c:pt>
                <c:pt idx="118">
                  <c:v>-438.09642774792422</c:v>
                </c:pt>
                <c:pt idx="119">
                  <c:v>-439.00761031520528</c:v>
                </c:pt>
                <c:pt idx="120">
                  <c:v>-439.7894771689447</c:v>
                </c:pt>
                <c:pt idx="121">
                  <c:v>-440.46768816342194</c:v>
                </c:pt>
                <c:pt idx="122">
                  <c:v>-441.06154526134731</c:v>
                </c:pt>
                <c:pt idx="123">
                  <c:v>-441.58584431688951</c:v>
                </c:pt>
                <c:pt idx="124">
                  <c:v>-442.0521160105032</c:v>
                </c:pt>
                <c:pt idx="125">
                  <c:v>-442.46947852662618</c:v>
                </c:pt>
                <c:pt idx="126">
                  <c:v>-442.84523653968949</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17.900251898638878</c:v>
                </c:pt>
                <c:pt idx="1">
                  <c:v>17.900251000011057</c:v>
                </c:pt>
                <c:pt idx="2">
                  <c:v>17.900249741932846</c:v>
                </c:pt>
                <c:pt idx="3">
                  <c:v>17.900248124404957</c:v>
                </c:pt>
                <c:pt idx="4">
                  <c:v>17.900246147428337</c:v>
                </c:pt>
                <c:pt idx="5">
                  <c:v>17.90024381100411</c:v>
                </c:pt>
                <c:pt idx="6">
                  <c:v>17.90024111513366</c:v>
                </c:pt>
                <c:pt idx="7">
                  <c:v>17.900238059818527</c:v>
                </c:pt>
                <c:pt idx="8">
                  <c:v>17.900234645060468</c:v>
                </c:pt>
                <c:pt idx="9">
                  <c:v>17.900230870861481</c:v>
                </c:pt>
                <c:pt idx="10">
                  <c:v>17.900226737223729</c:v>
                </c:pt>
                <c:pt idx="11">
                  <c:v>17.900222244149624</c:v>
                </c:pt>
                <c:pt idx="12">
                  <c:v>17.900217391641753</c:v>
                </c:pt>
                <c:pt idx="13">
                  <c:v>17.900212179702923</c:v>
                </c:pt>
                <c:pt idx="14">
                  <c:v>17.900206608336148</c:v>
                </c:pt>
                <c:pt idx="15">
                  <c:v>17.900200677544653</c:v>
                </c:pt>
                <c:pt idx="16">
                  <c:v>17.900194387331876</c:v>
                </c:pt>
                <c:pt idx="17">
                  <c:v>17.900187737701433</c:v>
                </c:pt>
                <c:pt idx="18">
                  <c:v>17.900180728657187</c:v>
                </c:pt>
                <c:pt idx="19">
                  <c:v>17.900090871450413</c:v>
                </c:pt>
                <c:pt idx="20">
                  <c:v>17.899965078637543</c:v>
                </c:pt>
                <c:pt idx="21">
                  <c:v>17.899803357493912</c:v>
                </c:pt>
                <c:pt idx="22">
                  <c:v>17.899605717371539</c:v>
                </c:pt>
                <c:pt idx="23">
                  <c:v>17.89937216969782</c:v>
                </c:pt>
                <c:pt idx="24">
                  <c:v>17.899102727973613</c:v>
                </c:pt>
                <c:pt idx="25">
                  <c:v>17.898797407771358</c:v>
                </c:pt>
                <c:pt idx="26">
                  <c:v>17.898456226732531</c:v>
                </c:pt>
                <c:pt idx="27">
                  <c:v>17.898079204565029</c:v>
                </c:pt>
                <c:pt idx="28">
                  <c:v>17.89766636304012</c:v>
                </c:pt>
                <c:pt idx="29">
                  <c:v>17.897217725989112</c:v>
                </c:pt>
                <c:pt idx="30">
                  <c:v>17.89673331929972</c:v>
                </c:pt>
                <c:pt idx="31">
                  <c:v>17.896213170912102</c:v>
                </c:pt>
                <c:pt idx="32">
                  <c:v>17.895657310814592</c:v>
                </c:pt>
                <c:pt idx="33">
                  <c:v>17.895065771039079</c:v>
                </c:pt>
                <c:pt idx="34">
                  <c:v>17.8944385856562</c:v>
                </c:pt>
                <c:pt idx="35">
                  <c:v>17.893775790770089</c:v>
                </c:pt>
                <c:pt idx="36">
                  <c:v>17.893077424512875</c:v>
                </c:pt>
                <c:pt idx="37">
                  <c:v>17.88414716310718</c:v>
                </c:pt>
                <c:pt idx="38">
                  <c:v>17.871716506295162</c:v>
                </c:pt>
                <c:pt idx="39">
                  <c:v>17.855855860829497</c:v>
                </c:pt>
                <c:pt idx="40">
                  <c:v>17.836653932213661</c:v>
                </c:pt>
                <c:pt idx="41">
                  <c:v>17.814216434764599</c:v>
                </c:pt>
                <c:pt idx="42">
                  <c:v>17.788664591920746</c:v>
                </c:pt>
                <c:pt idx="43">
                  <c:v>17.760133467156791</c:v>
                </c:pt>
                <c:pt idx="44">
                  <c:v>17.728770168520093</c:v>
                </c:pt>
                <c:pt idx="45">
                  <c:v>17.694731970702907</c:v>
                </c:pt>
                <c:pt idx="46">
                  <c:v>17.658184397806089</c:v>
                </c:pt>
                <c:pt idx="47">
                  <c:v>17.61929930771467</c:v>
                </c:pt>
                <c:pt idx="48">
                  <c:v>17.578253015537541</c:v>
                </c:pt>
                <c:pt idx="49">
                  <c:v>17.535224489146493</c:v>
                </c:pt>
                <c:pt idx="50">
                  <c:v>17.490393644783325</c:v>
                </c:pt>
                <c:pt idx="51">
                  <c:v>17.443939765283854</c:v>
                </c:pt>
                <c:pt idx="52">
                  <c:v>17.39604005796409</c:v>
                </c:pt>
                <c:pt idx="53">
                  <c:v>17.346868363863656</c:v>
                </c:pt>
                <c:pt idx="54">
                  <c:v>17.296594025034334</c:v>
                </c:pt>
                <c:pt idx="55">
                  <c:v>16.765748346832329</c:v>
                </c:pt>
                <c:pt idx="56">
                  <c:v>16.257499792059942</c:v>
                </c:pt>
                <c:pt idx="57">
                  <c:v>15.824038430035024</c:v>
                </c:pt>
                <c:pt idx="58">
                  <c:v>15.473739011280658</c:v>
                </c:pt>
                <c:pt idx="59">
                  <c:v>15.196869649480355</c:v>
                </c:pt>
                <c:pt idx="60">
                  <c:v>14.979279592830515</c:v>
                </c:pt>
                <c:pt idx="61">
                  <c:v>14.807776737113835</c:v>
                </c:pt>
                <c:pt idx="62">
                  <c:v>14.671613913625317</c:v>
                </c:pt>
                <c:pt idx="63">
                  <c:v>14.562500662822833</c:v>
                </c:pt>
                <c:pt idx="64">
                  <c:v>14.474181956007811</c:v>
                </c:pt>
                <c:pt idx="65">
                  <c:v>14.401970020704457</c:v>
                </c:pt>
                <c:pt idx="66">
                  <c:v>14.342347158241031</c:v>
                </c:pt>
                <c:pt idx="67">
                  <c:v>14.292659099384666</c:v>
                </c:pt>
                <c:pt idx="68">
                  <c:v>14.250887537639825</c:v>
                </c:pt>
                <c:pt idx="69">
                  <c:v>14.215484183203344</c:v>
                </c:pt>
                <c:pt idx="70">
                  <c:v>14.185250304387846</c:v>
                </c:pt>
                <c:pt idx="71">
                  <c:v>14.159249177808279</c:v>
                </c:pt>
                <c:pt idx="72">
                  <c:v>14.136742153095398</c:v>
                </c:pt>
                <c:pt idx="73">
                  <c:v>14.016295813822811</c:v>
                </c:pt>
                <c:pt idx="74">
                  <c:v>13.972173361376431</c:v>
                </c:pt>
                <c:pt idx="75">
                  <c:v>13.951386573836855</c:v>
                </c:pt>
                <c:pt idx="76">
                  <c:v>13.939996182905288</c:v>
                </c:pt>
                <c:pt idx="77">
                  <c:v>13.933094142581711</c:v>
                </c:pt>
                <c:pt idx="78">
                  <c:v>13.928600677585912</c:v>
                </c:pt>
                <c:pt idx="79">
                  <c:v>13.925513681159119</c:v>
                </c:pt>
                <c:pt idx="80">
                  <c:v>13.923302422193348</c:v>
                </c:pt>
                <c:pt idx="81">
                  <c:v>13.921664647052022</c:v>
                </c:pt>
                <c:pt idx="82">
                  <c:v>13.920418018948181</c:v>
                </c:pt>
                <c:pt idx="83">
                  <c:v>13.919447271116114</c:v>
                </c:pt>
                <c:pt idx="84">
                  <c:v>13.918676652125546</c:v>
                </c:pt>
                <c:pt idx="85">
                  <c:v>13.918054723542721</c:v>
                </c:pt>
                <c:pt idx="86">
                  <c:v>13.917545565979172</c:v>
                </c:pt>
                <c:pt idx="87">
                  <c:v>13.917123483146877</c:v>
                </c:pt>
                <c:pt idx="88">
                  <c:v>13.916769699958012</c:v>
                </c:pt>
                <c:pt idx="89">
                  <c:v>13.916470240760342</c:v>
                </c:pt>
                <c:pt idx="90">
                  <c:v>13.916214529256335</c:v>
                </c:pt>
                <c:pt idx="91">
                  <c:v>13.914898991067437</c:v>
                </c:pt>
                <c:pt idx="92">
                  <c:v>13.914438333215976</c:v>
                </c:pt>
                <c:pt idx="93">
                  <c:v>13.914225075888066</c:v>
                </c:pt>
                <c:pt idx="94">
                  <c:v>13.91410922217373</c:v>
                </c:pt>
                <c:pt idx="95">
                  <c:v>13.914039362558038</c:v>
                </c:pt>
                <c:pt idx="96">
                  <c:v>13.913994019579397</c:v>
                </c:pt>
                <c:pt idx="97">
                  <c:v>13.91396293194518</c:v>
                </c:pt>
                <c:pt idx="98">
                  <c:v>13.913940694825239</c:v>
                </c:pt>
                <c:pt idx="99">
                  <c:v>13.913924241700599</c:v>
                </c:pt>
                <c:pt idx="100">
                  <c:v>13.913911727652735</c:v>
                </c:pt>
                <c:pt idx="101">
                  <c:v>13.913901988722801</c:v>
                </c:pt>
                <c:pt idx="102">
                  <c:v>13.913894261143795</c:v>
                </c:pt>
                <c:pt idx="103">
                  <c:v>13.913888026904061</c:v>
                </c:pt>
                <c:pt idx="104">
                  <c:v>13.913882924620108</c:v>
                </c:pt>
                <c:pt idx="105">
                  <c:v>13.913878695961452</c:v>
                </c:pt>
                <c:pt idx="106">
                  <c:v>13.913875152296971</c:v>
                </c:pt>
                <c:pt idx="107">
                  <c:v>13.913872153288612</c:v>
                </c:pt>
                <c:pt idx="108">
                  <c:v>13.913869592780069</c:v>
                </c:pt>
                <c:pt idx="109">
                  <c:v>13.913856425437052</c:v>
                </c:pt>
                <c:pt idx="110">
                  <c:v>13.913851816845051</c:v>
                </c:pt>
                <c:pt idx="111">
                  <c:v>13.913849683721446</c:v>
                </c:pt>
                <c:pt idx="112">
                  <c:v>13.913848524986555</c:v>
                </c:pt>
                <c:pt idx="113">
                  <c:v>13.913847826305663</c:v>
                </c:pt>
                <c:pt idx="114">
                  <c:v>13.913847372834747</c:v>
                </c:pt>
                <c:pt idx="115">
                  <c:v>13.913847061936512</c:v>
                </c:pt>
                <c:pt idx="116">
                  <c:v>13.913846839552825</c:v>
                </c:pt>
                <c:pt idx="117">
                  <c:v>13.913846675014019</c:v>
                </c:pt>
                <c:pt idx="118">
                  <c:v>13.913846549868751</c:v>
                </c:pt>
                <c:pt idx="119">
                  <c:v>13.913846452476299</c:v>
                </c:pt>
                <c:pt idx="120">
                  <c:v>13.913846375198357</c:v>
                </c:pt>
                <c:pt idx="121">
                  <c:v>13.913846312854464</c:v>
                </c:pt>
                <c:pt idx="122">
                  <c:v>13.913846261830527</c:v>
                </c:pt>
                <c:pt idx="123">
                  <c:v>13.913846219543162</c:v>
                </c:pt>
                <c:pt idx="124">
                  <c:v>13.913846184105942</c:v>
                </c:pt>
                <c:pt idx="125">
                  <c:v>13.913846154115422</c:v>
                </c:pt>
                <c:pt idx="126">
                  <c:v>13.913846128510004</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-1.1070538463900496E-2</c:v>
                </c:pt>
                <c:pt idx="1">
                  <c:v>-1.6605803822464089E-2</c:v>
                </c:pt>
                <c:pt idx="2">
                  <c:v>-2.2141064532967568E-2</c:v>
                </c:pt>
                <c:pt idx="3">
                  <c:v>-2.7676319046065264E-2</c:v>
                </c:pt>
                <c:pt idx="4">
                  <c:v>-3.3211565812417847E-2</c:v>
                </c:pt>
                <c:pt idx="5">
                  <c:v>-3.8746803282691956E-2</c:v>
                </c:pt>
                <c:pt idx="6">
                  <c:v>-4.4282029907564933E-2</c:v>
                </c:pt>
                <c:pt idx="7">
                  <c:v>-4.9817244137724863E-2</c:v>
                </c:pt>
                <c:pt idx="8">
                  <c:v>-5.5352444423871869E-2</c:v>
                </c:pt>
                <c:pt idx="9">
                  <c:v>-6.088762921671996E-2</c:v>
                </c:pt>
                <c:pt idx="10">
                  <c:v>-6.6422796966998085E-2</c:v>
                </c:pt>
                <c:pt idx="11">
                  <c:v>-7.1957946125453448E-2</c:v>
                </c:pt>
                <c:pt idx="12">
                  <c:v>-7.7493075142850101E-2</c:v>
                </c:pt>
                <c:pt idx="13">
                  <c:v>-8.3028182469973594E-2</c:v>
                </c:pt>
                <c:pt idx="14">
                  <c:v>-8.8563266557630471E-2</c:v>
                </c:pt>
                <c:pt idx="15">
                  <c:v>-9.4098325856649664E-2</c:v>
                </c:pt>
                <c:pt idx="16">
                  <c:v>-9.9633358817885348E-2</c:v>
                </c:pt>
                <c:pt idx="17">
                  <c:v>-0.10516836389221784</c:v>
                </c:pt>
                <c:pt idx="18">
                  <c:v>-0.11070333953055637</c:v>
                </c:pt>
                <c:pt idx="19">
                  <c:v>-0.16605113615692341</c:v>
                </c:pt>
                <c:pt idx="20">
                  <c:v>-0.22139428544792619</c:v>
                </c:pt>
                <c:pt idx="21">
                  <c:v>-0.27673123901056051</c:v>
                </c:pt>
                <c:pt idx="22">
                  <c:v>-0.33206044906771814</c:v>
                </c:pt>
                <c:pt idx="23">
                  <c:v>-0.38738036861188707</c:v>
                </c:pt>
                <c:pt idx="24">
                  <c:v>-0.44268945155873562</c:v>
                </c:pt>
                <c:pt idx="25">
                  <c:v>-0.49798615290043413</c:v>
                </c:pt>
                <c:pt idx="26">
                  <c:v>-0.55326892885876788</c:v>
                </c:pt>
                <c:pt idx="27">
                  <c:v>-0.60853623703797521</c:v>
                </c:pt>
                <c:pt idx="28">
                  <c:v>-0.66378653657728715</c:v>
                </c:pt>
                <c:pt idx="29">
                  <c:v>-0.71901828830311387</c:v>
                </c:pt>
                <c:pt idx="30">
                  <c:v>-0.77422995488088198</c:v>
                </c:pt>
                <c:pt idx="31">
                  <c:v>-0.82942000096643109</c:v>
                </c:pt>
                <c:pt idx="32">
                  <c:v>-0.88458689335703589</c:v>
                </c:pt>
                <c:pt idx="33">
                  <c:v>-0.93972910114188102</c:v>
                </c:pt>
                <c:pt idx="34">
                  <c:v>-0.9948450958521029</c:v>
                </c:pt>
                <c:pt idx="35">
                  <c:v>-1.0499333516102576</c:v>
                </c:pt>
                <c:pt idx="36">
                  <c:v>-1.1049923452792201</c:v>
                </c:pt>
                <c:pt idx="37">
                  <c:v>-1.6536400311527368</c:v>
                </c:pt>
                <c:pt idx="38">
                  <c:v>-2.1977120226731235</c:v>
                </c:pt>
                <c:pt idx="39">
                  <c:v>-2.7357529146279695</c:v>
                </c:pt>
                <c:pt idx="40">
                  <c:v>-3.2663652129498457</c:v>
                </c:pt>
                <c:pt idx="41">
                  <c:v>-3.788221475442437</c:v>
                </c:pt>
                <c:pt idx="42">
                  <c:v>-4.3000750251570947</c:v>
                </c:pt>
                <c:pt idx="43">
                  <c:v>-4.8007690715037006</c:v>
                </c:pt>
                <c:pt idx="44">
                  <c:v>-5.2892441280945652</c:v>
                </c:pt>
                <c:pt idx="45">
                  <c:v>-5.764543670788095</c:v>
                </c:pt>
                <c:pt idx="46">
                  <c:v>-6.2258180318680019</c:v>
                </c:pt>
                <c:pt idx="47">
                  <c:v>-6.6723265745540807</c:v>
                </c:pt>
                <c:pt idx="48">
                  <c:v>-7.1034382343457034</c:v>
                </c:pt>
                <c:pt idx="49">
                  <c:v>-7.5186305488239098</c:v>
                </c:pt>
                <c:pt idx="50">
                  <c:v>-7.9174873247946005</c:v>
                </c:pt>
                <c:pt idx="51">
                  <c:v>-8.2996951108580035</c:v>
                </c:pt>
                <c:pt idx="52">
                  <c:v>-8.6650386548990408</c:v>
                </c:pt>
                <c:pt idx="53">
                  <c:v>-9.0133955302142041</c:v>
                </c:pt>
                <c:pt idx="54">
                  <c:v>-9.3447301119121491</c:v>
                </c:pt>
                <c:pt idx="55">
                  <c:v>-11.762582760839788</c:v>
                </c:pt>
                <c:pt idx="56">
                  <c:v>-12.831076795159113</c:v>
                </c:pt>
                <c:pt idx="57">
                  <c:v>-13.022804437583336</c:v>
                </c:pt>
                <c:pt idx="58">
                  <c:v>-12.722406159031699</c:v>
                </c:pt>
                <c:pt idx="59">
                  <c:v>-12.178748299206257</c:v>
                </c:pt>
                <c:pt idx="60">
                  <c:v>-11.53611795040525</c:v>
                </c:pt>
                <c:pt idx="61">
                  <c:v>-10.872739234555878</c:v>
                </c:pt>
                <c:pt idx="62">
                  <c:v>-10.228519154761564</c:v>
                </c:pt>
                <c:pt idx="63">
                  <c:v>-9.6220956465181562</c:v>
                </c:pt>
                <c:pt idx="64">
                  <c:v>-9.0606444264846182</c:v>
                </c:pt>
                <c:pt idx="65">
                  <c:v>-8.5453513701562702</c:v>
                </c:pt>
                <c:pt idx="66">
                  <c:v>-8.074417520151103</c:v>
                </c:pt>
                <c:pt idx="67">
                  <c:v>-7.6446889945820429</c:v>
                </c:pt>
                <c:pt idx="68">
                  <c:v>-7.2525270356731726</c:v>
                </c:pt>
                <c:pt idx="69">
                  <c:v>-6.8942597772674059</c:v>
                </c:pt>
                <c:pt idx="70">
                  <c:v>-6.5664046740842279</c:v>
                </c:pt>
                <c:pt idx="71">
                  <c:v>-6.2657661944523193</c:v>
                </c:pt>
                <c:pt idx="72">
                  <c:v>-5.9894667917322018</c:v>
                </c:pt>
                <c:pt idx="73">
                  <c:v>-4.1251017789238515</c:v>
                </c:pt>
                <c:pt idx="74">
                  <c:v>-3.1301770365923938</c:v>
                </c:pt>
                <c:pt idx="75">
                  <c:v>-2.5178494500054915</c:v>
                </c:pt>
                <c:pt idx="76">
                  <c:v>-2.1044690562107413</c:v>
                </c:pt>
                <c:pt idx="77">
                  <c:v>-1.8070831047386482</c:v>
                </c:pt>
                <c:pt idx="78">
                  <c:v>-1.5830506890743525</c:v>
                </c:pt>
                <c:pt idx="79">
                  <c:v>-1.4082877837126435</c:v>
                </c:pt>
                <c:pt idx="80">
                  <c:v>-1.2681885708998635</c:v>
                </c:pt>
                <c:pt idx="81">
                  <c:v>-1.1533899483621299</c:v>
                </c:pt>
                <c:pt idx="82">
                  <c:v>-1.0576168910843449</c:v>
                </c:pt>
                <c:pt idx="83">
                  <c:v>-0.97650813418145999</c:v>
                </c:pt>
                <c:pt idx="84">
                  <c:v>-0.90693917812147706</c:v>
                </c:pt>
                <c:pt idx="85">
                  <c:v>-0.84661337635806988</c:v>
                </c:pt>
                <c:pt idx="86">
                  <c:v>-0.79380504420295694</c:v>
                </c:pt>
                <c:pt idx="87">
                  <c:v>-0.74719255649838834</c:v>
                </c:pt>
                <c:pt idx="88">
                  <c:v>-0.70574671399682454</c:v>
                </c:pt>
                <c:pt idx="89">
                  <c:v>-0.66865415757730751</c:v>
                </c:pt>
                <c:pt idx="90">
                  <c:v>-0.63526363916322159</c:v>
                </c:pt>
                <c:pt idx="91">
                  <c:v>-0.42365379383094259</c:v>
                </c:pt>
                <c:pt idx="92">
                  <c:v>-0.31777834807543909</c:v>
                </c:pt>
                <c:pt idx="93">
                  <c:v>-0.25423675294225306</c:v>
                </c:pt>
                <c:pt idx="94">
                  <c:v>-0.21187033253002116</c:v>
                </c:pt>
                <c:pt idx="95">
                  <c:v>-0.18160643544735372</c:v>
                </c:pt>
                <c:pt idx="96">
                  <c:v>-0.15890750135755544</c:v>
                </c:pt>
                <c:pt idx="97">
                  <c:v>-0.14125225216389789</c:v>
                </c:pt>
                <c:pt idx="98">
                  <c:v>-0.12712776075100346</c:v>
                </c:pt>
                <c:pt idx="99">
                  <c:v>-0.11557118517128535</c:v>
                </c:pt>
                <c:pt idx="100">
                  <c:v>-0.10594059720012519</c:v>
                </c:pt>
                <c:pt idx="101">
                  <c:v>-9.7791567704371044E-2</c:v>
                </c:pt>
                <c:pt idx="102">
                  <c:v>-9.0806637870401247E-2</c:v>
                </c:pt>
                <c:pt idx="103">
                  <c:v>-8.4752999161777712E-2</c:v>
                </c:pt>
                <c:pt idx="104">
                  <c:v>-7.9456041945812836E-2</c:v>
                </c:pt>
                <c:pt idx="105">
                  <c:v>-7.4782239208895221E-2</c:v>
                </c:pt>
                <c:pt idx="106">
                  <c:v>-7.0627735329320596E-2</c:v>
                </c:pt>
                <c:pt idx="107">
                  <c:v>-6.691053818804682E-2</c:v>
                </c:pt>
                <c:pt idx="108">
                  <c:v>-6.3565053525857354E-2</c:v>
                </c:pt>
                <c:pt idx="109">
                  <c:v>-4.2376847187325324E-2</c:v>
                </c:pt>
                <c:pt idx="110">
                  <c:v>-3.178267341032863E-2</c:v>
                </c:pt>
                <c:pt idx="111">
                  <c:v>-2.5426152806490861E-2</c:v>
                </c:pt>
                <c:pt idx="112">
                  <c:v>-2.1188467044942171E-2</c:v>
                </c:pt>
                <c:pt idx="113">
                  <c:v>-1.8161546475069811E-2</c:v>
                </c:pt>
                <c:pt idx="114">
                  <c:v>-1.5891355036202141E-2</c:v>
                </c:pt>
                <c:pt idx="115">
                  <c:v>-1.4125650060997495E-2</c:v>
                </c:pt>
                <c:pt idx="116">
                  <c:v>-1.2713085788743745E-2</c:v>
                </c:pt>
                <c:pt idx="117">
                  <c:v>-1.1557351210642663E-2</c:v>
                </c:pt>
                <c:pt idx="118">
                  <c:v>-1.0594238953895744E-2</c:v>
                </c:pt>
                <c:pt idx="119">
                  <c:v>-9.7792977431239558E-3</c:v>
                </c:pt>
                <c:pt idx="120">
                  <c:v>-9.0807766579081278E-3</c:v>
                </c:pt>
                <c:pt idx="121">
                  <c:v>-8.4753916845337184E-3</c:v>
                </c:pt>
                <c:pt idx="122">
                  <c:v>-7.945679809484324E-3</c:v>
                </c:pt>
                <c:pt idx="123">
                  <c:v>-7.4782869615996365E-3</c:v>
                </c:pt>
                <c:pt idx="124">
                  <c:v>-7.0628266398105677E-3</c:v>
                </c:pt>
                <c:pt idx="125">
                  <c:v>-6.691098974013163E-3</c:v>
                </c:pt>
                <c:pt idx="126">
                  <c:v>-6.3565440675603015E-3</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-13.979400076497209</c:v>
                </c:pt>
                <c:pt idx="1">
                  <c:v>-13.979400063718526</c:v>
                </c:pt>
                <c:pt idx="2">
                  <c:v>-13.979400045828953</c:v>
                </c:pt>
                <c:pt idx="3">
                  <c:v>-13.979400022828925</c:v>
                </c:pt>
                <c:pt idx="4">
                  <c:v>-13.979399994719177</c:v>
                </c:pt>
                <c:pt idx="5">
                  <c:v>-13.97939996150062</c:v>
                </c:pt>
                <c:pt idx="6">
                  <c:v>-13.97939992317408</c:v>
                </c:pt>
                <c:pt idx="7">
                  <c:v>-13.97939987974077</c:v>
                </c:pt>
                <c:pt idx="8">
                  <c:v>-13.979399831202077</c:v>
                </c:pt>
                <c:pt idx="9">
                  <c:v>-13.979399777559394</c:v>
                </c:pt>
                <c:pt idx="10">
                  <c:v>-13.979399718814236</c:v>
                </c:pt>
                <c:pt idx="11">
                  <c:v>-13.979399654968427</c:v>
                </c:pt>
                <c:pt idx="12">
                  <c:v>-13.97939958602387</c:v>
                </c:pt>
                <c:pt idx="13">
                  <c:v>-13.979399511982617</c:v>
                </c:pt>
                <c:pt idx="14">
                  <c:v>-13.979399432846826</c:v>
                </c:pt>
                <c:pt idx="15">
                  <c:v>-13.979399348618841</c:v>
                </c:pt>
                <c:pt idx="16">
                  <c:v>-13.979399259301266</c:v>
                </c:pt>
                <c:pt idx="17">
                  <c:v>-13.979399164896709</c:v>
                </c:pt>
                <c:pt idx="18">
                  <c:v>-13.979399065407854</c:v>
                </c:pt>
                <c:pt idx="19">
                  <c:v>-13.979397791613517</c:v>
                </c:pt>
                <c:pt idx="20">
                  <c:v>-13.9793960135937</c:v>
                </c:pt>
                <c:pt idx="21">
                  <c:v>-13.979393736593781</c:v>
                </c:pt>
                <c:pt idx="22">
                  <c:v>-13.97939096729198</c:v>
                </c:pt>
                <c:pt idx="23">
                  <c:v>-13.97938771375086</c:v>
                </c:pt>
                <c:pt idx="24">
                  <c:v>-13.979383985359695</c:v>
                </c:pt>
                <c:pt idx="25">
                  <c:v>-13.979379792767965</c:v>
                </c:pt>
                <c:pt idx="26">
                  <c:v>-13.979375147811929</c:v>
                </c:pt>
                <c:pt idx="27">
                  <c:v>-13.979370063432984</c:v>
                </c:pt>
                <c:pt idx="28">
                  <c:v>-13.979364553591289</c:v>
                </c:pt>
                <c:pt idx="29">
                  <c:v>-13.979358633174384</c:v>
                </c:pt>
                <c:pt idx="30">
                  <c:v>-13.979352317901741</c:v>
                </c:pt>
                <c:pt idx="31">
                  <c:v>-13.9793456242273</c:v>
                </c:pt>
                <c:pt idx="32">
                  <c:v>-13.979338569239562</c:v>
                </c:pt>
                <c:pt idx="33">
                  <c:v>-13.979331170562141</c:v>
                </c:pt>
                <c:pt idx="34">
                  <c:v>-13.979323446254089</c:v>
                </c:pt>
                <c:pt idx="35">
                  <c:v>-13.979315414711815</c:v>
                </c:pt>
                <c:pt idx="36">
                  <c:v>-13.979307094572759</c:v>
                </c:pt>
                <c:pt idx="37">
                  <c:v>-13.979212120132624</c:v>
                </c:pt>
                <c:pt idx="38">
                  <c:v>-13.979107614826722</c:v>
                </c:pt>
                <c:pt idx="39">
                  <c:v>-13.979006401086453</c:v>
                </c:pt>
                <c:pt idx="40">
                  <c:v>-13.978915471409865</c:v>
                </c:pt>
                <c:pt idx="41">
                  <c:v>-13.978837356719662</c:v>
                </c:pt>
                <c:pt idx="42">
                  <c:v>-13.978771989795495</c:v>
                </c:pt>
                <c:pt idx="43">
                  <c:v>-13.978718106047637</c:v>
                </c:pt>
                <c:pt idx="44">
                  <c:v>-13.97867406257145</c:v>
                </c:pt>
                <c:pt idx="45">
                  <c:v>-13.978638240662871</c:v>
                </c:pt>
                <c:pt idx="46">
                  <c:v>-13.978609208808253</c:v>
                </c:pt>
                <c:pt idx="47">
                  <c:v>-13.978585765521023</c:v>
                </c:pt>
                <c:pt idx="48">
                  <c:v>-13.978566929096006</c:v>
                </c:pt>
                <c:pt idx="49">
                  <c:v>-13.978551908087422</c:v>
                </c:pt>
                <c:pt idx="50">
                  <c:v>-13.978540068070251</c:v>
                </c:pt>
                <c:pt idx="51">
                  <c:v>-13.978530901051204</c:v>
                </c:pt>
                <c:pt idx="52">
                  <c:v>-13.978523999580212</c:v>
                </c:pt>
                <c:pt idx="53">
                  <c:v>-13.978519035728352</c:v>
                </c:pt>
                <c:pt idx="54">
                  <c:v>-13.978515744385954</c:v>
                </c:pt>
                <c:pt idx="55">
                  <c:v>-13.978541941759515</c:v>
                </c:pt>
                <c:pt idx="56">
                  <c:v>-13.978630791720985</c:v>
                </c:pt>
                <c:pt idx="57">
                  <c:v>-13.978760532927907</c:v>
                </c:pt>
                <c:pt idx="58">
                  <c:v>-13.978925221053418</c:v>
                </c:pt>
                <c:pt idx="59">
                  <c:v>-13.979122726652911</c:v>
                </c:pt>
                <c:pt idx="60">
                  <c:v>-13.979352136956742</c:v>
                </c:pt>
                <c:pt idx="61">
                  <c:v>-13.979613007065282</c:v>
                </c:pt>
                <c:pt idx="62">
                  <c:v>-13.97990509761091</c:v>
                </c:pt>
                <c:pt idx="63">
                  <c:v>-13.980228268911484</c:v>
                </c:pt>
                <c:pt idx="64">
                  <c:v>-13.980582433440043</c:v>
                </c:pt>
                <c:pt idx="65">
                  <c:v>-13.980967532611883</c:v>
                </c:pt>
                <c:pt idx="66">
                  <c:v>-13.981383524651264</c:v>
                </c:pt>
                <c:pt idx="67">
                  <c:v>-13.981830377886343</c:v>
                </c:pt>
                <c:pt idx="68">
                  <c:v>-13.982308066864737</c:v>
                </c:pt>
                <c:pt idx="69">
                  <c:v>-13.982816570012391</c:v>
                </c:pt>
                <c:pt idx="70">
                  <c:v>-13.983355868172428</c:v>
                </c:pt>
                <c:pt idx="71">
                  <c:v>-13.983925943666339</c:v>
                </c:pt>
                <c:pt idx="72">
                  <c:v>-13.984526779673967</c:v>
                </c:pt>
                <c:pt idx="73">
                  <c:v>-13.992223320679901</c:v>
                </c:pt>
                <c:pt idx="74">
                  <c:v>-14.002976225760158</c:v>
                </c:pt>
                <c:pt idx="75">
                  <c:v>-14.016762551177713</c:v>
                </c:pt>
                <c:pt idx="76">
                  <c:v>-14.033553351863004</c:v>
                </c:pt>
                <c:pt idx="77">
                  <c:v>-14.053313721187683</c:v>
                </c:pt>
                <c:pt idx="78">
                  <c:v>-14.076002998185755</c:v>
                </c:pt>
                <c:pt idx="79">
                  <c:v>-14.101575032005512</c:v>
                </c:pt>
                <c:pt idx="80">
                  <c:v>-14.129978483110659</c:v>
                </c:pt>
                <c:pt idx="81">
                  <c:v>-14.161157153363312</c:v>
                </c:pt>
                <c:pt idx="82">
                  <c:v>-14.195050339593218</c:v>
                </c:pt>
                <c:pt idx="83">
                  <c:v>-14.231593205833422</c:v>
                </c:pt>
                <c:pt idx="84">
                  <c:v>-14.270717169580525</c:v>
                </c:pt>
                <c:pt idx="85">
                  <c:v>-14.312350297556815</c:v>
                </c:pt>
                <c:pt idx="86">
                  <c:v>-14.35641770659492</c:v>
                </c:pt>
                <c:pt idx="87">
                  <c:v>-14.402841965471886</c:v>
                </c:pt>
                <c:pt idx="88">
                  <c:v>-14.451543493769961</c:v>
                </c:pt>
                <c:pt idx="89">
                  <c:v>-14.502440954148277</c:v>
                </c:pt>
                <c:pt idx="90">
                  <c:v>-14.555451634748266</c:v>
                </c:pt>
                <c:pt idx="91">
                  <c:v>-15.183294118874247</c:v>
                </c:pt>
                <c:pt idx="92">
                  <c:v>-15.933078343893802</c:v>
                </c:pt>
                <c:pt idx="93">
                  <c:v>-16.738862660656668</c:v>
                </c:pt>
                <c:pt idx="94">
                  <c:v>-17.555845961716603</c:v>
                </c:pt>
                <c:pt idx="95">
                  <c:v>-18.357278864347958</c:v>
                </c:pt>
                <c:pt idx="96">
                  <c:v>-19.128905250841694</c:v>
                </c:pt>
                <c:pt idx="97">
                  <c:v>-19.864215126058895</c:v>
                </c:pt>
                <c:pt idx="98">
                  <c:v>-20.561184622082575</c:v>
                </c:pt>
                <c:pt idx="99">
                  <c:v>-21.220247910745449</c:v>
                </c:pt>
                <c:pt idx="100">
                  <c:v>-21.8430993150182</c:v>
                </c:pt>
                <c:pt idx="101">
                  <c:v>-22.432008133319847</c:v>
                </c:pt>
                <c:pt idx="102">
                  <c:v>-22.989437102994636</c:v>
                </c:pt>
                <c:pt idx="103">
                  <c:v>-23.517836810697119</c:v>
                </c:pt>
                <c:pt idx="104">
                  <c:v>-24.019540693558255</c:v>
                </c:pt>
                <c:pt idx="105">
                  <c:v>-24.496716851937215</c:v>
                </c:pt>
                <c:pt idx="106">
                  <c:v>-24.951351418532273</c:v>
                </c:pt>
                <c:pt idx="107">
                  <c:v>-25.385248971651677</c:v>
                </c:pt>
                <c:pt idx="108">
                  <c:v>-25.800041690102127</c:v>
                </c:pt>
                <c:pt idx="109">
                  <c:v>-29.160283154817733</c:v>
                </c:pt>
                <c:pt idx="110">
                  <c:v>-31.601052690288665</c:v>
                </c:pt>
                <c:pt idx="111">
                  <c:v>-33.512140280324417</c:v>
                </c:pt>
                <c:pt idx="112">
                  <c:v>-35.080966076475697</c:v>
                </c:pt>
                <c:pt idx="113">
                  <c:v>-36.410954031145174</c:v>
                </c:pt>
                <c:pt idx="114">
                  <c:v>-37.564975598538517</c:v>
                </c:pt>
                <c:pt idx="115">
                  <c:v>-38.584033168928713</c:v>
                </c:pt>
                <c:pt idx="116">
                  <c:v>-39.496324643852681</c:v>
                </c:pt>
                <c:pt idx="117">
                  <c:v>-40.322062289887256</c:v>
                </c:pt>
                <c:pt idx="118">
                  <c:v>-41.076223382098298</c:v>
                </c:pt>
                <c:pt idx="119">
                  <c:v>-41.770212037791275</c:v>
                </c:pt>
                <c:pt idx="120">
                  <c:v>-42.412910858068351</c:v>
                </c:pt>
                <c:pt idx="121">
                  <c:v>-43.011372567581859</c:v>
                </c:pt>
                <c:pt idx="122">
                  <c:v>-43.571289930523982</c:v>
                </c:pt>
                <c:pt idx="123">
                  <c:v>-44.097324033701554</c:v>
                </c:pt>
                <c:pt idx="124">
                  <c:v>-44.593339215766647</c:v>
                </c:pt>
                <c:pt idx="125">
                  <c:v>-45.062574765736514</c:v>
                </c:pt>
                <c:pt idx="126">
                  <c:v>-45.507772758859147</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-1.9440021315458023E-4</c:v>
                </c:pt>
                <c:pt idx="1">
                  <c:v>-2.9160071938751455E-4</c:v>
                </c:pt>
                <c:pt idx="2">
                  <c:v>-3.8880170518614356E-4</c:v>
                </c:pt>
                <c:pt idx="3">
                  <c:v>-4.8600333036772205E-4</c:v>
                </c:pt>
                <c:pt idx="4">
                  <c:v>-5.8320575471786367E-4</c:v>
                </c:pt>
                <c:pt idx="5">
                  <c:v>-6.8040913798657462E-4</c:v>
                </c:pt>
                <c:pt idx="6">
                  <c:v>-7.7761363987348246E-4</c:v>
                </c:pt>
                <c:pt idx="7">
                  <c:v>-8.7481942002303164E-4</c:v>
                </c:pt>
                <c:pt idx="8">
                  <c:v>-9.7202663801166734E-4</c:v>
                </c:pt>
                <c:pt idx="9">
                  <c:v>-1.069235453356285E-3</c:v>
                </c:pt>
                <c:pt idx="10">
                  <c:v>-1.1664460254871439E-3</c:v>
                </c:pt>
                <c:pt idx="11">
                  <c:v>-1.2636585137508415E-3</c:v>
                </c:pt>
                <c:pt idx="12">
                  <c:v>-1.3608730773952216E-3</c:v>
                </c:pt>
                <c:pt idx="13">
                  <c:v>-1.4580898755703329E-3</c:v>
                </c:pt>
                <c:pt idx="14">
                  <c:v>-1.5553090673168194E-3</c:v>
                </c:pt>
                <c:pt idx="15">
                  <c:v>-1.6525308115516103E-3</c:v>
                </c:pt>
                <c:pt idx="16">
                  <c:v>-1.7497552670736371E-3</c:v>
                </c:pt>
                <c:pt idx="17">
                  <c:v>-1.8469825925398803E-3</c:v>
                </c:pt>
                <c:pt idx="18">
                  <c:v>-1.9442129464758778E-3</c:v>
                </c:pt>
                <c:pt idx="19">
                  <c:v>-2.9167178095010999E-3</c:v>
                </c:pt>
                <c:pt idx="20">
                  <c:v>-3.8896985466449143E-3</c:v>
                </c:pt>
                <c:pt idx="21">
                  <c:v>-4.863310150753101E-3</c:v>
                </c:pt>
                <c:pt idx="22">
                  <c:v>-5.8377045496331419E-3</c:v>
                </c:pt>
                <c:pt idx="23">
                  <c:v>-6.8130298988158498E-3</c:v>
                </c:pt>
                <c:pt idx="24">
                  <c:v>-7.7894299120010654E-3</c:v>
                </c:pt>
                <c:pt idx="25">
                  <c:v>-8.7670432355227926E-3</c:v>
                </c:pt>
                <c:pt idx="26">
                  <c:v>-9.7460028719910767E-3</c:v>
                </c:pt>
                <c:pt idx="27">
                  <c:v>-1.0726435657982503E-2</c:v>
                </c:pt>
                <c:pt idx="28">
                  <c:v>-1.1708461798875545E-2</c:v>
                </c:pt>
                <c:pt idx="29">
                  <c:v>-1.2692194464410462E-2</c:v>
                </c:pt>
                <c:pt idx="30">
                  <c:v>-1.3677739446271113E-2</c:v>
                </c:pt>
                <c:pt idx="31">
                  <c:v>-1.4665194879023289E-2</c:v>
                </c:pt>
                <c:pt idx="32">
                  <c:v>-1.5654651024545236E-2</c:v>
                </c:pt>
                <c:pt idx="33">
                  <c:v>-1.6646190119022415E-2</c:v>
                </c:pt>
                <c:pt idx="34">
                  <c:v>-1.763988628150466E-2</c:v>
                </c:pt>
                <c:pt idx="35">
                  <c:v>-1.863580548133964E-2</c:v>
                </c:pt>
                <c:pt idx="36">
                  <c:v>-1.9634005562325908E-2</c:v>
                </c:pt>
                <c:pt idx="37">
                  <c:v>-2.9748658470719665E-2</c:v>
                </c:pt>
                <c:pt idx="38">
                  <c:v>-4.010252860003527E-2</c:v>
                </c:pt>
                <c:pt idx="39">
                  <c:v>-5.0659767157559821E-2</c:v>
                </c:pt>
                <c:pt idx="40">
                  <c:v>-6.1367623874335822E-2</c:v>
                </c:pt>
                <c:pt idx="41">
                  <c:v>-7.2176727749648034E-2</c:v>
                </c:pt>
                <c:pt idx="42">
                  <c:v>-8.3048755781609099E-2</c:v>
                </c:pt>
                <c:pt idx="43">
                  <c:v>-9.3956830632565561E-2</c:v>
                </c:pt>
                <c:pt idx="44">
                  <c:v>-0.10488323703457095</c:v>
                </c:pt>
                <c:pt idx="45">
                  <c:v>-0.11581679373892609</c:v>
                </c:pt>
                <c:pt idx="46">
                  <c:v>-0.12675070133911112</c:v>
                </c:pt>
                <c:pt idx="47">
                  <c:v>-0.13768099531230843</c:v>
                </c:pt>
                <c:pt idx="48">
                  <c:v>-0.1486055028293487</c:v>
                </c:pt>
                <c:pt idx="49">
                  <c:v>-0.15952316288273016</c:v>
                </c:pt>
                <c:pt idx="50">
                  <c:v>-0.17043359160883759</c:v>
                </c:pt>
                <c:pt idx="51">
                  <c:v>-0.1813368075745268</c:v>
                </c:pt>
                <c:pt idx="52">
                  <c:v>-0.19223305959668446</c:v>
                </c:pt>
                <c:pt idx="53">
                  <c:v>-0.20312271969193504</c:v>
                </c:pt>
                <c:pt idx="54">
                  <c:v>-0.21400621721008148</c:v>
                </c:pt>
                <c:pt idx="55">
                  <c:v>-0.32259132067555546</c:v>
                </c:pt>
                <c:pt idx="56">
                  <c:v>-0.43091211162252296</c:v>
                </c:pt>
                <c:pt idx="57">
                  <c:v>-0.5391067557687671</c:v>
                </c:pt>
                <c:pt idx="58">
                  <c:v>-0.64723186685487211</c:v>
                </c:pt>
                <c:pt idx="59">
                  <c:v>-0.75531355855661908</c:v>
                </c:pt>
                <c:pt idx="60">
                  <c:v>-0.86336514341439874</c:v>
                </c:pt>
                <c:pt idx="61">
                  <c:v>-0.97139389535452736</c:v>
                </c:pt>
                <c:pt idx="62">
                  <c:v>-1.0794039589866358</c:v>
                </c:pt>
                <c:pt idx="63">
                  <c:v>-1.1873977317666948</c:v>
                </c:pt>
                <c:pt idx="64">
                  <c:v>-1.2953765755008937</c:v>
                </c:pt>
                <c:pt idx="65">
                  <c:v>-1.4033412073325178</c:v>
                </c:pt>
                <c:pt idx="66">
                  <c:v>-1.5112919265002218</c:v>
                </c:pt>
                <c:pt idx="67">
                  <c:v>-1.6192287519253288</c:v>
                </c:pt>
                <c:pt idx="68">
                  <c:v>-1.7271515089563829</c:v>
                </c:pt>
                <c:pt idx="69">
                  <c:v>-1.8350598858904006</c:v>
                </c:pt>
                <c:pt idx="70">
                  <c:v>-1.9429534718699111</c:v>
                </c:pt>
                <c:pt idx="71">
                  <c:v>-2.0508317829378058</c:v>
                </c:pt>
                <c:pt idx="72">
                  <c:v>-2.1586942803525777</c:v>
                </c:pt>
                <c:pt idx="73">
                  <c:v>-3.2363102700342519</c:v>
                </c:pt>
                <c:pt idx="74">
                  <c:v>-4.3116032035299279</c:v>
                </c:pt>
                <c:pt idx="75">
                  <c:v>-5.3838476768539572</c:v>
                </c:pt>
                <c:pt idx="76">
                  <c:v>-6.4523164779582407</c:v>
                </c:pt>
                <c:pt idx="77">
                  <c:v>-7.516293863481442</c:v>
                </c:pt>
                <c:pt idx="78">
                  <c:v>-8.5750809182749776</c:v>
                </c:pt>
                <c:pt idx="79">
                  <c:v>-9.6279990012708776</c:v>
                </c:pt>
                <c:pt idx="80">
                  <c:v>-10.674392465529372</c:v>
                </c:pt>
                <c:pt idx="81">
                  <c:v>-11.713630964840059</c:v>
                </c:pt>
                <c:pt idx="82">
                  <c:v>-12.745111442987476</c:v>
                </c:pt>
                <c:pt idx="83">
                  <c:v>-13.768259837957933</c:v>
                </c:pt>
                <c:pt idx="84">
                  <c:v>-14.782532513091247</c:v>
                </c:pt>
                <c:pt idx="85">
                  <c:v>-15.787417421340249</c:v>
                </c:pt>
                <c:pt idx="86">
                  <c:v>-16.782435008215959</c:v>
                </c:pt>
                <c:pt idx="87">
                  <c:v>-17.767138860403549</c:v>
                </c:pt>
                <c:pt idx="88">
                  <c:v>-18.741116109114937</c:v>
                </c:pt>
                <c:pt idx="89">
                  <c:v>-19.703987599435234</c:v>
                </c:pt>
                <c:pt idx="90">
                  <c:v>-20.655407838950062</c:v>
                </c:pt>
                <c:pt idx="91">
                  <c:v>-29.486830044452322</c:v>
                </c:pt>
                <c:pt idx="92">
                  <c:v>-37.01480835683163</c:v>
                </c:pt>
                <c:pt idx="93">
                  <c:v>-43.302942668825942</c:v>
                </c:pt>
                <c:pt idx="94">
                  <c:v>-48.516217694449992</c:v>
                </c:pt>
                <c:pt idx="95">
                  <c:v>-52.841385309494882</c:v>
                </c:pt>
                <c:pt idx="96">
                  <c:v>-56.449035547549094</c:v>
                </c:pt>
                <c:pt idx="97">
                  <c:v>-59.481483623580729</c:v>
                </c:pt>
                <c:pt idx="98">
                  <c:v>-62.052603894325102</c:v>
                </c:pt>
                <c:pt idx="99">
                  <c:v>-64.251889514104477</c:v>
                </c:pt>
                <c:pt idx="100">
                  <c:v>-66.149288334382888</c:v>
                </c:pt>
                <c:pt idx="101">
                  <c:v>-67.799544179880172</c:v>
                </c:pt>
                <c:pt idx="102">
                  <c:v>-69.245717865089944</c:v>
                </c:pt>
                <c:pt idx="103">
                  <c:v>-70.521918089060279</c:v>
                </c:pt>
                <c:pt idx="104">
                  <c:v>-71.655377706519246</c:v>
                </c:pt>
                <c:pt idx="105">
                  <c:v>-72.66802062925494</c:v>
                </c:pt>
                <c:pt idx="106">
                  <c:v>-73.57764361947703</c:v>
                </c:pt>
                <c:pt idx="107">
                  <c:v>-74.398810539835026</c:v>
                </c:pt>
                <c:pt idx="108">
                  <c:v>-75.143532726688719</c:v>
                </c:pt>
                <c:pt idx="109">
                  <c:v>-79.971278275246021</c:v>
                </c:pt>
                <c:pt idx="110">
                  <c:v>-82.444794204655508</c:v>
                </c:pt>
                <c:pt idx="111">
                  <c:v>-83.943224179551592</c:v>
                </c:pt>
                <c:pt idx="112">
                  <c:v>-84.946946284553363</c:v>
                </c:pt>
                <c:pt idx="113">
                  <c:v>-85.665835523009477</c:v>
                </c:pt>
                <c:pt idx="114">
                  <c:v>-86.205913592455047</c:v>
                </c:pt>
                <c:pt idx="115">
                  <c:v>-86.626446565546829</c:v>
                </c:pt>
                <c:pt idx="116">
                  <c:v>-86.963137328236002</c:v>
                </c:pt>
                <c:pt idx="117">
                  <c:v>-87.238768874198044</c:v>
                </c:pt>
                <c:pt idx="118">
                  <c:v>-87.468560116581472</c:v>
                </c:pt>
                <c:pt idx="119">
                  <c:v>-87.663062826100912</c:v>
                </c:pt>
                <c:pt idx="120">
                  <c:v>-87.829822509083129</c:v>
                </c:pt>
                <c:pt idx="121">
                  <c:v>-87.974377430491344</c:v>
                </c:pt>
                <c:pt idx="122">
                  <c:v>-88.100884215945086</c:v>
                </c:pt>
                <c:pt idx="123">
                  <c:v>-88.212523275421404</c:v>
                </c:pt>
                <c:pt idx="124">
                  <c:v>-88.311769420559372</c:v>
                </c:pt>
                <c:pt idx="125">
                  <c:v>-88.400577211493214</c:v>
                </c:pt>
                <c:pt idx="126">
                  <c:v>-88.480510808581897</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82.561557099454433</c:v>
                </c:pt>
                <c:pt idx="1">
                  <c:v>79.083469809516032</c:v>
                </c:pt>
                <c:pt idx="2">
                  <c:v>76.600108562660353</c:v>
                </c:pt>
                <c:pt idx="3">
                  <c:v>74.669061723397931</c:v>
                </c:pt>
                <c:pt idx="4">
                  <c:v>73.089328210851875</c:v>
                </c:pt>
                <c:pt idx="5">
                  <c:v>71.752741184036694</c:v>
                </c:pt>
                <c:pt idx="6">
                  <c:v>70.594428068141127</c:v>
                </c:pt>
                <c:pt idx="7">
                  <c:v>69.572424749621348</c:v>
                </c:pt>
                <c:pt idx="8">
                  <c:v>68.65802483390074</c:v>
                </c:pt>
                <c:pt idx="9">
                  <c:v>67.830726797351673</c:v>
                </c:pt>
                <c:pt idx="10">
                  <c:v>67.075379011870183</c:v>
                </c:pt>
                <c:pt idx="11">
                  <c:v>66.380467207700306</c:v>
                </c:pt>
                <c:pt idx="12">
                  <c:v>65.737036427082458</c:v>
                </c:pt>
                <c:pt idx="13">
                  <c:v>65.137984830005223</c:v>
                </c:pt>
                <c:pt idx="14">
                  <c:v>64.577585365025698</c:v>
                </c:pt>
                <c:pt idx="15">
                  <c:v>64.051152422413168</c:v>
                </c:pt>
                <c:pt idx="16">
                  <c:v>63.554803749200019</c:v>
                </c:pt>
                <c:pt idx="17">
                  <c:v>63.085286723586016</c:v>
                </c:pt>
                <c:pt idx="18">
                  <c:v>62.639849181883783</c:v>
                </c:pt>
                <c:pt idx="19">
                  <c:v>59.118520832171953</c:v>
                </c:pt>
                <c:pt idx="20">
                  <c:v>56.619976404115519</c:v>
                </c:pt>
                <c:pt idx="21">
                  <c:v>54.681944622689223</c:v>
                </c:pt>
                <c:pt idx="22">
                  <c:v>53.098476868936274</c:v>
                </c:pt>
                <c:pt idx="23">
                  <c:v>51.759704238838815</c:v>
                </c:pt>
                <c:pt idx="24">
                  <c:v>50.600041684393517</c:v>
                </c:pt>
                <c:pt idx="25">
                  <c:v>49.577184293629529</c:v>
                </c:pt>
                <c:pt idx="26">
                  <c:v>48.662246028705134</c:v>
                </c:pt>
                <c:pt idx="27">
                  <c:v>47.834623387303026</c:v>
                </c:pt>
                <c:pt idx="28">
                  <c:v>47.07910336239437</c:v>
                </c:pt>
                <c:pt idx="29">
                  <c:v>46.38413294712349</c:v>
                </c:pt>
                <c:pt idx="30">
                  <c:v>45.74073175734619</c:v>
                </c:pt>
                <c:pt idx="31">
                  <c:v>45.14178070266027</c:v>
                </c:pt>
                <c:pt idx="32">
                  <c:v>44.581540692978109</c:v>
                </c:pt>
                <c:pt idx="33">
                  <c:v>44.055317509367988</c:v>
                </c:pt>
                <c:pt idx="34">
                  <c:v>43.55922260930609</c:v>
                </c:pt>
                <c:pt idx="35">
                  <c:v>43.089998688684112</c:v>
                </c:pt>
                <c:pt idx="36">
                  <c:v>42.644890039076593</c:v>
                </c:pt>
                <c:pt idx="37">
                  <c:v>39.128427458246598</c:v>
                </c:pt>
                <c:pt idx="38">
                  <c:v>36.637137953068532</c:v>
                </c:pt>
                <c:pt idx="39">
                  <c:v>34.708529976072448</c:v>
                </c:pt>
                <c:pt idx="40">
                  <c:v>33.136582448886962</c:v>
                </c:pt>
                <c:pt idx="41">
                  <c:v>31.811382197101384</c:v>
                </c:pt>
                <c:pt idx="42">
                  <c:v>30.667305370816599</c:v>
                </c:pt>
                <c:pt idx="43">
                  <c:v>29.662007686862868</c:v>
                </c:pt>
                <c:pt idx="44">
                  <c:v>28.766561272702088</c:v>
                </c:pt>
                <c:pt idx="45">
                  <c:v>27.960317735244637</c:v>
                </c:pt>
                <c:pt idx="46">
                  <c:v>27.228016013183371</c:v>
                </c:pt>
                <c:pt idx="47">
                  <c:v>26.558051981369196</c:v>
                </c:pt>
                <c:pt idx="48">
                  <c:v>25.941391271209362</c:v>
                </c:pt>
                <c:pt idx="49">
                  <c:v>25.370858190253426</c:v>
                </c:pt>
                <c:pt idx="50">
                  <c:v>24.840654704563548</c:v>
                </c:pt>
                <c:pt idx="51">
                  <c:v>24.346025599657338</c:v>
                </c:pt>
                <c:pt idx="52">
                  <c:v>23.88301958218009</c:v>
                </c:pt>
                <c:pt idx="53">
                  <c:v>23.44831513919037</c:v>
                </c:pt>
                <c:pt idx="54">
                  <c:v>23.039091189525195</c:v>
                </c:pt>
                <c:pt idx="55">
                  <c:v>19.941891962229839</c:v>
                </c:pt>
                <c:pt idx="56">
                  <c:v>17.935301788322246</c:v>
                </c:pt>
                <c:pt idx="57">
                  <c:v>16.504487095104935</c:v>
                </c:pt>
                <c:pt idx="58">
                  <c:v>15.408947583434923</c:v>
                </c:pt>
                <c:pt idx="59">
                  <c:v>14.520028783219015</c:v>
                </c:pt>
                <c:pt idx="60">
                  <c:v>13.764365513709414</c:v>
                </c:pt>
                <c:pt idx="61">
                  <c:v>13.098546330527604</c:v>
                </c:pt>
                <c:pt idx="62">
                  <c:v>12.496170445639006</c:v>
                </c:pt>
                <c:pt idx="63">
                  <c:v>11.940774651172514</c:v>
                </c:pt>
                <c:pt idx="64">
                  <c:v>11.421820928265735</c:v>
                </c:pt>
                <c:pt idx="65">
                  <c:v>10.932365528802087</c:v>
                </c:pt>
                <c:pt idx="66">
                  <c:v>10.467681021028996</c:v>
                </c:pt>
                <c:pt idx="67">
                  <c:v>10.024429900379809</c:v>
                </c:pt>
                <c:pt idx="68">
                  <c:v>9.6001625736899641</c:v>
                </c:pt>
                <c:pt idx="69">
                  <c:v>9.1930086388390979</c:v>
                </c:pt>
                <c:pt idx="70">
                  <c:v>8.8014846912979472</c:v>
                </c:pt>
                <c:pt idx="71">
                  <c:v>8.4243731272299218</c:v>
                </c:pt>
                <c:pt idx="72">
                  <c:v>8.0606446395614579</c:v>
                </c:pt>
                <c:pt idx="73">
                  <c:v>5.0021604055530506</c:v>
                </c:pt>
                <c:pt idx="74">
                  <c:v>2.6751474448047734</c:v>
                </c:pt>
                <c:pt idx="75">
                  <c:v>0.80598024357632247</c:v>
                </c:pt>
                <c:pt idx="76">
                  <c:v>-0.754938321631619</c:v>
                </c:pt>
                <c:pt idx="77">
                  <c:v>-2.0963939657653086</c:v>
                </c:pt>
                <c:pt idx="78">
                  <c:v>-3.2746811764950143</c:v>
                </c:pt>
                <c:pt idx="79">
                  <c:v>-4.3274672285368307</c:v>
                </c:pt>
                <c:pt idx="80">
                  <c:v>-5.2810754996188267</c:v>
                </c:pt>
                <c:pt idx="81">
                  <c:v>-6.1545625449091528</c:v>
                </c:pt>
                <c:pt idx="82">
                  <c:v>-6.9621292465363327</c:v>
                </c:pt>
                <c:pt idx="83">
                  <c:v>-7.7146151495793216</c:v>
                </c:pt>
                <c:pt idx="84">
                  <c:v>-8.4204623579442117</c:v>
                </c:pt>
                <c:pt idx="85">
                  <c:v>-9.0863589636790252</c:v>
                </c:pt>
                <c:pt idx="86">
                  <c:v>-9.7176814687022954</c:v>
                </c:pt>
                <c:pt idx="87">
                  <c:v>-10.318806940568113</c:v>
                </c:pt>
                <c:pt idx="88">
                  <c:v>-10.893338292687073</c:v>
                </c:pt>
                <c:pt idx="89">
                  <c:v>-11.444270140471676</c:v>
                </c:pt>
                <c:pt idx="90">
                  <c:v>-11.974113084533309</c:v>
                </c:pt>
                <c:pt idx="91">
                  <c:v>-16.458812796693422</c:v>
                </c:pt>
                <c:pt idx="92">
                  <c:v>-20.027504884463156</c:v>
                </c:pt>
                <c:pt idx="93">
                  <c:v>-23.041033221846558</c:v>
                </c:pt>
                <c:pt idx="94">
                  <c:v>-25.656303828182416</c:v>
                </c:pt>
                <c:pt idx="95">
                  <c:v>-27.964008556654598</c:v>
                </c:pt>
                <c:pt idx="96">
                  <c:v>-30.025398820275235</c:v>
                </c:pt>
                <c:pt idx="97">
                  <c:v>-31.885119342937966</c:v>
                </c:pt>
                <c:pt idx="98">
                  <c:v>-33.577026265188145</c:v>
                </c:pt>
                <c:pt idx="99">
                  <c:v>-35.127427732392704</c:v>
                </c:pt>
                <c:pt idx="100">
                  <c:v>-36.55713376667471</c:v>
                </c:pt>
                <c:pt idx="101">
                  <c:v>-37.882847169125043</c:v>
                </c:pt>
                <c:pt idx="102">
                  <c:v>-39.118145518672328</c:v>
                </c:pt>
                <c:pt idx="103">
                  <c:v>-40.274192240507809</c:v>
                </c:pt>
                <c:pt idx="104">
                  <c:v>-41.36026113239258</c:v>
                </c:pt>
                <c:pt idx="105">
                  <c:v>-42.384129207815448</c:v>
                </c:pt>
                <c:pt idx="106">
                  <c:v>-43.352374855259974</c:v>
                </c:pt>
                <c:pt idx="107">
                  <c:v>-44.270606882570746</c:v>
                </c:pt>
                <c:pt idx="108">
                  <c:v>-45.143642439016304</c:v>
                </c:pt>
                <c:pt idx="109">
                  <c:v>-52.093426610119479</c:v>
                </c:pt>
                <c:pt idx="110">
                  <c:v>-57.057638315505692</c:v>
                </c:pt>
                <c:pt idx="111">
                  <c:v>-60.918521263448412</c:v>
                </c:pt>
                <c:pt idx="112">
                  <c:v>-64.077318539811301</c:v>
                </c:pt>
                <c:pt idx="113">
                  <c:v>-66.750085543283376</c:v>
                </c:pt>
                <c:pt idx="114">
                  <c:v>-69.066447143024462</c:v>
                </c:pt>
                <c:pt idx="115">
                  <c:v>-71.110272948495677</c:v>
                </c:pt>
                <c:pt idx="116">
                  <c:v>-72.93894448018068</c:v>
                </c:pt>
                <c:pt idx="117">
                  <c:v>-74.59344689102042</c:v>
                </c:pt>
                <c:pt idx="118">
                  <c:v>-76.104072605091091</c:v>
                </c:pt>
                <c:pt idx="119">
                  <c:v>-77.4938432968233</c:v>
                </c:pt>
                <c:pt idx="120">
                  <c:v>-78.780664361421472</c:v>
                </c:pt>
                <c:pt idx="121">
                  <c:v>-79.978736404823835</c:v>
                </c:pt>
                <c:pt idx="122">
                  <c:v>-81.099511380735606</c:v>
                </c:pt>
                <c:pt idx="123">
                  <c:v>-82.152358969646016</c:v>
                </c:pt>
                <c:pt idx="124">
                  <c:v>-83.14504255215013</c:v>
                </c:pt>
                <c:pt idx="125">
                  <c:v>-84.084066533630846</c:v>
                </c:pt>
                <c:pt idx="126">
                  <c:v>-84.97493460678092</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-82.271449314162993</c:v>
                </c:pt>
                <c:pt idx="1">
                  <c:v>-84.821647397865306</c:v>
                </c:pt>
                <c:pt idx="2">
                  <c:v>-86.102560935730054</c:v>
                </c:pt>
                <c:pt idx="3">
                  <c:v>-86.87099672481915</c:v>
                </c:pt>
                <c:pt idx="4">
                  <c:v>-87.382202834530403</c:v>
                </c:pt>
                <c:pt idx="5">
                  <c:v>-87.746128171049634</c:v>
                </c:pt>
                <c:pt idx="6">
                  <c:v>-88.017895891558069</c:v>
                </c:pt>
                <c:pt idx="7">
                  <c:v>-88.228179640975284</c:v>
                </c:pt>
                <c:pt idx="8">
                  <c:v>-88.395402994257807</c:v>
                </c:pt>
                <c:pt idx="9">
                  <c:v>-88.531298540410532</c:v>
                </c:pt>
                <c:pt idx="10">
                  <c:v>-88.643692077245021</c:v>
                </c:pt>
                <c:pt idx="11">
                  <c:v>-88.738003561186304</c:v>
                </c:pt>
                <c:pt idx="12">
                  <c:v>-88.818105534252837</c:v>
                </c:pt>
                <c:pt idx="13">
                  <c:v>-88.886838516876949</c:v>
                </c:pt>
                <c:pt idx="14">
                  <c:v>-88.946333291665724</c:v>
                </c:pt>
                <c:pt idx="15">
                  <c:v>-88.998219523627142</c:v>
                </c:pt>
                <c:pt idx="16">
                  <c:v>-89.043764885288056</c:v>
                </c:pt>
                <c:pt idx="17">
                  <c:v>-89.083970272739265</c:v>
                </c:pt>
                <c:pt idx="18">
                  <c:v>-89.119636471475147</c:v>
                </c:pt>
                <c:pt idx="19">
                  <c:v>-89.326489994665749</c:v>
                </c:pt>
                <c:pt idx="20">
                  <c:v>-89.40395050995852</c:v>
                </c:pt>
                <c:pt idx="21">
                  <c:v>-89.429650588174141</c:v>
                </c:pt>
                <c:pt idx="22">
                  <c:v>-89.429471207739255</c:v>
                </c:pt>
                <c:pt idx="23">
                  <c:v>-89.414505117697729</c:v>
                </c:pt>
                <c:pt idx="24">
                  <c:v>-89.390299136383234</c:v>
                </c:pt>
                <c:pt idx="25">
                  <c:v>-89.359935140452961</c:v>
                </c:pt>
                <c:pt idx="26">
                  <c:v>-89.325262510089516</c:v>
                </c:pt>
                <c:pt idx="27">
                  <c:v>-89.287458345369117</c:v>
                </c:pt>
                <c:pt idx="28">
                  <c:v>-89.247307579120445</c:v>
                </c:pt>
                <c:pt idx="29">
                  <c:v>-89.205353808692209</c:v>
                </c:pt>
                <c:pt idx="30">
                  <c:v>-89.161985486269174</c:v>
                </c:pt>
                <c:pt idx="31">
                  <c:v>-89.117487633389558</c:v>
                </c:pt>
                <c:pt idx="32">
                  <c:v>-89.072074162673317</c:v>
                </c:pt>
                <c:pt idx="33">
                  <c:v>-89.025908791956567</c:v>
                </c:pt>
                <c:pt idx="34">
                  <c:v>-88.979118987084917</c:v>
                </c:pt>
                <c:pt idx="35">
                  <c:v>-88.931805501736932</c:v>
                </c:pt>
                <c:pt idx="36">
                  <c:v>-88.884049055307756</c:v>
                </c:pt>
                <c:pt idx="37">
                  <c:v>-88.392240043911855</c:v>
                </c:pt>
                <c:pt idx="38">
                  <c:v>-87.889241138811684</c:v>
                </c:pt>
                <c:pt idx="39">
                  <c:v>-87.383390095099742</c:v>
                </c:pt>
                <c:pt idx="40">
                  <c:v>-86.877838202496378</c:v>
                </c:pt>
                <c:pt idx="41">
                  <c:v>-86.374245745023359</c:v>
                </c:pt>
                <c:pt idx="42">
                  <c:v>-85.873704298157833</c:v>
                </c:pt>
                <c:pt idx="43">
                  <c:v>-85.377042872723095</c:v>
                </c:pt>
                <c:pt idx="44">
                  <c:v>-84.884949320521997</c:v>
                </c:pt>
                <c:pt idx="45">
                  <c:v>-84.398024669650269</c:v>
                </c:pt>
                <c:pt idx="46">
                  <c:v>-83.916809618627624</c:v>
                </c:pt>
                <c:pt idx="47">
                  <c:v>-83.441798281589655</c:v>
                </c:pt>
                <c:pt idx="48">
                  <c:v>-82.973445654743188</c:v>
                </c:pt>
                <c:pt idx="49">
                  <c:v>-82.512171823903429</c:v>
                </c:pt>
                <c:pt idx="50">
                  <c:v>-82.058364421998959</c:v>
                </c:pt>
                <c:pt idx="51">
                  <c:v>-81.612380133202905</c:v>
                </c:pt>
                <c:pt idx="52">
                  <c:v>-81.17454568321908</c:v>
                </c:pt>
                <c:pt idx="53">
                  <c:v>-80.745158566445554</c:v>
                </c:pt>
                <c:pt idx="54">
                  <c:v>-80.324487656248621</c:v>
                </c:pt>
                <c:pt idx="55">
                  <c:v>-76.637138327179173</c:v>
                </c:pt>
                <c:pt idx="56">
                  <c:v>-73.932936260868829</c:v>
                </c:pt>
                <c:pt idx="57">
                  <c:v>-72.139873650800027</c:v>
                </c:pt>
                <c:pt idx="58">
                  <c:v>-71.100282856862847</c:v>
                </c:pt>
                <c:pt idx="59">
                  <c:v>-70.640092412755038</c:v>
                </c:pt>
                <c:pt idx="60">
                  <c:v>-70.603678691147664</c:v>
                </c:pt>
                <c:pt idx="61">
                  <c:v>-70.865400650922624</c:v>
                </c:pt>
                <c:pt idx="62">
                  <c:v>-71.32947065037142</c:v>
                </c:pt>
                <c:pt idx="63">
                  <c:v>-71.925390901317911</c:v>
                </c:pt>
                <c:pt idx="64">
                  <c:v>-72.602493656338723</c:v>
                </c:pt>
                <c:pt idx="65">
                  <c:v>-73.325011393412893</c:v>
                </c:pt>
                <c:pt idx="66">
                  <c:v>-74.068091614176609</c:v>
                </c:pt>
                <c:pt idx="67">
                  <c:v>-74.814749793697729</c:v>
                </c:pt>
                <c:pt idx="68">
                  <c:v>-75.553611286574508</c:v>
                </c:pt>
                <c:pt idx="69">
                  <c:v>-76.277268595939191</c:v>
                </c:pt>
                <c:pt idx="70">
                  <c:v>-76.981099738771135</c:v>
                </c:pt>
                <c:pt idx="71">
                  <c:v>-77.662424259675703</c:v>
                </c:pt>
                <c:pt idx="72">
                  <c:v>-78.319903161225028</c:v>
                </c:pt>
                <c:pt idx="73">
                  <c:v>-83.673245590206378</c:v>
                </c:pt>
                <c:pt idx="74">
                  <c:v>-87.470195992867517</c:v>
                </c:pt>
                <c:pt idx="75">
                  <c:v>-90.423437058875237</c:v>
                </c:pt>
                <c:pt idx="76">
                  <c:v>-92.895191718799694</c:v>
                </c:pt>
                <c:pt idx="77">
                  <c:v>-95.068990908346208</c:v>
                </c:pt>
                <c:pt idx="78">
                  <c:v>-97.044476672004407</c:v>
                </c:pt>
                <c:pt idx="79">
                  <c:v>-98.879442828608106</c:v>
                </c:pt>
                <c:pt idx="80">
                  <c:v>-100.60930066188757</c:v>
                </c:pt>
                <c:pt idx="81">
                  <c:v>-102.2567341900308</c:v>
                </c:pt>
                <c:pt idx="82">
                  <c:v>-103.83681113362599</c:v>
                </c:pt>
                <c:pt idx="83">
                  <c:v>-105.35984598309059</c:v>
                </c:pt>
                <c:pt idx="84">
                  <c:v>-106.8330832956028</c:v>
                </c:pt>
                <c:pt idx="85">
                  <c:v>-108.26172893129308</c:v>
                </c:pt>
                <c:pt idx="86">
                  <c:v>-109.64960431445535</c:v>
                </c:pt>
                <c:pt idx="87">
                  <c:v>-110.99957404229954</c:v>
                </c:pt>
                <c:pt idx="88">
                  <c:v>-112.31383246439079</c:v>
                </c:pt>
                <c:pt idx="89">
                  <c:v>-113.59409982399443</c:v>
                </c:pt>
                <c:pt idx="90">
                  <c:v>-114.84175884427285</c:v>
                </c:pt>
                <c:pt idx="91">
                  <c:v>-125.71982266903105</c:v>
                </c:pt>
                <c:pt idx="92">
                  <c:v>-134.13713031700334</c:v>
                </c:pt>
                <c:pt idx="93">
                  <c:v>-140.64978372490972</c:v>
                </c:pt>
                <c:pt idx="94">
                  <c:v>-145.73454441094739</c:v>
                </c:pt>
                <c:pt idx="95">
                  <c:v>-149.7619062004031</c:v>
                </c:pt>
                <c:pt idx="96">
                  <c:v>-153.00337660376445</c:v>
                </c:pt>
                <c:pt idx="97">
                  <c:v>-155.65388570433757</c:v>
                </c:pt>
                <c:pt idx="98">
                  <c:v>-157.85332520212484</c:v>
                </c:pt>
                <c:pt idx="99">
                  <c:v>-159.70301510967334</c:v>
                </c:pt>
                <c:pt idx="100">
                  <c:v>-161.27732951931856</c:v>
                </c:pt>
                <c:pt idx="101">
                  <c:v>-162.63168257609672</c:v>
                </c:pt>
                <c:pt idx="102">
                  <c:v>-163.80798736597617</c:v>
                </c:pt>
                <c:pt idx="103">
                  <c:v>-164.83840852829948</c:v>
                </c:pt>
                <c:pt idx="104">
                  <c:v>-165.74796957260631</c:v>
                </c:pt>
                <c:pt idx="105">
                  <c:v>-166.55638797683602</c:v>
                </c:pt>
                <c:pt idx="106">
                  <c:v>-167.27938460264892</c:v>
                </c:pt>
                <c:pt idx="107">
                  <c:v>-167.92963093915506</c:v>
                </c:pt>
                <c:pt idx="108">
                  <c:v>-168.51744356690259</c:v>
                </c:pt>
                <c:pt idx="109">
                  <c:v>-172.29028523577179</c:v>
                </c:pt>
                <c:pt idx="110">
                  <c:v>-174.20311235248923</c:v>
                </c:pt>
                <c:pt idx="111">
                  <c:v>-175.35705050122803</c:v>
                </c:pt>
                <c:pt idx="112">
                  <c:v>-176.12840782011409</c:v>
                </c:pt>
                <c:pt idx="113">
                  <c:v>-176.68021681640198</c:v>
                </c:pt>
                <c:pt idx="114">
                  <c:v>-177.0944660860138</c:v>
                </c:pt>
                <c:pt idx="115">
                  <c:v>-177.41686315987189</c:v>
                </c:pt>
                <c:pt idx="116">
                  <c:v>-177.67489448159324</c:v>
                </c:pt>
                <c:pt idx="117">
                  <c:v>-177.88607859697851</c:v>
                </c:pt>
                <c:pt idx="118">
                  <c:v>-178.06210757170464</c:v>
                </c:pt>
                <c:pt idx="119">
                  <c:v>-178.21108262840539</c:v>
                </c:pt>
                <c:pt idx="120">
                  <c:v>-178.33879402288193</c:v>
                </c:pt>
                <c:pt idx="121">
                  <c:v>-178.44949004667524</c:v>
                </c:pt>
                <c:pt idx="122">
                  <c:v>-178.54635817626405</c:v>
                </c:pt>
                <c:pt idx="123">
                  <c:v>-178.63183667291102</c:v>
                </c:pt>
                <c:pt idx="124">
                  <c:v>-178.70782245998782</c:v>
                </c:pt>
                <c:pt idx="125">
                  <c:v>-178.77581343553155</c:v>
                </c:pt>
                <c:pt idx="126">
                  <c:v>-178.83700813787453</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17.900251897923471</c:v>
                </c:pt>
                <c:pt idx="1">
                  <c:v>17.900250998401393</c:v>
                </c:pt>
                <c:pt idx="2">
                  <c:v>17.900249739071221</c:v>
                </c:pt>
                <c:pt idx="3">
                  <c:v>17.900248119933668</c:v>
                </c:pt>
                <c:pt idx="4">
                  <c:v>17.90024614098969</c:v>
                </c:pt>
                <c:pt idx="5">
                  <c:v>17.900243802240393</c:v>
                </c:pt>
                <c:pt idx="6">
                  <c:v>17.900241103687176</c:v>
                </c:pt>
                <c:pt idx="7">
                  <c:v>17.900238045331569</c:v>
                </c:pt>
                <c:pt idx="8">
                  <c:v>17.90023462717534</c:v>
                </c:pt>
                <c:pt idx="9">
                  <c:v>17.90023084922047</c:v>
                </c:pt>
                <c:pt idx="10">
                  <c:v>17.900226711469141</c:v>
                </c:pt>
                <c:pt idx="11">
                  <c:v>17.900222213923747</c:v>
                </c:pt>
                <c:pt idx="12">
                  <c:v>17.900217356586893</c:v>
                </c:pt>
                <c:pt idx="13">
                  <c:v>17.900212139461367</c:v>
                </c:pt>
                <c:pt idx="14">
                  <c:v>17.900206562550203</c:v>
                </c:pt>
                <c:pt idx="15">
                  <c:v>17.900200625856616</c:v>
                </c:pt>
                <c:pt idx="16">
                  <c:v>17.900194329384043</c:v>
                </c:pt>
                <c:pt idx="17">
                  <c:v>17.900187673136102</c:v>
                </c:pt>
                <c:pt idx="18">
                  <c:v>17.900180657116653</c:v>
                </c:pt>
                <c:pt idx="19">
                  <c:v>17.900090710484225</c:v>
                </c:pt>
                <c:pt idx="20">
                  <c:v>17.899964792475423</c:v>
                </c:pt>
                <c:pt idx="21">
                  <c:v>17.899802910365619</c:v>
                </c:pt>
                <c:pt idx="22">
                  <c:v>17.899605073506809</c:v>
                </c:pt>
                <c:pt idx="23">
                  <c:v>17.899371293326407</c:v>
                </c:pt>
                <c:pt idx="24">
                  <c:v>17.899101583325272</c:v>
                </c:pt>
                <c:pt idx="25">
                  <c:v>17.898795959075859</c:v>
                </c:pt>
                <c:pt idx="26">
                  <c:v>17.898454438219627</c:v>
                </c:pt>
                <c:pt idx="27">
                  <c:v>17.898077040464507</c:v>
                </c:pt>
                <c:pt idx="28">
                  <c:v>17.89766378758177</c:v>
                </c:pt>
                <c:pt idx="29">
                  <c:v>17.897214703402724</c:v>
                </c:pt>
                <c:pt idx="30">
                  <c:v>17.89672981381511</c:v>
                </c:pt>
                <c:pt idx="31">
                  <c:v>17.896209146759077</c:v>
                </c:pt>
                <c:pt idx="32">
                  <c:v>17.895652732222999</c:v>
                </c:pt>
                <c:pt idx="33">
                  <c:v>17.89506060223875</c:v>
                </c:pt>
                <c:pt idx="34">
                  <c:v>17.894432790877005</c:v>
                </c:pt>
                <c:pt idx="35">
                  <c:v>17.893769334241895</c:v>
                </c:pt>
                <c:pt idx="36">
                  <c:v>17.893070270465582</c:v>
                </c:pt>
                <c:pt idx="37">
                  <c:v>17.884131066516936</c:v>
                </c:pt>
                <c:pt idx="38">
                  <c:v>17.871687890174968</c:v>
                </c:pt>
                <c:pt idx="39">
                  <c:v>17.855811148222557</c:v>
                </c:pt>
                <c:pt idx="40">
                  <c:v>17.836589546201981</c:v>
                </c:pt>
                <c:pt idx="41">
                  <c:v>17.814128798477615</c:v>
                </c:pt>
                <c:pt idx="42">
                  <c:v>17.788550128543953</c:v>
                </c:pt>
                <c:pt idx="43">
                  <c:v>17.759988599940375</c:v>
                </c:pt>
                <c:pt idx="44">
                  <c:v>17.728591320787547</c:v>
                </c:pt>
                <c:pt idx="45">
                  <c:v>17.694515565859636</c:v>
                </c:pt>
                <c:pt idx="46">
                  <c:v>17.657926859348059</c:v>
                </c:pt>
                <c:pt idx="47">
                  <c:v>17.618997059237014</c:v>
                </c:pt>
                <c:pt idx="48">
                  <c:v>17.577902480743166</c:v>
                </c:pt>
                <c:pt idx="49">
                  <c:v>17.534822091854746</c:v>
                </c:pt>
                <c:pt idx="50">
                  <c:v>17.489935808938544</c:v>
                </c:pt>
                <c:pt idx="51">
                  <c:v>17.443422914964039</c:v>
                </c:pt>
                <c:pt idx="52">
                  <c:v>17.395460617389503</c:v>
                </c:pt>
                <c:pt idx="53">
                  <c:v>17.346222757405421</c:v>
                </c:pt>
                <c:pt idx="54">
                  <c:v>17.295878677223065</c:v>
                </c:pt>
                <c:pt idx="55">
                  <c:v>16.764138975917874</c:v>
                </c:pt>
                <c:pt idx="56">
                  <c:v>16.254639090437177</c:v>
                </c:pt>
                <c:pt idx="57">
                  <c:v>15.819569391440783</c:v>
                </c:pt>
                <c:pt idx="58">
                  <c:v>15.467305016471759</c:v>
                </c:pt>
                <c:pt idx="59">
                  <c:v>15.188114551597806</c:v>
                </c:pt>
                <c:pt idx="60">
                  <c:v>14.967847802381312</c:v>
                </c:pt>
                <c:pt idx="61">
                  <c:v>14.793313306502309</c:v>
                </c:pt>
                <c:pt idx="62">
                  <c:v>14.653764621166868</c:v>
                </c:pt>
                <c:pt idx="63">
                  <c:v>14.540912096173633</c:v>
                </c:pt>
                <c:pt idx="64">
                  <c:v>14.448501594945119</c:v>
                </c:pt>
                <c:pt idx="65">
                  <c:v>14.371846319193317</c:v>
                </c:pt>
                <c:pt idx="66">
                  <c:v>14.307429625724145</c:v>
                </c:pt>
                <c:pt idx="67">
                  <c:v>14.252598381233767</c:v>
                </c:pt>
                <c:pt idx="68">
                  <c:v>14.205335494708045</c:v>
                </c:pt>
                <c:pt idx="69">
                  <c:v>14.164093970419716</c:v>
                </c:pt>
                <c:pt idx="70">
                  <c:v>14.127676448336457</c:v>
                </c:pt>
                <c:pt idx="71">
                  <c:v>14.09514765323647</c:v>
                </c:pt>
                <c:pt idx="72">
                  <c:v>14.065770458297003</c:v>
                </c:pt>
                <c:pt idx="73">
                  <c:v>13.858171401149985</c:v>
                </c:pt>
                <c:pt idx="74">
                  <c:v>13.694830583807088</c:v>
                </c:pt>
                <c:pt idx="75">
                  <c:v>13.525303943408101</c:v>
                </c:pt>
                <c:pt idx="76">
                  <c:v>13.338607027453513</c:v>
                </c:pt>
                <c:pt idx="77">
                  <c:v>13.133023340082719</c:v>
                </c:pt>
                <c:pt idx="78">
                  <c:v>12.90974050894817</c:v>
                </c:pt>
                <c:pt idx="79">
                  <c:v>12.670964285834327</c:v>
                </c:pt>
                <c:pt idx="80">
                  <c:v>12.419208511797654</c:v>
                </c:pt>
                <c:pt idx="81">
                  <c:v>12.156980885335205</c:v>
                </c:pt>
                <c:pt idx="82">
                  <c:v>11.886632412738351</c:v>
                </c:pt>
                <c:pt idx="83">
                  <c:v>11.610286748562459</c:v>
                </c:pt>
                <c:pt idx="84">
                  <c:v>11.329813151897191</c:v>
                </c:pt>
                <c:pt idx="85">
                  <c:v>11.046824551100249</c:v>
                </c:pt>
                <c:pt idx="86">
                  <c:v>10.762690024085664</c:v>
                </c:pt>
                <c:pt idx="87">
                  <c:v>10.478555051281866</c:v>
                </c:pt>
                <c:pt idx="88">
                  <c:v>10.195365302846435</c:v>
                </c:pt>
                <c:pt idx="89">
                  <c:v>9.9138912770899257</c:v>
                </c:pt>
                <c:pt idx="90">
                  <c:v>9.6347521527105719</c:v>
                </c:pt>
                <c:pt idx="91">
                  <c:v>7.0374892239551947</c:v>
                </c:pt>
                <c:pt idx="92">
                  <c:v>4.8222216737631101</c:v>
                </c:pt>
                <c:pt idx="93">
                  <c:v>2.9186853568725351</c:v>
                </c:pt>
                <c:pt idx="94">
                  <c:v>1.2467498323249284</c:v>
                </c:pt>
                <c:pt idx="95">
                  <c:v>-0.25229966544860183</c:v>
                </c:pt>
                <c:pt idx="96">
                  <c:v>-1.6188267894813961</c:v>
                </c:pt>
                <c:pt idx="97">
                  <c:v>-2.8805888907201673</c:v>
                </c:pt>
                <c:pt idx="98">
                  <c:v>-4.057015387447219</c:v>
                </c:pt>
                <c:pt idx="99">
                  <c:v>-5.1620314271277223</c:v>
                </c:pt>
                <c:pt idx="100">
                  <c:v>-6.2058807781034737</c:v>
                </c:pt>
                <c:pt idx="101">
                  <c:v>-7.1963060432213819</c:v>
                </c:pt>
                <c:pt idx="102">
                  <c:v>-8.1393203980882056</c:v>
                </c:pt>
                <c:pt idx="103">
                  <c:v>-9.0397182161651415</c:v>
                </c:pt>
                <c:pt idx="104">
                  <c:v>-9.9014171233838013</c:v>
                </c:pt>
                <c:pt idx="105">
                  <c:v>-10.72769009105072</c:v>
                </c:pt>
                <c:pt idx="106">
                  <c:v>-11.521325079079482</c:v>
                </c:pt>
                <c:pt idx="107">
                  <c:v>-12.284736482588691</c:v>
                </c:pt>
                <c:pt idx="108">
                  <c:v>-13.02004420543266</c:v>
                </c:pt>
                <c:pt idx="109">
                  <c:v>-19.164489129802725</c:v>
                </c:pt>
                <c:pt idx="110">
                  <c:v>-23.79919821610526</c:v>
                </c:pt>
                <c:pt idx="111">
                  <c:v>-27.497123755947307</c:v>
                </c:pt>
                <c:pt idx="112">
                  <c:v>-30.564344564700058</c:v>
                </c:pt>
                <c:pt idx="113">
                  <c:v>-33.180798549745006</c:v>
                </c:pt>
                <c:pt idx="114">
                  <c:v>-35.460156076550248</c:v>
                </c:pt>
                <c:pt idx="115">
                  <c:v>-37.478401036379864</c:v>
                </c:pt>
                <c:pt idx="116">
                  <c:v>-39.288668027465384</c:v>
                </c:pt>
                <c:pt idx="117">
                  <c:v>-40.929495322793933</c:v>
                </c:pt>
                <c:pt idx="118">
                  <c:v>-42.429686822241216</c:v>
                </c:pt>
                <c:pt idx="119">
                  <c:v>-43.811317305822897</c:v>
                </c:pt>
                <c:pt idx="120">
                  <c:v>-45.091666896907782</c:v>
                </c:pt>
                <c:pt idx="121">
                  <c:v>-46.284510019262981</c:v>
                </c:pt>
                <c:pt idx="122">
                  <c:v>-47.401000131804039</c:v>
                </c:pt>
                <c:pt idx="123">
                  <c:v>-48.450292856508511</c:v>
                </c:pt>
                <c:pt idx="124">
                  <c:v>-49.439994858868815</c:v>
                </c:pt>
                <c:pt idx="125">
                  <c:v>-50.376493696010073</c:v>
                </c:pt>
                <c:pt idx="126">
                  <c:v>-51.265204510232607</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-1.1882732612796969E-2</c:v>
                </c:pt>
                <c:pt idx="1">
                  <c:v>-1.7824095045734369E-2</c:v>
                </c:pt>
                <c:pt idx="2">
                  <c:v>-2.3765452830522352E-2</c:v>
                </c:pt>
                <c:pt idx="3">
                  <c:v>-2.9706804417785462E-2</c:v>
                </c:pt>
                <c:pt idx="4">
                  <c:v>-3.5648148258154599E-2</c:v>
                </c:pt>
                <c:pt idx="5">
                  <c:v>-4.1589482802266639E-2</c:v>
                </c:pt>
                <c:pt idx="6">
                  <c:v>-4.753080650076915E-2</c:v>
                </c:pt>
                <c:pt idx="7">
                  <c:v>-5.3472117804320443E-2</c:v>
                </c:pt>
                <c:pt idx="8">
                  <c:v>-5.9413415163590874E-2</c:v>
                </c:pt>
                <c:pt idx="9">
                  <c:v>-6.5354697029264677E-2</c:v>
                </c:pt>
                <c:pt idx="10">
                  <c:v>-7.129596185204104E-2</c:v>
                </c:pt>
                <c:pt idx="11">
                  <c:v>-7.7237208082637385E-2</c:v>
                </c:pt>
                <c:pt idx="12">
                  <c:v>-8.3178434171787996E-2</c:v>
                </c:pt>
                <c:pt idx="13">
                  <c:v>-8.9119638570248683E-2</c:v>
                </c:pt>
                <c:pt idx="14">
                  <c:v>-9.5060819728796125E-2</c:v>
                </c:pt>
                <c:pt idx="15">
                  <c:v>-0.10100197609822956</c:v>
                </c:pt>
                <c:pt idx="16">
                  <c:v>-0.1069431061293734</c:v>
                </c:pt>
                <c:pt idx="17">
                  <c:v>-0.11288420827307817</c:v>
                </c:pt>
                <c:pt idx="18">
                  <c:v>-0.11882528098022332</c:v>
                </c:pt>
                <c:pt idx="19">
                  <c:v>-0.17823404825699615</c:v>
                </c:pt>
                <c:pt idx="20">
                  <c:v>-0.23763816810909166</c:v>
                </c:pt>
                <c:pt idx="21">
                  <c:v>-0.29703609211373438</c:v>
                </c:pt>
                <c:pt idx="22">
                  <c:v>-0.35642627246404518</c:v>
                </c:pt>
                <c:pt idx="23">
                  <c:v>-0.41580716212274088</c:v>
                </c:pt>
                <c:pt idx="24">
                  <c:v>-0.47517721497571896</c:v>
                </c:pt>
                <c:pt idx="25">
                  <c:v>-0.53453488598537857</c:v>
                </c:pt>
                <c:pt idx="26">
                  <c:v>-0.59387863134373409</c:v>
                </c:pt>
                <c:pt idx="27">
                  <c:v>-0.65320690862525277</c:v>
                </c:pt>
                <c:pt idx="28">
                  <c:v>-0.71251817693939468</c:v>
                </c:pt>
                <c:pt idx="29">
                  <c:v>-0.77181089708279915</c:v>
                </c:pt>
                <c:pt idx="30">
                  <c:v>-0.83108353169112159</c:v>
                </c:pt>
                <c:pt idx="31">
                  <c:v>-0.89033454539043089</c:v>
                </c:pt>
                <c:pt idx="32">
                  <c:v>-0.94956240494823119</c:v>
                </c:pt>
                <c:pt idx="33">
                  <c:v>-1.0087655794239354</c:v>
                </c:pt>
                <c:pt idx="34">
                  <c:v>-1.0679425403189096</c:v>
                </c:pt>
                <c:pt idx="35">
                  <c:v>-1.1270917617259388</c:v>
                </c:pt>
                <c:pt idx="36">
                  <c:v>-1.1862117204781273</c:v>
                </c:pt>
                <c:pt idx="37">
                  <c:v>-1.77546901952368</c:v>
                </c:pt>
                <c:pt idx="38">
                  <c:v>-2.3601505349036085</c:v>
                </c:pt>
                <c:pt idx="39">
                  <c:v>-2.938800831635346</c:v>
                </c:pt>
                <c:pt idx="40">
                  <c:v>-3.5100223858818906</c:v>
                </c:pt>
                <c:pt idx="41">
                  <c:v>-4.0724877256780792</c:v>
                </c:pt>
                <c:pt idx="42">
                  <c:v>-4.6249501443072862</c:v>
                </c:pt>
                <c:pt idx="43">
                  <c:v>-5.1662528214124297</c:v>
                </c:pt>
                <c:pt idx="44">
                  <c:v>-5.6953362408400201</c:v>
                </c:pt>
                <c:pt idx="45">
                  <c:v>-6.2112438486839689</c:v>
                </c:pt>
                <c:pt idx="46">
                  <c:v>-6.7131259474649436</c:v>
                </c:pt>
                <c:pt idx="47">
                  <c:v>-7.2002418706412934</c:v>
                </c:pt>
                <c:pt idx="48">
                  <c:v>-7.6719605239526798</c:v>
                </c:pt>
                <c:pt idx="49">
                  <c:v>-8.1277594152223269</c:v>
                </c:pt>
                <c:pt idx="50">
                  <c:v>-8.5672223215003367</c:v>
                </c:pt>
                <c:pt idx="51">
                  <c:v>-8.9900357616333224</c:v>
                </c:pt>
                <c:pt idx="52">
                  <c:v>-9.3959844537549273</c:v>
                </c:pt>
                <c:pt idx="53">
                  <c:v>-9.7849459414127988</c:v>
                </c:pt>
                <c:pt idx="54">
                  <c:v>-10.156884569969389</c:v>
                </c:pt>
                <c:pt idx="55">
                  <c:v>-12.980740043848231</c:v>
                </c:pt>
                <c:pt idx="56">
                  <c:v>-14.455147658827109</c:v>
                </c:pt>
                <c:pt idx="57">
                  <c:v>-15.052669957137706</c:v>
                </c:pt>
                <c:pt idx="58">
                  <c:v>-15.15791778706809</c:v>
                </c:pt>
                <c:pt idx="59">
                  <c:v>-15.019727937869925</c:v>
                </c:pt>
                <c:pt idx="60">
                  <c:v>-14.782358037814651</c:v>
                </c:pt>
                <c:pt idx="61">
                  <c:v>-14.524002845364171</c:v>
                </c:pt>
                <c:pt idx="62">
                  <c:v>-14.284540114734607</c:v>
                </c:pt>
                <c:pt idx="63">
                  <c:v>-14.08257866099061</c:v>
                </c:pt>
                <c:pt idx="64">
                  <c:v>-13.92526522253984</c:v>
                </c:pt>
                <c:pt idx="65">
                  <c:v>-13.813756852359441</c:v>
                </c:pt>
                <c:pt idx="66">
                  <c:v>-13.746225939649742</c:v>
                </c:pt>
                <c:pt idx="67">
                  <c:v>-13.719490131372837</c:v>
                </c:pt>
                <c:pt idx="68">
                  <c:v>-13.729882393819109</c:v>
                </c:pt>
                <c:pt idx="69">
                  <c:v>-13.773702792835529</c:v>
                </c:pt>
                <c:pt idx="70">
                  <c:v>-13.847440935560151</c:v>
                </c:pt>
                <c:pt idx="71">
                  <c:v>-13.947873675374346</c:v>
                </c:pt>
                <c:pt idx="72">
                  <c:v>-14.0720960952758</c:v>
                </c:pt>
                <c:pt idx="73">
                  <c:v>-16.176908326146531</c:v>
                </c:pt>
                <c:pt idx="74">
                  <c:v>-19.068338117737518</c:v>
                </c:pt>
                <c:pt idx="75">
                  <c:v>-22.237721368213695</c:v>
                </c:pt>
                <c:pt idx="76">
                  <c:v>-25.483741544346131</c:v>
                </c:pt>
                <c:pt idx="77">
                  <c:v>-28.710149180223944</c:v>
                </c:pt>
                <c:pt idx="78">
                  <c:v>-31.865267782321848</c:v>
                </c:pt>
                <c:pt idx="79">
                  <c:v>-34.919883173265994</c:v>
                </c:pt>
                <c:pt idx="80">
                  <c:v>-37.857650940393775</c:v>
                </c:pt>
                <c:pt idx="81">
                  <c:v>-40.670271950502446</c:v>
                </c:pt>
                <c:pt idx="82">
                  <c:v>-43.354740486624507</c:v>
                </c:pt>
                <c:pt idx="83">
                  <c:v>-45.911611322647381</c:v>
                </c:pt>
                <c:pt idx="84">
                  <c:v>-48.343830520362339</c:v>
                </c:pt>
                <c:pt idx="85">
                  <c:v>-50.65591302135433</c:v>
                </c:pt>
                <c:pt idx="86">
                  <c:v>-52.853352238584378</c:v>
                </c:pt>
                <c:pt idx="87">
                  <c:v>-54.942193953899213</c:v>
                </c:pt>
                <c:pt idx="88">
                  <c:v>-56.928730492741309</c:v>
                </c:pt>
                <c:pt idx="89">
                  <c:v>-58.819284322735598</c:v>
                </c:pt>
                <c:pt idx="90">
                  <c:v>-60.620058403906398</c:v>
                </c:pt>
                <c:pt idx="91">
                  <c:v>-74.851246744863587</c:v>
                </c:pt>
                <c:pt idx="92">
                  <c:v>-84.763695134535624</c:v>
                </c:pt>
                <c:pt idx="93">
                  <c:v>-92.383095072721233</c:v>
                </c:pt>
                <c:pt idx="94">
                  <c:v>-98.634592108309946</c:v>
                </c:pt>
                <c:pt idx="95">
                  <c:v>-103.97682415659627</c:v>
                </c:pt>
                <c:pt idx="96">
                  <c:v>-108.65912691375213</c:v>
                </c:pt>
                <c:pt idx="97">
                  <c:v>-112.82936638309108</c:v>
                </c:pt>
                <c:pt idx="98">
                  <c:v>-116.58261476800595</c:v>
                </c:pt>
                <c:pt idx="99">
                  <c:v>-119.9846804392963</c:v>
                </c:pt>
                <c:pt idx="100">
                  <c:v>-123.08414739804607</c:v>
                </c:pt>
                <c:pt idx="101">
                  <c:v>-125.91883471839857</c:v>
                </c:pt>
                <c:pt idx="102">
                  <c:v>-128.51941192118781</c:v>
                </c:pt>
                <c:pt idx="103">
                  <c:v>-130.9115082712724</c:v>
                </c:pt>
                <c:pt idx="104">
                  <c:v>-133.11699907979394</c:v>
                </c:pt>
                <c:pt idx="105">
                  <c:v>-135.1548294322877</c:v>
                </c:pt>
                <c:pt idx="106">
                  <c:v>-137.04157041879276</c:v>
                </c:pt>
                <c:pt idx="107">
                  <c:v>-138.79181564794942</c:v>
                </c:pt>
                <c:pt idx="108">
                  <c:v>-140.41847870252488</c:v>
                </c:pt>
                <c:pt idx="109">
                  <c:v>-151.89451156305236</c:v>
                </c:pt>
                <c:pt idx="110">
                  <c:v>-158.383709460951</c:v>
                </c:pt>
                <c:pt idx="111">
                  <c:v>-162.49270449086708</c:v>
                </c:pt>
                <c:pt idx="112">
                  <c:v>-165.30982831856136</c:v>
                </c:pt>
                <c:pt idx="113">
                  <c:v>-167.35518918249815</c:v>
                </c:pt>
                <c:pt idx="114">
                  <c:v>-168.90513648184785</c:v>
                </c:pt>
                <c:pt idx="115">
                  <c:v>-170.11904455619165</c:v>
                </c:pt>
                <c:pt idx="116">
                  <c:v>-171.09492369310803</c:v>
                </c:pt>
                <c:pt idx="117">
                  <c:v>-171.89622067708194</c:v>
                </c:pt>
                <c:pt idx="118">
                  <c:v>-172.56576005963808</c:v>
                </c:pt>
                <c:pt idx="119">
                  <c:v>-173.13346486069892</c:v>
                </c:pt>
                <c:pt idx="120">
                  <c:v>-173.62086063697959</c:v>
                </c:pt>
                <c:pt idx="121">
                  <c:v>-174.04382068625537</c:v>
                </c:pt>
                <c:pt idx="122">
                  <c:v>-174.4143028691382</c:v>
                </c:pt>
                <c:pt idx="123">
                  <c:v>-174.74148436855702</c:v>
                </c:pt>
                <c:pt idx="124">
                  <c:v>-175.03252412995602</c:v>
                </c:pt>
                <c:pt idx="125">
                  <c:v>-175.29308787960144</c:v>
                </c:pt>
                <c:pt idx="126">
                  <c:v>-175.52771759323306</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68.582157022957219</c:v>
                </c:pt>
                <c:pt idx="1">
                  <c:v>65.104069745797503</c:v>
                </c:pt>
                <c:pt idx="2">
                  <c:v>62.620708516831399</c:v>
                </c:pt>
                <c:pt idx="3">
                  <c:v>60.689661700569005</c:v>
                </c:pt>
                <c:pt idx="4">
                  <c:v>59.109928216132701</c:v>
                </c:pt>
                <c:pt idx="5">
                  <c:v>57.773341222536075</c:v>
                </c:pt>
                <c:pt idx="6">
                  <c:v>56.615028144967049</c:v>
                </c:pt>
                <c:pt idx="7">
                  <c:v>55.59302486988058</c:v>
                </c:pt>
                <c:pt idx="8">
                  <c:v>54.678625002698666</c:v>
                </c:pt>
                <c:pt idx="9">
                  <c:v>53.851327019792279</c:v>
                </c:pt>
                <c:pt idx="10">
                  <c:v>53.095979293055947</c:v>
                </c:pt>
                <c:pt idx="11">
                  <c:v>52.401067552731881</c:v>
                </c:pt>
                <c:pt idx="12">
                  <c:v>51.757636841058584</c:v>
                </c:pt>
                <c:pt idx="13">
                  <c:v>51.158585318022602</c:v>
                </c:pt>
                <c:pt idx="14">
                  <c:v>50.598185932178872</c:v>
                </c:pt>
                <c:pt idx="15">
                  <c:v>50.071753073794326</c:v>
                </c:pt>
                <c:pt idx="16">
                  <c:v>49.575404489898752</c:v>
                </c:pt>
                <c:pt idx="17">
                  <c:v>49.105887558689304</c:v>
                </c:pt>
                <c:pt idx="18">
                  <c:v>48.660450116475928</c:v>
                </c:pt>
                <c:pt idx="19">
                  <c:v>45.139123040558438</c:v>
                </c:pt>
                <c:pt idx="20">
                  <c:v>42.640580390521819</c:v>
                </c:pt>
                <c:pt idx="21">
                  <c:v>40.702550886095437</c:v>
                </c:pt>
                <c:pt idx="22">
                  <c:v>39.119085901644297</c:v>
                </c:pt>
                <c:pt idx="23">
                  <c:v>37.780316525087954</c:v>
                </c:pt>
                <c:pt idx="24">
                  <c:v>36.620657699033821</c:v>
                </c:pt>
                <c:pt idx="25">
                  <c:v>35.597804500861564</c:v>
                </c:pt>
                <c:pt idx="26">
                  <c:v>34.682870880893205</c:v>
                </c:pt>
                <c:pt idx="27">
                  <c:v>33.855253323870045</c:v>
                </c:pt>
                <c:pt idx="28">
                  <c:v>33.099738808803082</c:v>
                </c:pt>
                <c:pt idx="29">
                  <c:v>32.404774313949105</c:v>
                </c:pt>
                <c:pt idx="30">
                  <c:v>31.761379439444447</c:v>
                </c:pt>
                <c:pt idx="31">
                  <c:v>31.162435078432971</c:v>
                </c:pt>
                <c:pt idx="32">
                  <c:v>30.602202123738547</c:v>
                </c:pt>
                <c:pt idx="33">
                  <c:v>30.075986338805848</c:v>
                </c:pt>
                <c:pt idx="34">
                  <c:v>29.579899163052001</c:v>
                </c:pt>
                <c:pt idx="35">
                  <c:v>29.110683273972299</c:v>
                </c:pt>
                <c:pt idx="36">
                  <c:v>28.665582944503832</c:v>
                </c:pt>
                <c:pt idx="37">
                  <c:v>25.149215338113976</c:v>
                </c:pt>
                <c:pt idx="38">
                  <c:v>22.658030338241808</c:v>
                </c:pt>
                <c:pt idx="39">
                  <c:v>20.729523574985997</c:v>
                </c:pt>
                <c:pt idx="40">
                  <c:v>19.157666977477099</c:v>
                </c:pt>
                <c:pt idx="41">
                  <c:v>17.832544840381722</c:v>
                </c:pt>
                <c:pt idx="42">
                  <c:v>16.688533381021102</c:v>
                </c:pt>
                <c:pt idx="43">
                  <c:v>15.683289580815231</c:v>
                </c:pt>
                <c:pt idx="44">
                  <c:v>14.787887210130638</c:v>
                </c:pt>
                <c:pt idx="45">
                  <c:v>13.981679494581766</c:v>
                </c:pt>
                <c:pt idx="46">
                  <c:v>13.249406804375118</c:v>
                </c:pt>
                <c:pt idx="47">
                  <c:v>12.579466215848173</c:v>
                </c:pt>
                <c:pt idx="48">
                  <c:v>11.962824342113356</c:v>
                </c:pt>
                <c:pt idx="49">
                  <c:v>11.392306282166004</c:v>
                </c:pt>
                <c:pt idx="50">
                  <c:v>10.862114636493297</c:v>
                </c:pt>
                <c:pt idx="51">
                  <c:v>10.367494698606134</c:v>
                </c:pt>
                <c:pt idx="52">
                  <c:v>9.9044955825998784</c:v>
                </c:pt>
                <c:pt idx="53">
                  <c:v>9.4697961034620182</c:v>
                </c:pt>
                <c:pt idx="54">
                  <c:v>9.0605754451392411</c:v>
                </c:pt>
                <c:pt idx="55">
                  <c:v>5.9633500204703243</c:v>
                </c:pt>
                <c:pt idx="56">
                  <c:v>3.956670996601261</c:v>
                </c:pt>
                <c:pt idx="57">
                  <c:v>2.5257265621770273</c:v>
                </c:pt>
                <c:pt idx="58">
                  <c:v>1.4300223623815054</c:v>
                </c:pt>
                <c:pt idx="59">
                  <c:v>0.54090605656610435</c:v>
                </c:pt>
                <c:pt idx="60">
                  <c:v>-0.2149866232473272</c:v>
                </c:pt>
                <c:pt idx="61">
                  <c:v>-0.88106667653767801</c:v>
                </c:pt>
                <c:pt idx="62">
                  <c:v>-1.4837346519719041</c:v>
                </c:pt>
                <c:pt idx="63">
                  <c:v>-2.0394536177389693</c:v>
                </c:pt>
                <c:pt idx="64">
                  <c:v>-2.5587615051743082</c:v>
                </c:pt>
                <c:pt idx="65">
                  <c:v>-3.0486020038097958</c:v>
                </c:pt>
                <c:pt idx="66">
                  <c:v>-3.5137025036222678</c:v>
                </c:pt>
                <c:pt idx="67">
                  <c:v>-3.9574004775065337</c:v>
                </c:pt>
                <c:pt idx="68">
                  <c:v>-4.3821454931747734</c:v>
                </c:pt>
                <c:pt idx="69">
                  <c:v>-4.7898079311732928</c:v>
                </c:pt>
                <c:pt idx="70">
                  <c:v>-5.1818711768744805</c:v>
                </c:pt>
                <c:pt idx="71">
                  <c:v>-5.5595528164364172</c:v>
                </c:pt>
                <c:pt idx="72">
                  <c:v>-5.923882140112509</c:v>
                </c:pt>
                <c:pt idx="73">
                  <c:v>-8.9900629151268507</c:v>
                </c:pt>
                <c:pt idx="74">
                  <c:v>-11.327828780955384</c:v>
                </c:pt>
                <c:pt idx="75">
                  <c:v>-13.210782307601391</c:v>
                </c:pt>
                <c:pt idx="76">
                  <c:v>-14.788491673494622</c:v>
                </c:pt>
                <c:pt idx="77">
                  <c:v>-16.149707686952993</c:v>
                </c:pt>
                <c:pt idx="78">
                  <c:v>-17.350684174680769</c:v>
                </c:pt>
                <c:pt idx="79">
                  <c:v>-18.429042260542342</c:v>
                </c:pt>
                <c:pt idx="80">
                  <c:v>-19.411053982729484</c:v>
                </c:pt>
                <c:pt idx="81">
                  <c:v>-20.315719698272467</c:v>
                </c:pt>
                <c:pt idx="82">
                  <c:v>-21.157179586129551</c:v>
                </c:pt>
                <c:pt idx="83">
                  <c:v>-21.946208355412743</c:v>
                </c:pt>
                <c:pt idx="84">
                  <c:v>-22.691179527524739</c:v>
                </c:pt>
                <c:pt idx="85">
                  <c:v>-23.39870926123584</c:v>
                </c:pt>
                <c:pt idx="86">
                  <c:v>-24.074099175297214</c:v>
                </c:pt>
                <c:pt idx="87">
                  <c:v>-24.721648906039999</c:v>
                </c:pt>
                <c:pt idx="88">
                  <c:v>-25.344881786457034</c:v>
                </c:pt>
                <c:pt idx="89">
                  <c:v>-25.946711094619953</c:v>
                </c:pt>
                <c:pt idx="90">
                  <c:v>-26.529564719281574</c:v>
                </c:pt>
                <c:pt idx="91">
                  <c:v>-31.64210691556767</c:v>
                </c:pt>
                <c:pt idx="92">
                  <c:v>-35.96058322835696</c:v>
                </c:pt>
                <c:pt idx="93">
                  <c:v>-39.779895882503226</c:v>
                </c:pt>
                <c:pt idx="94">
                  <c:v>-43.212149789899016</c:v>
                </c:pt>
                <c:pt idx="95">
                  <c:v>-46.321287421002552</c:v>
                </c:pt>
                <c:pt idx="96">
                  <c:v>-49.154304071116925</c:v>
                </c:pt>
                <c:pt idx="97">
                  <c:v>-51.749334468996864</c:v>
                </c:pt>
                <c:pt idx="98">
                  <c:v>-54.138210887270716</c:v>
                </c:pt>
                <c:pt idx="99">
                  <c:v>-56.347675643138153</c:v>
                </c:pt>
                <c:pt idx="100">
                  <c:v>-58.40023308169291</c:v>
                </c:pt>
                <c:pt idx="101">
                  <c:v>-60.31485530244489</c:v>
                </c:pt>
                <c:pt idx="102">
                  <c:v>-62.107582621666964</c:v>
                </c:pt>
                <c:pt idx="103">
                  <c:v>-63.792029051204928</c:v>
                </c:pt>
                <c:pt idx="104">
                  <c:v>-65.379801825950835</c:v>
                </c:pt>
                <c:pt idx="105">
                  <c:v>-66.880846059752656</c:v>
                </c:pt>
                <c:pt idx="106">
                  <c:v>-68.30372627379225</c:v>
                </c:pt>
                <c:pt idx="107">
                  <c:v>-69.655855854222423</c:v>
                </c:pt>
                <c:pt idx="108">
                  <c:v>-70.943684129118424</c:v>
                </c:pt>
                <c:pt idx="109">
                  <c:v>-81.253709764937213</c:v>
                </c:pt>
                <c:pt idx="110">
                  <c:v>-88.658691005794353</c:v>
                </c:pt>
                <c:pt idx="111">
                  <c:v>-94.430661543772828</c:v>
                </c:pt>
                <c:pt idx="112">
                  <c:v>-99.158284616287006</c:v>
                </c:pt>
                <c:pt idx="113">
                  <c:v>-103.16103957442854</c:v>
                </c:pt>
                <c:pt idx="114">
                  <c:v>-106.63142274156297</c:v>
                </c:pt>
                <c:pt idx="115">
                  <c:v>-109.69430611742439</c:v>
                </c:pt>
                <c:pt idx="116">
                  <c:v>-112.43526912403337</c:v>
                </c:pt>
                <c:pt idx="117">
                  <c:v>-114.91550918090768</c:v>
                </c:pt>
                <c:pt idx="118">
                  <c:v>-117.1802959871894</c:v>
                </c:pt>
                <c:pt idx="119">
                  <c:v>-119.26405533461457</c:v>
                </c:pt>
                <c:pt idx="120">
                  <c:v>-121.19357521948982</c:v>
                </c:pt>
                <c:pt idx="121">
                  <c:v>-122.99010897240569</c:v>
                </c:pt>
                <c:pt idx="122">
                  <c:v>-124.67080131125959</c:v>
                </c:pt>
                <c:pt idx="123">
                  <c:v>-126.24968300334757</c:v>
                </c:pt>
                <c:pt idx="124">
                  <c:v>-127.73838176791678</c:v>
                </c:pt>
                <c:pt idx="125">
                  <c:v>-129.14664129936736</c:v>
                </c:pt>
                <c:pt idx="126">
                  <c:v>-130.48270736564007</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-82.271643714376154</c:v>
                </c:pt>
                <c:pt idx="1">
                  <c:v>-84.821938998584699</c:v>
                </c:pt>
                <c:pt idx="2">
                  <c:v>-86.102949737435239</c:v>
                </c:pt>
                <c:pt idx="3">
                  <c:v>-86.871482728149516</c:v>
                </c:pt>
                <c:pt idx="4">
                  <c:v>-87.382786040285126</c:v>
                </c:pt>
                <c:pt idx="5">
                  <c:v>-87.746808580187619</c:v>
                </c:pt>
                <c:pt idx="6">
                  <c:v>-88.018673505197938</c:v>
                </c:pt>
                <c:pt idx="7">
                  <c:v>-88.229054460395304</c:v>
                </c:pt>
                <c:pt idx="8">
                  <c:v>-88.396375020895817</c:v>
                </c:pt>
                <c:pt idx="9">
                  <c:v>-88.532367775863889</c:v>
                </c:pt>
                <c:pt idx="10">
                  <c:v>-88.644858523270514</c:v>
                </c:pt>
                <c:pt idx="11">
                  <c:v>-88.739267219700054</c:v>
                </c:pt>
                <c:pt idx="12">
                  <c:v>-88.819466407330225</c:v>
                </c:pt>
                <c:pt idx="13">
                  <c:v>-88.888296606752519</c:v>
                </c:pt>
                <c:pt idx="14">
                  <c:v>-88.947888600733037</c:v>
                </c:pt>
                <c:pt idx="15">
                  <c:v>-88.999872054438697</c:v>
                </c:pt>
                <c:pt idx="16">
                  <c:v>-89.045514640555126</c:v>
                </c:pt>
                <c:pt idx="17">
                  <c:v>-89.085817255331804</c:v>
                </c:pt>
                <c:pt idx="18">
                  <c:v>-89.121580684421616</c:v>
                </c:pt>
                <c:pt idx="19">
                  <c:v>-89.329406712475247</c:v>
                </c:pt>
                <c:pt idx="20">
                  <c:v>-89.407840208505164</c:v>
                </c:pt>
                <c:pt idx="21">
                  <c:v>-89.434513898324894</c:v>
                </c:pt>
                <c:pt idx="22">
                  <c:v>-89.435308912288889</c:v>
                </c:pt>
                <c:pt idx="23">
                  <c:v>-89.421318147596551</c:v>
                </c:pt>
                <c:pt idx="24">
                  <c:v>-89.398088566295229</c:v>
                </c:pt>
                <c:pt idx="25">
                  <c:v>-89.368702183688484</c:v>
                </c:pt>
                <c:pt idx="26">
                  <c:v>-89.335008512961508</c:v>
                </c:pt>
                <c:pt idx="27">
                  <c:v>-89.298184781027103</c:v>
                </c:pt>
                <c:pt idx="28">
                  <c:v>-89.25901604091932</c:v>
                </c:pt>
                <c:pt idx="29">
                  <c:v>-89.218046003156616</c:v>
                </c:pt>
                <c:pt idx="30">
                  <c:v>-89.175663225715439</c:v>
                </c:pt>
                <c:pt idx="31">
                  <c:v>-89.132152828268588</c:v>
                </c:pt>
                <c:pt idx="32">
                  <c:v>-89.087728813697865</c:v>
                </c:pt>
                <c:pt idx="33">
                  <c:v>-89.042554982075586</c:v>
                </c:pt>
                <c:pt idx="34">
                  <c:v>-88.996758873366417</c:v>
                </c:pt>
                <c:pt idx="35">
                  <c:v>-88.95044130721827</c:v>
                </c:pt>
                <c:pt idx="36">
                  <c:v>-88.90368306087008</c:v>
                </c:pt>
                <c:pt idx="37">
                  <c:v>-88.421988702382578</c:v>
                </c:pt>
                <c:pt idx="38">
                  <c:v>-87.929343667411715</c:v>
                </c:pt>
                <c:pt idx="39">
                  <c:v>-87.434049862257297</c:v>
                </c:pt>
                <c:pt idx="40">
                  <c:v>-86.93920582637071</c:v>
                </c:pt>
                <c:pt idx="41">
                  <c:v>-86.446422472773008</c:v>
                </c:pt>
                <c:pt idx="42">
                  <c:v>-85.956753053939437</c:v>
                </c:pt>
                <c:pt idx="43">
                  <c:v>-85.470999703355659</c:v>
                </c:pt>
                <c:pt idx="44">
                  <c:v>-84.989832557556568</c:v>
                </c:pt>
                <c:pt idx="45">
                  <c:v>-84.513841463389198</c:v>
                </c:pt>
                <c:pt idx="46">
                  <c:v>-84.04356031996673</c:v>
                </c:pt>
                <c:pt idx="47">
                  <c:v>-83.579479276901964</c:v>
                </c:pt>
                <c:pt idx="48">
                  <c:v>-83.122051157572542</c:v>
                </c:pt>
                <c:pt idx="49">
                  <c:v>-82.671694986786164</c:v>
                </c:pt>
                <c:pt idx="50">
                  <c:v>-82.2287980136078</c:v>
                </c:pt>
                <c:pt idx="51">
                  <c:v>-81.793716940777429</c:v>
                </c:pt>
                <c:pt idx="52">
                  <c:v>-81.366778742815768</c:v>
                </c:pt>
                <c:pt idx="53">
                  <c:v>-80.948281286137487</c:v>
                </c:pt>
                <c:pt idx="54">
                  <c:v>-80.538493873458705</c:v>
                </c:pt>
                <c:pt idx="55">
                  <c:v>-76.959729647854729</c:v>
                </c:pt>
                <c:pt idx="56">
                  <c:v>-74.363848372491347</c:v>
                </c:pt>
                <c:pt idx="57">
                  <c:v>-72.678980406568797</c:v>
                </c:pt>
                <c:pt idx="58">
                  <c:v>-71.747514723717714</c:v>
                </c:pt>
                <c:pt idx="59">
                  <c:v>-71.395405971311661</c:v>
                </c:pt>
                <c:pt idx="60">
                  <c:v>-71.467043834562062</c:v>
                </c:pt>
                <c:pt idx="61">
                  <c:v>-71.836794546277147</c:v>
                </c:pt>
                <c:pt idx="62">
                  <c:v>-72.408874609358051</c:v>
                </c:pt>
                <c:pt idx="63">
                  <c:v>-73.112788633084605</c:v>
                </c:pt>
                <c:pt idx="64">
                  <c:v>-73.897870231839619</c:v>
                </c:pt>
                <c:pt idx="65">
                  <c:v>-74.72835260074541</c:v>
                </c:pt>
                <c:pt idx="66">
                  <c:v>-75.57938354067683</c:v>
                </c:pt>
                <c:pt idx="67">
                  <c:v>-76.433978545623063</c:v>
                </c:pt>
                <c:pt idx="68">
                  <c:v>-77.28076279553089</c:v>
                </c:pt>
                <c:pt idx="69">
                  <c:v>-78.112328481829593</c:v>
                </c:pt>
                <c:pt idx="70">
                  <c:v>-78.924053210641048</c:v>
                </c:pt>
                <c:pt idx="71">
                  <c:v>-79.713256042613509</c:v>
                </c:pt>
                <c:pt idx="72">
                  <c:v>-80.478597441577605</c:v>
                </c:pt>
                <c:pt idx="73">
                  <c:v>-86.90955586024063</c:v>
                </c:pt>
                <c:pt idx="74">
                  <c:v>-91.781799196397444</c:v>
                </c:pt>
                <c:pt idx="75">
                  <c:v>-95.807284735729198</c:v>
                </c:pt>
                <c:pt idx="76">
                  <c:v>-99.347508196757929</c:v>
                </c:pt>
                <c:pt idx="77">
                  <c:v>-102.58528477182765</c:v>
                </c:pt>
                <c:pt idx="78">
                  <c:v>-105.61955759027938</c:v>
                </c:pt>
                <c:pt idx="79">
                  <c:v>-108.50744182987899</c:v>
                </c:pt>
                <c:pt idx="80">
                  <c:v>-111.28369312741694</c:v>
                </c:pt>
                <c:pt idx="81">
                  <c:v>-113.97036515487086</c:v>
                </c:pt>
                <c:pt idx="82">
                  <c:v>-116.58192257661347</c:v>
                </c:pt>
                <c:pt idx="83">
                  <c:v>-119.12810582104852</c:v>
                </c:pt>
                <c:pt idx="84">
                  <c:v>-121.61561580869406</c:v>
                </c:pt>
                <c:pt idx="85">
                  <c:v>-124.04914635263333</c:v>
                </c:pt>
                <c:pt idx="86">
                  <c:v>-126.4320393226713</c:v>
                </c:pt>
                <c:pt idx="87">
                  <c:v>-128.76671290270309</c:v>
                </c:pt>
                <c:pt idx="88">
                  <c:v>-131.05494857350573</c:v>
                </c:pt>
                <c:pt idx="89">
                  <c:v>-133.29808742342965</c:v>
                </c:pt>
                <c:pt idx="90">
                  <c:v>-135.4971666832229</c:v>
                </c:pt>
                <c:pt idx="91">
                  <c:v>-155.20665271348338</c:v>
                </c:pt>
                <c:pt idx="92">
                  <c:v>-171.15193867383496</c:v>
                </c:pt>
                <c:pt idx="93">
                  <c:v>-183.95272639373567</c:v>
                </c:pt>
                <c:pt idx="94">
                  <c:v>-194.25076210539737</c:v>
                </c:pt>
                <c:pt idx="95">
                  <c:v>-202.60329150989799</c:v>
                </c:pt>
                <c:pt idx="96">
                  <c:v>-209.45241215131355</c:v>
                </c:pt>
                <c:pt idx="97">
                  <c:v>-215.13536932791828</c:v>
                </c:pt>
                <c:pt idx="98">
                  <c:v>-219.90592909644994</c:v>
                </c:pt>
                <c:pt idx="99">
                  <c:v>-223.95490462377782</c:v>
                </c:pt>
                <c:pt idx="100">
                  <c:v>-227.42661785370143</c:v>
                </c:pt>
                <c:pt idx="101">
                  <c:v>-230.43122675597689</c:v>
                </c:pt>
                <c:pt idx="102">
                  <c:v>-233.05370523106612</c:v>
                </c:pt>
                <c:pt idx="103">
                  <c:v>-235.36032661735976</c:v>
                </c:pt>
                <c:pt idx="104">
                  <c:v>-237.40334727912557</c:v>
                </c:pt>
                <c:pt idx="105">
                  <c:v>-239.22440860609095</c:v>
                </c:pt>
                <c:pt idx="106">
                  <c:v>-240.85702822212596</c:v>
                </c:pt>
                <c:pt idx="107">
                  <c:v>-242.3284414789901</c:v>
                </c:pt>
                <c:pt idx="108">
                  <c:v>-243.66097629359132</c:v>
                </c:pt>
                <c:pt idx="109">
                  <c:v>-252.26156351101781</c:v>
                </c:pt>
                <c:pt idx="110">
                  <c:v>-256.64790655714472</c:v>
                </c:pt>
                <c:pt idx="111">
                  <c:v>-259.30027468077964</c:v>
                </c:pt>
                <c:pt idx="112">
                  <c:v>-261.07535410466744</c:v>
                </c:pt>
                <c:pt idx="113">
                  <c:v>-262.34605233941147</c:v>
                </c:pt>
                <c:pt idx="114">
                  <c:v>-263.30037967846886</c:v>
                </c:pt>
                <c:pt idx="115">
                  <c:v>-264.04330972541874</c:v>
                </c:pt>
                <c:pt idx="116">
                  <c:v>-264.63803180982927</c:v>
                </c:pt>
                <c:pt idx="117">
                  <c:v>-265.12484747117657</c:v>
                </c:pt>
                <c:pt idx="118">
                  <c:v>-265.53066768828614</c:v>
                </c:pt>
                <c:pt idx="119">
                  <c:v>-265.87414545450633</c:v>
                </c:pt>
                <c:pt idx="120">
                  <c:v>-266.16861653196509</c:v>
                </c:pt>
                <c:pt idx="121">
                  <c:v>-266.4238674771666</c:v>
                </c:pt>
                <c:pt idx="122">
                  <c:v>-266.64724239220914</c:v>
                </c:pt>
                <c:pt idx="123">
                  <c:v>-266.84435994833245</c:v>
                </c:pt>
                <c:pt idx="124">
                  <c:v>-267.01959188054718</c:v>
                </c:pt>
                <c:pt idx="125">
                  <c:v>-267.17639064702473</c:v>
                </c:pt>
                <c:pt idx="126">
                  <c:v>-267.3175189464564</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86.482408920880687</c:v>
                </c:pt>
                <c:pt idx="1">
                  <c:v>83.004320744198893</c:v>
                </c:pt>
                <c:pt idx="2">
                  <c:v>80.520958255902627</c:v>
                </c:pt>
                <c:pt idx="3">
                  <c:v>78.589909820502669</c:v>
                </c:pt>
                <c:pt idx="4">
                  <c:v>77.010174357122395</c:v>
                </c:pt>
                <c:pt idx="5">
                  <c:v>75.673585024776472</c:v>
                </c:pt>
                <c:pt idx="6">
                  <c:v>74.515269248654221</c:v>
                </c:pt>
                <c:pt idx="7">
                  <c:v>73.493262915212142</c:v>
                </c:pt>
                <c:pt idx="8">
                  <c:v>72.578859629874003</c:v>
                </c:pt>
                <c:pt idx="9">
                  <c:v>71.751557869012743</c:v>
                </c:pt>
                <c:pt idx="10">
                  <c:v>70.996206004525092</c:v>
                </c:pt>
                <c:pt idx="11">
                  <c:v>70.301289766655628</c:v>
                </c:pt>
                <c:pt idx="12">
                  <c:v>69.657854197645477</c:v>
                </c:pt>
                <c:pt idx="13">
                  <c:v>69.058797457483962</c:v>
                </c:pt>
                <c:pt idx="14">
                  <c:v>68.498392494729075</c:v>
                </c:pt>
                <c:pt idx="15">
                  <c:v>67.971953699650939</c:v>
                </c:pt>
                <c:pt idx="16">
                  <c:v>67.475598819282794</c:v>
                </c:pt>
                <c:pt idx="17">
                  <c:v>67.006075231825406</c:v>
                </c:pt>
                <c:pt idx="18">
                  <c:v>66.560630773592578</c:v>
                </c:pt>
                <c:pt idx="19">
                  <c:v>63.039213751042666</c:v>
                </c:pt>
                <c:pt idx="20">
                  <c:v>60.540545182997242</c:v>
                </c:pt>
                <c:pt idx="21">
                  <c:v>58.60235379646106</c:v>
                </c:pt>
                <c:pt idx="22">
                  <c:v>57.018690975151102</c:v>
                </c:pt>
                <c:pt idx="23">
                  <c:v>55.679687818414365</c:v>
                </c:pt>
                <c:pt idx="24">
                  <c:v>54.51975928235909</c:v>
                </c:pt>
                <c:pt idx="25">
                  <c:v>53.496600459937426</c:v>
                </c:pt>
                <c:pt idx="26">
                  <c:v>52.581325319112835</c:v>
                </c:pt>
                <c:pt idx="27">
                  <c:v>51.753330364334552</c:v>
                </c:pt>
                <c:pt idx="28">
                  <c:v>50.997402596384852</c:v>
                </c:pt>
                <c:pt idx="29">
                  <c:v>50.301989017351829</c:v>
                </c:pt>
                <c:pt idx="30">
                  <c:v>49.658109253259553</c:v>
                </c:pt>
                <c:pt idx="31">
                  <c:v>49.058644225192047</c:v>
                </c:pt>
                <c:pt idx="32">
                  <c:v>48.497854855961549</c:v>
                </c:pt>
                <c:pt idx="33">
                  <c:v>47.971046941044598</c:v>
                </c:pt>
                <c:pt idx="34">
                  <c:v>47.47433195392901</c:v>
                </c:pt>
                <c:pt idx="35">
                  <c:v>47.004452608214194</c:v>
                </c:pt>
                <c:pt idx="36">
                  <c:v>46.558653214969411</c:v>
                </c:pt>
                <c:pt idx="37">
                  <c:v>43.033346404630912</c:v>
                </c:pt>
                <c:pt idx="38">
                  <c:v>40.529718228416776</c:v>
                </c:pt>
                <c:pt idx="39">
                  <c:v>38.585334723208554</c:v>
                </c:pt>
                <c:pt idx="40">
                  <c:v>36.994256523679084</c:v>
                </c:pt>
                <c:pt idx="41">
                  <c:v>35.64667363885934</c:v>
                </c:pt>
                <c:pt idx="42">
                  <c:v>34.477083509565055</c:v>
                </c:pt>
                <c:pt idx="43">
                  <c:v>33.443278180755605</c:v>
                </c:pt>
                <c:pt idx="44">
                  <c:v>32.516478530918185</c:v>
                </c:pt>
                <c:pt idx="45">
                  <c:v>31.676195060441401</c:v>
                </c:pt>
                <c:pt idx="46">
                  <c:v>30.907333663723179</c:v>
                </c:pt>
                <c:pt idx="47">
                  <c:v>30.198463275085189</c:v>
                </c:pt>
                <c:pt idx="48">
                  <c:v>29.54072682285652</c:v>
                </c:pt>
                <c:pt idx="49">
                  <c:v>28.92712837402075</c:v>
                </c:pt>
                <c:pt idx="50">
                  <c:v>28.352050445431843</c:v>
                </c:pt>
                <c:pt idx="51">
                  <c:v>27.810917613570172</c:v>
                </c:pt>
                <c:pt idx="52">
                  <c:v>27.299956199989381</c:v>
                </c:pt>
                <c:pt idx="53">
                  <c:v>26.816018860867437</c:v>
                </c:pt>
                <c:pt idx="54">
                  <c:v>26.356454122362308</c:v>
                </c:pt>
                <c:pt idx="55">
                  <c:v>22.727488996388196</c:v>
                </c:pt>
                <c:pt idx="56">
                  <c:v>20.211310087038438</c:v>
                </c:pt>
                <c:pt idx="57">
                  <c:v>18.345295953617811</c:v>
                </c:pt>
                <c:pt idx="58">
                  <c:v>16.897327378853262</c:v>
                </c:pt>
                <c:pt idx="59">
                  <c:v>15.729020608163911</c:v>
                </c:pt>
                <c:pt idx="60">
                  <c:v>14.752861179133985</c:v>
                </c:pt>
                <c:pt idx="61">
                  <c:v>13.912246629964631</c:v>
                </c:pt>
                <c:pt idx="62">
                  <c:v>13.170029969194964</c:v>
                </c:pt>
                <c:pt idx="63">
                  <c:v>12.501458478434664</c:v>
                </c:pt>
                <c:pt idx="64">
                  <c:v>11.889740089770811</c:v>
                </c:pt>
                <c:pt idx="65">
                  <c:v>11.323244315383521</c:v>
                </c:pt>
                <c:pt idx="66">
                  <c:v>10.793727122101878</c:v>
                </c:pt>
                <c:pt idx="67">
                  <c:v>10.295197903727233</c:v>
                </c:pt>
                <c:pt idx="68">
                  <c:v>9.8231900015332716</c:v>
                </c:pt>
                <c:pt idx="69">
                  <c:v>9.3742860392464227</c:v>
                </c:pt>
                <c:pt idx="70">
                  <c:v>8.9458052714619765</c:v>
                </c:pt>
                <c:pt idx="71">
                  <c:v>8.5355948368000529</c:v>
                </c:pt>
                <c:pt idx="72">
                  <c:v>8.1418883181844937</c:v>
                </c:pt>
                <c:pt idx="73">
                  <c:v>4.8681084860231341</c:v>
                </c:pt>
                <c:pt idx="74">
                  <c:v>2.3670018028517035</c:v>
                </c:pt>
                <c:pt idx="75">
                  <c:v>0.31452163580670955</c:v>
                </c:pt>
                <c:pt idx="76">
                  <c:v>-1.4498846460411094</c:v>
                </c:pt>
                <c:pt idx="77">
                  <c:v>-3.0166843468702744</c:v>
                </c:pt>
                <c:pt idx="78">
                  <c:v>-4.4409436657325987</c:v>
                </c:pt>
                <c:pt idx="79">
                  <c:v>-5.7580779747080157</c:v>
                </c:pt>
                <c:pt idx="80">
                  <c:v>-6.9918454709318301</c:v>
                </c:pt>
                <c:pt idx="81">
                  <c:v>-8.158738812937262</c:v>
                </c:pt>
                <c:pt idx="82">
                  <c:v>-9.2705471733912006</c:v>
                </c:pt>
                <c:pt idx="83">
                  <c:v>-10.335921606850285</c:v>
                </c:pt>
                <c:pt idx="84">
                  <c:v>-11.361366375627547</c:v>
                </c:pt>
                <c:pt idx="85">
                  <c:v>-12.351884710135591</c:v>
                </c:pt>
                <c:pt idx="86">
                  <c:v>-13.311409151211549</c:v>
                </c:pt>
                <c:pt idx="87">
                  <c:v>-14.243093854758133</c:v>
                </c:pt>
                <c:pt idx="88">
                  <c:v>-15.149516483610599</c:v>
                </c:pt>
                <c:pt idx="89">
                  <c:v>-16.032819817530026</c:v>
                </c:pt>
                <c:pt idx="90">
                  <c:v>-16.894812566571002</c:v>
                </c:pt>
                <c:pt idx="91">
                  <c:v>-24.604617691612475</c:v>
                </c:pt>
                <c:pt idx="92">
                  <c:v>-31.13836155459385</c:v>
                </c:pt>
                <c:pt idx="93">
                  <c:v>-36.861210525630689</c:v>
                </c:pt>
                <c:pt idx="94">
                  <c:v>-41.965399957574085</c:v>
                </c:pt>
                <c:pt idx="95">
                  <c:v>-46.573587086451155</c:v>
                </c:pt>
                <c:pt idx="96">
                  <c:v>-50.773130860598322</c:v>
                </c:pt>
                <c:pt idx="97">
                  <c:v>-54.629923359717033</c:v>
                </c:pt>
                <c:pt idx="98">
                  <c:v>-58.195226274717939</c:v>
                </c:pt>
                <c:pt idx="99">
                  <c:v>-61.509707070265875</c:v>
                </c:pt>
                <c:pt idx="100">
                  <c:v>-64.60611385979638</c:v>
                </c:pt>
                <c:pt idx="101">
                  <c:v>-67.511161345666267</c:v>
                </c:pt>
                <c:pt idx="102">
                  <c:v>-70.246903019755166</c:v>
                </c:pt>
                <c:pt idx="103">
                  <c:v>-72.831747267370076</c:v>
                </c:pt>
                <c:pt idx="104">
                  <c:v>-75.28121894933463</c:v>
                </c:pt>
                <c:pt idx="105">
                  <c:v>-77.608536150803374</c:v>
                </c:pt>
                <c:pt idx="106">
                  <c:v>-79.825051352871725</c:v>
                </c:pt>
                <c:pt idx="107">
                  <c:v>-81.940592336811108</c:v>
                </c:pt>
                <c:pt idx="108">
                  <c:v>-83.963728334551078</c:v>
                </c:pt>
                <c:pt idx="109">
                  <c:v>-100.41819889473993</c:v>
                </c:pt>
                <c:pt idx="110">
                  <c:v>-112.45788922189962</c:v>
                </c:pt>
                <c:pt idx="111">
                  <c:v>-121.92778529972014</c:v>
                </c:pt>
                <c:pt idx="112">
                  <c:v>-129.72262918098707</c:v>
                </c:pt>
                <c:pt idx="113">
                  <c:v>-136.34183812417353</c:v>
                </c:pt>
                <c:pt idx="114">
                  <c:v>-142.09157881811322</c:v>
                </c:pt>
                <c:pt idx="115">
                  <c:v>-147.17270715380425</c:v>
                </c:pt>
                <c:pt idx="116">
                  <c:v>-151.72393715149875</c:v>
                </c:pt>
                <c:pt idx="117">
                  <c:v>-155.8450045037016</c:v>
                </c:pt>
                <c:pt idx="118">
                  <c:v>-159.60998280943062</c:v>
                </c:pt>
                <c:pt idx="119">
                  <c:v>-163.07537264043748</c:v>
                </c:pt>
                <c:pt idx="120">
                  <c:v>-166.2852421163976</c:v>
                </c:pt>
                <c:pt idx="121">
                  <c:v>-169.27461899166866</c:v>
                </c:pt>
                <c:pt idx="122">
                  <c:v>-172.07180144306363</c:v>
                </c:pt>
                <c:pt idx="123">
                  <c:v>-174.69997585985607</c:v>
                </c:pt>
                <c:pt idx="124">
                  <c:v>-177.17837662678559</c:v>
                </c:pt>
                <c:pt idx="125">
                  <c:v>-179.52313499537743</c:v>
                </c:pt>
                <c:pt idx="126">
                  <c:v>-181.74791187587266</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-82.283526446988944</c:v>
                </c:pt>
                <c:pt idx="1">
                  <c:v>-84.839763093630438</c:v>
                </c:pt>
                <c:pt idx="2">
                  <c:v>-86.126715190265756</c:v>
                </c:pt>
                <c:pt idx="3">
                  <c:v>-86.901189532567301</c:v>
                </c:pt>
                <c:pt idx="4">
                  <c:v>-87.418434188543287</c:v>
                </c:pt>
                <c:pt idx="5">
                  <c:v>-87.788398062989884</c:v>
                </c:pt>
                <c:pt idx="6">
                  <c:v>-88.066204311698712</c:v>
                </c:pt>
                <c:pt idx="7">
                  <c:v>-88.282526578199622</c:v>
                </c:pt>
                <c:pt idx="8">
                  <c:v>-88.455788436059407</c:v>
                </c:pt>
                <c:pt idx="9">
                  <c:v>-88.597722472893153</c:v>
                </c:pt>
                <c:pt idx="10">
                  <c:v>-88.716154485122559</c:v>
                </c:pt>
                <c:pt idx="11">
                  <c:v>-88.816504427782689</c:v>
                </c:pt>
                <c:pt idx="12">
                  <c:v>-88.90264484150201</c:v>
                </c:pt>
                <c:pt idx="13">
                  <c:v>-88.977416245322772</c:v>
                </c:pt>
                <c:pt idx="14">
                  <c:v>-89.042949420461838</c:v>
                </c:pt>
                <c:pt idx="15">
                  <c:v>-89.100874030536929</c:v>
                </c:pt>
                <c:pt idx="16">
                  <c:v>-89.152457746684505</c:v>
                </c:pt>
                <c:pt idx="17">
                  <c:v>-89.198701463604877</c:v>
                </c:pt>
                <c:pt idx="18">
                  <c:v>-89.240405965401834</c:v>
                </c:pt>
                <c:pt idx="19">
                  <c:v>-89.507640760732244</c:v>
                </c:pt>
                <c:pt idx="20">
                  <c:v>-89.64547837661425</c:v>
                </c:pt>
                <c:pt idx="21">
                  <c:v>-89.731549990438623</c:v>
                </c:pt>
                <c:pt idx="22">
                  <c:v>-89.791735184752937</c:v>
                </c:pt>
                <c:pt idx="23">
                  <c:v>-89.837125309719298</c:v>
                </c:pt>
                <c:pt idx="24">
                  <c:v>-89.873265781270945</c:v>
                </c:pt>
                <c:pt idx="25">
                  <c:v>-89.903237069673864</c:v>
                </c:pt>
                <c:pt idx="26">
                  <c:v>-89.928887144305236</c:v>
                </c:pt>
                <c:pt idx="27">
                  <c:v>-89.951391689652354</c:v>
                </c:pt>
                <c:pt idx="28">
                  <c:v>-89.971534217858718</c:v>
                </c:pt>
                <c:pt idx="29">
                  <c:v>-89.989856900239417</c:v>
                </c:pt>
                <c:pt idx="30">
                  <c:v>-90.00674675740656</c:v>
                </c:pt>
                <c:pt idx="31">
                  <c:v>-90.022487373659018</c:v>
                </c:pt>
                <c:pt idx="32">
                  <c:v>-90.037291218646089</c:v>
                </c:pt>
                <c:pt idx="33">
                  <c:v>-90.051320561499523</c:v>
                </c:pt>
                <c:pt idx="34">
                  <c:v>-90.064701413685327</c:v>
                </c:pt>
                <c:pt idx="35">
                  <c:v>-90.077533068944206</c:v>
                </c:pt>
                <c:pt idx="36">
                  <c:v>-90.089894781348207</c:v>
                </c:pt>
                <c:pt idx="37">
                  <c:v>-90.197457721906261</c:v>
                </c:pt>
                <c:pt idx="38">
                  <c:v>-90.289494202315325</c:v>
                </c:pt>
                <c:pt idx="39">
                  <c:v>-90.372850693892644</c:v>
                </c:pt>
                <c:pt idx="40">
                  <c:v>-90.449228212252606</c:v>
                </c:pt>
                <c:pt idx="41">
                  <c:v>-90.518910198451081</c:v>
                </c:pt>
                <c:pt idx="42">
                  <c:v>-90.581703198246728</c:v>
                </c:pt>
                <c:pt idx="43">
                  <c:v>-90.637252524768087</c:v>
                </c:pt>
                <c:pt idx="44">
                  <c:v>-90.685168798396589</c:v>
                </c:pt>
                <c:pt idx="45">
                  <c:v>-90.725085312073162</c:v>
                </c:pt>
                <c:pt idx="46">
                  <c:v>-90.756686267431675</c:v>
                </c:pt>
                <c:pt idx="47">
                  <c:v>-90.779721147543256</c:v>
                </c:pt>
                <c:pt idx="48">
                  <c:v>-90.79401168152522</c:v>
                </c:pt>
                <c:pt idx="49">
                  <c:v>-90.799454402008493</c:v>
                </c:pt>
                <c:pt idx="50">
                  <c:v>-90.796020335108139</c:v>
                </c:pt>
                <c:pt idx="51">
                  <c:v>-90.783752702410752</c:v>
                </c:pt>
                <c:pt idx="52">
                  <c:v>-90.762763196570688</c:v>
                </c:pt>
                <c:pt idx="53">
                  <c:v>-90.733227227550287</c:v>
                </c:pt>
                <c:pt idx="54">
                  <c:v>-90.695378443428098</c:v>
                </c:pt>
                <c:pt idx="55">
                  <c:v>-89.940469691702958</c:v>
                </c:pt>
                <c:pt idx="56">
                  <c:v>-88.818996031318449</c:v>
                </c:pt>
                <c:pt idx="57">
                  <c:v>-87.731650363706507</c:v>
                </c:pt>
                <c:pt idx="58">
                  <c:v>-86.905432510785801</c:v>
                </c:pt>
                <c:pt idx="59">
                  <c:v>-86.415133909181591</c:v>
                </c:pt>
                <c:pt idx="60">
                  <c:v>-86.249401872376708</c:v>
                </c:pt>
                <c:pt idx="61">
                  <c:v>-86.360797391641313</c:v>
                </c:pt>
                <c:pt idx="62">
                  <c:v>-86.693414724092662</c:v>
                </c:pt>
                <c:pt idx="63">
                  <c:v>-87.195367294075211</c:v>
                </c:pt>
                <c:pt idx="64">
                  <c:v>-87.823135454379454</c:v>
                </c:pt>
                <c:pt idx="65">
                  <c:v>-88.542109453104857</c:v>
                </c:pt>
                <c:pt idx="66">
                  <c:v>-89.325609480326577</c:v>
                </c:pt>
                <c:pt idx="67">
                  <c:v>-90.1534686769959</c:v>
                </c:pt>
                <c:pt idx="68">
                  <c:v>-91.010645189350001</c:v>
                </c:pt>
                <c:pt idx="69">
                  <c:v>-91.886031274665129</c:v>
                </c:pt>
                <c:pt idx="70">
                  <c:v>-92.771494146201206</c:v>
                </c:pt>
                <c:pt idx="71">
                  <c:v>-93.661129717987848</c:v>
                </c:pt>
                <c:pt idx="72">
                  <c:v>-94.550693536853402</c:v>
                </c:pt>
                <c:pt idx="73">
                  <c:v>-103.08646418638716</c:v>
                </c:pt>
                <c:pt idx="74">
                  <c:v>-110.85013731413497</c:v>
                </c:pt>
                <c:pt idx="75">
                  <c:v>-118.0450061039429</c:v>
                </c:pt>
                <c:pt idx="76">
                  <c:v>-124.83124974110406</c:v>
                </c:pt>
                <c:pt idx="77">
                  <c:v>-131.29543395205158</c:v>
                </c:pt>
                <c:pt idx="78">
                  <c:v>-137.48482537260122</c:v>
                </c:pt>
                <c:pt idx="79">
                  <c:v>-143.42732500314497</c:v>
                </c:pt>
                <c:pt idx="80">
                  <c:v>-149.14134406781071</c:v>
                </c:pt>
                <c:pt idx="81">
                  <c:v>-154.64063710537332</c:v>
                </c:pt>
                <c:pt idx="82">
                  <c:v>-159.93666306323797</c:v>
                </c:pt>
                <c:pt idx="83">
                  <c:v>-165.0397171436959</c:v>
                </c:pt>
                <c:pt idx="84">
                  <c:v>-169.95944632905639</c:v>
                </c:pt>
                <c:pt idx="85">
                  <c:v>-174.70505937398767</c:v>
                </c:pt>
                <c:pt idx="86">
                  <c:v>-179.28539156125566</c:v>
                </c:pt>
                <c:pt idx="87">
                  <c:v>-183.70890685660231</c:v>
                </c:pt>
                <c:pt idx="88">
                  <c:v>-187.98367906624702</c:v>
                </c:pt>
                <c:pt idx="89">
                  <c:v>-192.11737174616525</c:v>
                </c:pt>
                <c:pt idx="90">
                  <c:v>-196.1172250871293</c:v>
                </c:pt>
                <c:pt idx="91">
                  <c:v>-230.05789945834698</c:v>
                </c:pt>
                <c:pt idx="92">
                  <c:v>-255.91563380837059</c:v>
                </c:pt>
                <c:pt idx="93">
                  <c:v>-276.33582146645688</c:v>
                </c:pt>
                <c:pt idx="94">
                  <c:v>-292.88535421370733</c:v>
                </c:pt>
                <c:pt idx="95">
                  <c:v>-306.58011566649424</c:v>
                </c:pt>
                <c:pt idx="96">
                  <c:v>-318.1115390650657</c:v>
                </c:pt>
                <c:pt idx="97">
                  <c:v>-327.96473571100938</c:v>
                </c:pt>
                <c:pt idx="98">
                  <c:v>-336.48854386445589</c:v>
                </c:pt>
                <c:pt idx="99">
                  <c:v>-343.93958506307411</c:v>
                </c:pt>
                <c:pt idx="100">
                  <c:v>-350.5107652517475</c:v>
                </c:pt>
                <c:pt idx="101">
                  <c:v>-356.35006147437548</c:v>
                </c:pt>
                <c:pt idx="102">
                  <c:v>-361.57311715225393</c:v>
                </c:pt>
                <c:pt idx="103">
                  <c:v>-366.27183488863216</c:v>
                </c:pt>
                <c:pt idx="104">
                  <c:v>-370.52034635891948</c:v>
                </c:pt>
                <c:pt idx="105">
                  <c:v>-374.37923803837862</c:v>
                </c:pt>
                <c:pt idx="106">
                  <c:v>-377.89859864091875</c:v>
                </c:pt>
                <c:pt idx="107">
                  <c:v>-381.12025712693952</c:v>
                </c:pt>
                <c:pt idx="108">
                  <c:v>-384.07945499611617</c:v>
                </c:pt>
                <c:pt idx="109">
                  <c:v>-404.15607507407015</c:v>
                </c:pt>
                <c:pt idx="110">
                  <c:v>-415.03161601809575</c:v>
                </c:pt>
                <c:pt idx="111">
                  <c:v>-421.79297917164672</c:v>
                </c:pt>
                <c:pt idx="112">
                  <c:v>-426.3851824232288</c:v>
                </c:pt>
                <c:pt idx="113">
                  <c:v>-429.70124152190965</c:v>
                </c:pt>
                <c:pt idx="114">
                  <c:v>-432.20551616031673</c:v>
                </c:pt>
                <c:pt idx="115">
                  <c:v>-434.16235428161042</c:v>
                </c:pt>
                <c:pt idx="116">
                  <c:v>-435.73295550293733</c:v>
                </c:pt>
                <c:pt idx="117">
                  <c:v>-437.02106814825851</c:v>
                </c:pt>
                <c:pt idx="118">
                  <c:v>-438.09642774792422</c:v>
                </c:pt>
                <c:pt idx="119">
                  <c:v>-439.00761031520528</c:v>
                </c:pt>
                <c:pt idx="120">
                  <c:v>-439.7894771689447</c:v>
                </c:pt>
                <c:pt idx="121">
                  <c:v>-440.46768816342194</c:v>
                </c:pt>
                <c:pt idx="122">
                  <c:v>-441.06154526134731</c:v>
                </c:pt>
                <c:pt idx="123">
                  <c:v>-441.58584431688951</c:v>
                </c:pt>
                <c:pt idx="124">
                  <c:v>-442.0521160105032</c:v>
                </c:pt>
                <c:pt idx="125">
                  <c:v>-442.46947852662618</c:v>
                </c:pt>
                <c:pt idx="126">
                  <c:v>-442.84523653968949</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10.700812394641613</c:v>
                </c:pt>
                <c:pt idx="1">
                  <c:v>10.700807556670675</c:v>
                </c:pt>
                <c:pt idx="2">
                  <c:v>10.700800783522663</c:v>
                </c:pt>
                <c:pt idx="3">
                  <c:v>10.700792075208822</c:v>
                </c:pt>
                <c:pt idx="4">
                  <c:v>10.700781431743707</c:v>
                </c:pt>
                <c:pt idx="5">
                  <c:v>10.700768853145133</c:v>
                </c:pt>
                <c:pt idx="6">
                  <c:v>10.700754339433979</c:v>
                </c:pt>
                <c:pt idx="7">
                  <c:v>10.70073789063439</c:v>
                </c:pt>
                <c:pt idx="8">
                  <c:v>10.700719506773922</c:v>
                </c:pt>
                <c:pt idx="9">
                  <c:v>10.700699187883147</c:v>
                </c:pt>
                <c:pt idx="10">
                  <c:v>10.70067693399595</c:v>
                </c:pt>
                <c:pt idx="11">
                  <c:v>10.700652745149482</c:v>
                </c:pt>
                <c:pt idx="12">
                  <c:v>10.700626621383954</c:v>
                </c:pt>
                <c:pt idx="13">
                  <c:v>10.700598562743053</c:v>
                </c:pt>
                <c:pt idx="14">
                  <c:v>10.700568569273427</c:v>
                </c:pt>
                <c:pt idx="15">
                  <c:v>10.700536641025188</c:v>
                </c:pt>
                <c:pt idx="16">
                  <c:v>10.700502778051526</c:v>
                </c:pt>
                <c:pt idx="17">
                  <c:v>10.700466980408789</c:v>
                </c:pt>
                <c:pt idx="18">
                  <c:v>10.700429248156802</c:v>
                </c:pt>
                <c:pt idx="19">
                  <c:v>10.699945537556076</c:v>
                </c:pt>
                <c:pt idx="20">
                  <c:v>10.699268455584816</c:v>
                </c:pt>
                <c:pt idx="21">
                  <c:v>10.698398115044396</c:v>
                </c:pt>
                <c:pt idx="22">
                  <c:v>10.697334660867174</c:v>
                </c:pt>
                <c:pt idx="23">
                  <c:v>10.6960782700435</c:v>
                </c:pt>
                <c:pt idx="24">
                  <c:v>10.694629151532332</c:v>
                </c:pt>
                <c:pt idx="25">
                  <c:v>10.69298754615604</c:v>
                </c:pt>
                <c:pt idx="26">
                  <c:v>10.691153726478714</c:v>
                </c:pt>
                <c:pt idx="27">
                  <c:v>10.689127996669765</c:v>
                </c:pt>
                <c:pt idx="28">
                  <c:v>10.686910692350731</c:v>
                </c:pt>
                <c:pt idx="29">
                  <c:v>10.684502180427437</c:v>
                </c:pt>
                <c:pt idx="30">
                  <c:v>10.681902858906451</c:v>
                </c:pt>
                <c:pt idx="31">
                  <c:v>10.679113156696509</c:v>
                </c:pt>
                <c:pt idx="32">
                  <c:v>10.676133533395012</c:v>
                </c:pt>
                <c:pt idx="33">
                  <c:v>10.672964479060012</c:v>
                </c:pt>
                <c:pt idx="34">
                  <c:v>10.669606513967425</c:v>
                </c:pt>
                <c:pt idx="35">
                  <c:v>10.666060188354255</c:v>
                </c:pt>
                <c:pt idx="36">
                  <c:v>10.662326082147802</c:v>
                </c:pt>
                <c:pt idx="37">
                  <c:v>10.614805291435934</c:v>
                </c:pt>
                <c:pt idx="38">
                  <c:v>10.549352248354804</c:v>
                </c:pt>
                <c:pt idx="39">
                  <c:v>10.466980920597997</c:v>
                </c:pt>
                <c:pt idx="40">
                  <c:v>10.368913074230161</c:v>
                </c:pt>
                <c:pt idx="41">
                  <c:v>10.256527550255663</c:v>
                </c:pt>
                <c:pt idx="42">
                  <c:v>10.131308076281449</c:v>
                </c:pt>
                <c:pt idx="43">
                  <c:v>9.9947931390472711</c:v>
                </c:pt>
                <c:pt idx="44">
                  <c:v>9.8485306656209755</c:v>
                </c:pt>
                <c:pt idx="45">
                  <c:v>9.6940393397942692</c:v>
                </c:pt>
                <c:pt idx="46">
                  <c:v>9.5327774739710662</c:v>
                </c:pt>
                <c:pt idx="47">
                  <c:v>9.3661195789341551</c:v>
                </c:pt>
                <c:pt idx="48">
                  <c:v>9.1953401848198197</c:v>
                </c:pt>
                <c:pt idx="49">
                  <c:v>9.0216040802982462</c:v>
                </c:pt>
                <c:pt idx="50">
                  <c:v>8.845961934216664</c:v>
                </c:pt>
                <c:pt idx="51">
                  <c:v>8.6693502076277955</c:v>
                </c:pt>
                <c:pt idx="52">
                  <c:v>8.4925943115071103</c:v>
                </c:pt>
                <c:pt idx="53">
                  <c:v>8.3164140768013759</c:v>
                </c:pt>
                <c:pt idx="54">
                  <c:v>8.14143074636352</c:v>
                </c:pt>
                <c:pt idx="55">
                  <c:v>6.5395505982138369</c:v>
                </c:pt>
                <c:pt idx="56">
                  <c:v>5.2919210062054436</c:v>
                </c:pt>
                <c:pt idx="57">
                  <c:v>4.3673048526441036</c:v>
                </c:pt>
                <c:pt idx="58">
                  <c:v>3.6870984708183063</c:v>
                </c:pt>
                <c:pt idx="59">
                  <c:v>3.1827820252466905</c:v>
                </c:pt>
                <c:pt idx="60">
                  <c:v>2.8037720325122004</c:v>
                </c:pt>
                <c:pt idx="61">
                  <c:v>2.5144904098111533</c:v>
                </c:pt>
                <c:pt idx="62">
                  <c:v>2.2902057389867929</c:v>
                </c:pt>
                <c:pt idx="63">
                  <c:v>2.1136732438187029</c:v>
                </c:pt>
                <c:pt idx="64">
                  <c:v>1.9727502721985621</c:v>
                </c:pt>
                <c:pt idx="65">
                  <c:v>1.8587767085202103</c:v>
                </c:pt>
                <c:pt idx="66">
                  <c:v>1.7654893762266879</c:v>
                </c:pt>
                <c:pt idx="67">
                  <c:v>1.688294050408047</c:v>
                </c:pt>
                <c:pt idx="68">
                  <c:v>1.6237737818092812</c:v>
                </c:pt>
                <c:pt idx="69">
                  <c:v>1.5693533172672538</c:v>
                </c:pt>
                <c:pt idx="70">
                  <c:v>1.5230672683678796</c:v>
                </c:pt>
                <c:pt idx="71">
                  <c:v>1.4833978990754817</c:v>
                </c:pt>
                <c:pt idx="72">
                  <c:v>1.449160161147349</c:v>
                </c:pt>
                <c:pt idx="73">
                  <c:v>1.2674847249548413</c:v>
                </c:pt>
                <c:pt idx="74">
                  <c:v>1.2015667116853559</c:v>
                </c:pt>
                <c:pt idx="75">
                  <c:v>1.1706262196405954</c:v>
                </c:pt>
                <c:pt idx="76">
                  <c:v>1.1537027264363178</c:v>
                </c:pt>
                <c:pt idx="77">
                  <c:v>1.1434584178767255</c:v>
                </c:pt>
                <c:pt idx="78">
                  <c:v>1.1367932780469616</c:v>
                </c:pt>
                <c:pt idx="79">
                  <c:v>1.1322162887363272</c:v>
                </c:pt>
                <c:pt idx="80">
                  <c:v>1.1289386972261011</c:v>
                </c:pt>
                <c:pt idx="81">
                  <c:v>1.1265116614493345</c:v>
                </c:pt>
                <c:pt idx="82">
                  <c:v>1.12466456774639</c:v>
                </c:pt>
                <c:pt idx="83">
                  <c:v>1.1232264159094711</c:v>
                </c:pt>
                <c:pt idx="84">
                  <c:v>1.1220848634927836</c:v>
                </c:pt>
                <c:pt idx="85">
                  <c:v>1.1211636443346247</c:v>
                </c:pt>
                <c:pt idx="86">
                  <c:v>1.1204095125032771</c:v>
                </c:pt>
                <c:pt idx="87">
                  <c:v>1.1197843826641378</c:v>
                </c:pt>
                <c:pt idx="88">
                  <c:v>1.1192604313137355</c:v>
                </c:pt>
                <c:pt idx="89">
                  <c:v>1.1188169496915101</c:v>
                </c:pt>
                <c:pt idx="90">
                  <c:v>1.1184382675626154</c:v>
                </c:pt>
                <c:pt idx="91">
                  <c:v>1.1164902628238997</c:v>
                </c:pt>
                <c:pt idx="92">
                  <c:v>1.1158082036005015</c:v>
                </c:pt>
                <c:pt idx="93">
                  <c:v>1.1154924623802318</c:v>
                </c:pt>
                <c:pt idx="94">
                  <c:v>1.1153209366298851</c:v>
                </c:pt>
                <c:pt idx="95">
                  <c:v>1.1152175079289501</c:v>
                </c:pt>
                <c:pt idx="96">
                  <c:v>1.1151503770798652</c:v>
                </c:pt>
                <c:pt idx="97">
                  <c:v>1.1151043516429451</c:v>
                </c:pt>
                <c:pt idx="98">
                  <c:v>1.1150714295454236</c:v>
                </c:pt>
                <c:pt idx="99">
                  <c:v>1.1150470707162183</c:v>
                </c:pt>
                <c:pt idx="100">
                  <c:v>1.1150285437147471</c:v>
                </c:pt>
                <c:pt idx="101">
                  <c:v>1.11501412528296</c:v>
                </c:pt>
                <c:pt idx="102">
                  <c:v>1.1150026846562107</c:v>
                </c:pt>
                <c:pt idx="103">
                  <c:v>1.1149934549150271</c:v>
                </c:pt>
                <c:pt idx="104">
                  <c:v>1.1149859010299341</c:v>
                </c:pt>
                <c:pt idx="105">
                  <c:v>1.11497964054234</c:v>
                </c:pt>
                <c:pt idx="106">
                  <c:v>1.1149743941842101</c:v>
                </c:pt>
                <c:pt idx="107">
                  <c:v>1.1149699541853166</c:v>
                </c:pt>
                <c:pt idx="108">
                  <c:v>1.1149661633818546</c:v>
                </c:pt>
                <c:pt idx="109">
                  <c:v>1.1149466692985706</c:v>
                </c:pt>
                <c:pt idx="110">
                  <c:v>1.1149398463436815</c:v>
                </c:pt>
                <c:pt idx="111">
                  <c:v>1.1149366882857605</c:v>
                </c:pt>
                <c:pt idx="112">
                  <c:v>1.1149349727962705</c:v>
                </c:pt>
                <c:pt idx="113">
                  <c:v>1.1149339384098047</c:v>
                </c:pt>
                <c:pt idx="114">
                  <c:v>1.1149332670530745</c:v>
                </c:pt>
                <c:pt idx="115">
                  <c:v>1.1149328067730437</c:v>
                </c:pt>
                <c:pt idx="116">
                  <c:v>1.1149324775373388</c:v>
                </c:pt>
                <c:pt idx="117">
                  <c:v>1.1149322339401979</c:v>
                </c:pt>
                <c:pt idx="118">
                  <c:v>1.1149320486645502</c:v>
                </c:pt>
                <c:pt idx="119">
                  <c:v>1.1149319044765162</c:v>
                </c:pt>
                <c:pt idx="120">
                  <c:v>1.1149317900677653</c:v>
                </c:pt>
                <c:pt idx="121">
                  <c:v>1.1149316977685779</c:v>
                </c:pt>
                <c:pt idx="122">
                  <c:v>1.1149316222284438</c:v>
                </c:pt>
                <c:pt idx="123">
                  <c:v>1.1149315596226679</c:v>
                </c:pt>
                <c:pt idx="124">
                  <c:v>1.1149315071583938</c:v>
                </c:pt>
                <c:pt idx="125">
                  <c:v>1.1149314627579021</c:v>
                </c:pt>
                <c:pt idx="126">
                  <c:v>1.11493142484944</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-3.8318165561201545E-2</c:v>
                </c:pt>
                <c:pt idx="1">
                  <c:v>-5.7477213769103398E-2</c:v>
                </c:pt>
                <c:pt idx="2">
                  <c:v>-7.6636220489886636E-2</c:v>
                </c:pt>
                <c:pt idx="3">
                  <c:v>-9.5795171894713177E-2</c:v>
                </c:pt>
                <c:pt idx="4">
                  <c:v>-0.11495405415491469</c:v>
                </c:pt>
                <c:pt idx="5">
                  <c:v>-0.13411285344203833</c:v>
                </c:pt>
                <c:pt idx="6">
                  <c:v>-0.15327155592788982</c:v>
                </c:pt>
                <c:pt idx="7">
                  <c:v>-0.17243014778457544</c:v>
                </c:pt>
                <c:pt idx="8">
                  <c:v>-0.19158861518454251</c:v>
                </c:pt>
                <c:pt idx="9">
                  <c:v>-0.21074694430062896</c:v>
                </c:pt>
                <c:pt idx="10">
                  <c:v>-0.22990512130609753</c:v>
                </c:pt>
                <c:pt idx="11">
                  <c:v>-0.24906313237468666</c:v>
                </c:pt>
                <c:pt idx="12">
                  <c:v>-0.26822096368064952</c:v>
                </c:pt>
                <c:pt idx="13">
                  <c:v>-0.28737860139879473</c:v>
                </c:pt>
                <c:pt idx="14">
                  <c:v>-0.30653603170453603</c:v>
                </c:pt>
                <c:pt idx="15">
                  <c:v>-0.32569324077392714</c:v>
                </c:pt>
                <c:pt idx="16">
                  <c:v>-0.34485021478371114</c:v>
                </c:pt>
                <c:pt idx="17">
                  <c:v>-0.36400693991136429</c:v>
                </c:pt>
                <c:pt idx="18">
                  <c:v>-0.38316340233512225</c:v>
                </c:pt>
                <c:pt idx="19">
                  <c:v>-0.57471053771100522</c:v>
                </c:pt>
                <c:pt idx="20">
                  <c:v>-0.76621620615466179</c:v>
                </c:pt>
                <c:pt idx="21">
                  <c:v>-0.95766660537529047</c:v>
                </c:pt>
                <c:pt idx="22">
                  <c:v>-1.149047950222672</c:v>
                </c:pt>
                <c:pt idx="23">
                  <c:v>-1.3403464769481015</c:v>
                </c:pt>
                <c:pt idx="24">
                  <c:v>-1.5315484474492187</c:v>
                </c:pt>
                <c:pt idx="25">
                  <c:v>-1.7226401534956903</c:v>
                </c:pt>
                <c:pt idx="26">
                  <c:v>-1.9136079209323522</c:v>
                </c:pt>
                <c:pt idx="27">
                  <c:v>-2.1044381138569754</c:v>
                </c:pt>
                <c:pt idx="28">
                  <c:v>-2.2951171387693909</c:v>
                </c:pt>
                <c:pt idx="29">
                  <c:v>-2.4856314486890803</c:v>
                </c:pt>
                <c:pt idx="30">
                  <c:v>-2.6759675472379967</c:v>
                </c:pt>
                <c:pt idx="31">
                  <c:v>-2.8661119926861089</c:v>
                </c:pt>
                <c:pt idx="32">
                  <c:v>-3.0560514019563172</c:v>
                </c:pt>
                <c:pt idx="33">
                  <c:v>-3.2457724545861075</c:v>
                </c:pt>
                <c:pt idx="34">
                  <c:v>-3.4352618966432811</c:v>
                </c:pt>
                <c:pt idx="35">
                  <c:v>-3.6245065445928177</c:v>
                </c:pt>
                <c:pt idx="36">
                  <c:v>-3.8134932891123943</c:v>
                </c:pt>
                <c:pt idx="37">
                  <c:v>-5.686352409602808</c:v>
                </c:pt>
                <c:pt idx="38">
                  <c:v>-7.5196887503316994</c:v>
                </c:pt>
                <c:pt idx="39">
                  <c:v>-9.3021442063275401</c:v>
                </c:pt>
                <c:pt idx="40">
                  <c:v>-11.023754116510746</c:v>
                </c:pt>
                <c:pt idx="41">
                  <c:v>-12.676115880812846</c:v>
                </c:pt>
                <c:pt idx="42">
                  <c:v>-14.252470217582445</c:v>
                </c:pt>
                <c:pt idx="43">
                  <c:v>-15.747702011172075</c:v>
                </c:pt>
                <c:pt idx="44">
                  <c:v>-17.158273401808056</c:v>
                </c:pt>
                <c:pt idx="45">
                  <c:v>-18.482104926419844</c:v>
                </c:pt>
                <c:pt idx="46">
                  <c:v>-19.718421304239858</c:v>
                </c:pt>
                <c:pt idx="47">
                  <c:v>-20.867577385308078</c:v>
                </c:pt>
                <c:pt idx="48">
                  <c:v>-21.930877492847983</c:v>
                </c:pt>
                <c:pt idx="49">
                  <c:v>-22.910398518060791</c:v>
                </c:pt>
                <c:pt idx="50">
                  <c:v>-23.808824171673411</c:v>
                </c:pt>
                <c:pt idx="51">
                  <c:v>-24.629295103130566</c:v>
                </c:pt>
                <c:pt idx="52">
                  <c:v>-25.37527735384046</c:v>
                </c:pt>
                <c:pt idx="53">
                  <c:v>-26.050449880837501</c:v>
                </c:pt>
                <c:pt idx="54">
                  <c:v>-26.658610653386617</c:v>
                </c:pt>
                <c:pt idx="55">
                  <c:v>-29.861791117166963</c:v>
                </c:pt>
                <c:pt idx="56">
                  <c:v>-29.874740349950251</c:v>
                </c:pt>
                <c:pt idx="57">
                  <c:v>-28.528321885617007</c:v>
                </c:pt>
                <c:pt idx="58">
                  <c:v>-26.700715131896938</c:v>
                </c:pt>
                <c:pt idx="59">
                  <c:v>-24.788766300926625</c:v>
                </c:pt>
                <c:pt idx="60">
                  <c:v>-22.96194012096273</c:v>
                </c:pt>
                <c:pt idx="61">
                  <c:v>-21.28408172421484</c:v>
                </c:pt>
                <c:pt idx="62">
                  <c:v>-19.770859435733755</c:v>
                </c:pt>
                <c:pt idx="63">
                  <c:v>-18.416870185923734</c:v>
                </c:pt>
                <c:pt idx="64">
                  <c:v>-17.208400650964105</c:v>
                </c:pt>
                <c:pt idx="65">
                  <c:v>-16.129353131486745</c:v>
                </c:pt>
                <c:pt idx="66">
                  <c:v>-15.163896263067603</c:v>
                </c:pt>
                <c:pt idx="67">
                  <c:v>-14.297547974785386</c:v>
                </c:pt>
                <c:pt idx="68">
                  <c:v>-13.51751762477892</c:v>
                </c:pt>
                <c:pt idx="69">
                  <c:v>-12.812710078804836</c:v>
                </c:pt>
                <c:pt idx="70">
                  <c:v>-12.173587640928156</c:v>
                </c:pt>
                <c:pt idx="71">
                  <c:v>-11.591983908990493</c:v>
                </c:pt>
                <c:pt idx="72">
                  <c:v>-11.060913248686278</c:v>
                </c:pt>
                <c:pt idx="73">
                  <c:v>-7.5462498430085745</c:v>
                </c:pt>
                <c:pt idx="74">
                  <c:v>-5.7067749858116237</c:v>
                </c:pt>
                <c:pt idx="75">
                  <c:v>-4.5831305871030272</c:v>
                </c:pt>
                <c:pt idx="76">
                  <c:v>-3.827354658158924</c:v>
                </c:pt>
                <c:pt idx="77">
                  <c:v>-3.2847835490452533</c:v>
                </c:pt>
                <c:pt idx="78">
                  <c:v>-2.8765738062801671</c:v>
                </c:pt>
                <c:pt idx="79">
                  <c:v>-2.5584125412116356</c:v>
                </c:pt>
                <c:pt idx="80">
                  <c:v>-2.3035111110182114</c:v>
                </c:pt>
                <c:pt idx="81">
                  <c:v>-2.0947337379401807</c:v>
                </c:pt>
                <c:pt idx="82">
                  <c:v>-1.9206140339734088</c:v>
                </c:pt>
                <c:pt idx="83">
                  <c:v>-1.7731917784709514</c:v>
                </c:pt>
                <c:pt idx="84">
                  <c:v>-1.6467690934881321</c:v>
                </c:pt>
                <c:pt idx="85">
                  <c:v>-1.5371606421332562</c:v>
                </c:pt>
                <c:pt idx="86">
                  <c:v>-1.4412232975950667</c:v>
                </c:pt>
                <c:pt idx="87">
                  <c:v>-1.3565509357219832</c:v>
                </c:pt>
                <c:pt idx="88">
                  <c:v>-1.2812704921123532</c:v>
                </c:pt>
                <c:pt idx="89">
                  <c:v>-1.2139021580365805</c:v>
                </c:pt>
                <c:pt idx="90">
                  <c:v>-1.1532613641258129</c:v>
                </c:pt>
                <c:pt idx="91">
                  <c:v>-0.7690271836182041</c:v>
                </c:pt>
                <c:pt idx="92">
                  <c:v>-0.5768193053342946</c:v>
                </c:pt>
                <c:pt idx="93">
                  <c:v>-0.46147356066409395</c:v>
                </c:pt>
                <c:pt idx="94">
                  <c:v>-0.38456950203266177</c:v>
                </c:pt>
                <c:pt idx="95">
                  <c:v>-0.32963524070071493</c:v>
                </c:pt>
                <c:pt idx="96">
                  <c:v>-0.28843324302018902</c:v>
                </c:pt>
                <c:pt idx="97">
                  <c:v>-0.25638657205379467</c:v>
                </c:pt>
                <c:pt idx="98">
                  <c:v>-0.23074885935781006</c:v>
                </c:pt>
                <c:pt idx="99">
                  <c:v>-0.20977232563124332</c:v>
                </c:pt>
                <c:pt idx="100">
                  <c:v>-0.19229174143378464</c:v>
                </c:pt>
                <c:pt idx="101">
                  <c:v>-0.17750038721159589</c:v>
                </c:pt>
                <c:pt idx="102">
                  <c:v>-0.16482202257046161</c:v>
                </c:pt>
                <c:pt idx="103">
                  <c:v>-0.15383406426236756</c:v>
                </c:pt>
                <c:pt idx="104">
                  <c:v>-0.14421957069335176</c:v>
                </c:pt>
                <c:pt idx="105">
                  <c:v>-0.13573617218736753</c:v>
                </c:pt>
                <c:pt idx="106">
                  <c:v>-0.12819535735168119</c:v>
                </c:pt>
                <c:pt idx="107">
                  <c:v>-0.12144830032297003</c:v>
                </c:pt>
                <c:pt idx="108">
                  <c:v>-0.11537593968464405</c:v>
                </c:pt>
                <c:pt idx="109">
                  <c:v>-7.6917479547290182E-2</c:v>
                </c:pt>
                <c:pt idx="110">
                  <c:v>-5.7688158597025439E-2</c:v>
                </c:pt>
                <c:pt idx="111">
                  <c:v>-4.6150544998156892E-2</c:v>
                </c:pt>
                <c:pt idx="112">
                  <c:v>-3.8458795701183032E-2</c:v>
                </c:pt>
                <c:pt idx="113">
                  <c:v>-3.2964686268999475E-2</c:v>
                </c:pt>
                <c:pt idx="114">
                  <c:v>-2.8844102892975045E-2</c:v>
                </c:pt>
                <c:pt idx="115">
                  <c:v>-2.5639204038771558E-2</c:v>
                </c:pt>
                <c:pt idx="116">
                  <c:v>-2.3075284579451072E-2</c:v>
                </c:pt>
                <c:pt idx="117">
                  <c:v>-2.0977532071196344E-2</c:v>
                </c:pt>
                <c:pt idx="118">
                  <c:v>-1.9229404841550144E-2</c:v>
                </c:pt>
                <c:pt idx="119">
                  <c:v>-1.7750220171943543E-2</c:v>
                </c:pt>
                <c:pt idx="120">
                  <c:v>-1.6482347536970154E-2</c:v>
                </c:pt>
                <c:pt idx="121">
                  <c:v>-1.538352454437252E-2</c:v>
                </c:pt>
                <c:pt idx="122">
                  <c:v>-1.4422054395799189E-2</c:v>
                </c:pt>
                <c:pt idx="123">
                  <c:v>-1.3573698360523986E-2</c:v>
                </c:pt>
                <c:pt idx="124">
                  <c:v>-1.281960409078187E-2</c:v>
                </c:pt>
                <c:pt idx="125">
                  <c:v>-1.2144888153047262E-2</c:v>
                </c:pt>
                <c:pt idx="126">
                  <c:v>-1.1537643799773322E-2</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1</xdr:row>
          <xdr:rowOff>350520</xdr:rowOff>
        </xdr:from>
        <xdr:to>
          <xdr:col>14</xdr:col>
          <xdr:colOff>213360</xdr:colOff>
          <xdr:row>2</xdr:row>
          <xdr:rowOff>68580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131622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43678" y="35837"/>
          <a:ext cx="2266327" cy="793825"/>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172902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54310"/>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136708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54311"/>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58500</xdr:colOff>
          <xdr:row>96</xdr:row>
          <xdr:rowOff>169865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54312"/>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22781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54313"/>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211364</xdr:colOff>
          <xdr:row>59</xdr:row>
          <xdr:rowOff>15508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54314"/>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148</xdr:row>
          <xdr:rowOff>99060</xdr:rowOff>
        </xdr:from>
        <xdr:to>
          <xdr:col>12</xdr:col>
          <xdr:colOff>472440</xdr:colOff>
          <xdr:row>151</xdr:row>
          <xdr:rowOff>30480</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525780</xdr:colOff>
          <xdr:row>148</xdr:row>
          <xdr:rowOff>83820</xdr:rowOff>
        </xdr:from>
        <xdr:to>
          <xdr:col>10</xdr:col>
          <xdr:colOff>327660</xdr:colOff>
          <xdr:row>150</xdr:row>
          <xdr:rowOff>106680</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NOW</a:t>
              </a:r>
            </a:p>
          </xdr:txBody>
        </xdr:sp>
        <xdr:clientData fPrintsWithSheet="0"/>
      </xdr:twoCellAnchor>
    </mc:Choice>
    <mc:Fallback/>
  </mc:AlternateContent>
  <xdr:oneCellAnchor>
    <xdr:from>
      <xdr:col>8</xdr:col>
      <xdr:colOff>76201</xdr:colOff>
      <xdr:row>5</xdr:row>
      <xdr:rowOff>95250</xdr:rowOff>
    </xdr:from>
    <xdr:ext cx="171450" cy="264560"/>
    <xdr:sp macro="" textlink="">
      <xdr:nvSpPr>
        <xdr:cNvPr id="3" name="TextBox 2">
          <a:extLst>
            <a:ext uri="{FF2B5EF4-FFF2-40B4-BE49-F238E27FC236}">
              <a16:creationId xmlns:a16="http://schemas.microsoft.com/office/drawing/2014/main" id="{D479F000-1DDE-AB83-E0B7-2B78627A9480}"/>
            </a:ext>
          </a:extLst>
        </xdr:cNvPr>
        <xdr:cNvSpPr txBox="1"/>
      </xdr:nvSpPr>
      <xdr:spPr>
        <a:xfrm>
          <a:off x="6438901" y="132397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85726</xdr:colOff>
      <xdr:row>6</xdr:row>
      <xdr:rowOff>95250</xdr:rowOff>
    </xdr:from>
    <xdr:ext cx="171450" cy="264560"/>
    <xdr:sp macro="" textlink="">
      <xdr:nvSpPr>
        <xdr:cNvPr id="17" name="TextBox 16">
          <a:extLst>
            <a:ext uri="{FF2B5EF4-FFF2-40B4-BE49-F238E27FC236}">
              <a16:creationId xmlns:a16="http://schemas.microsoft.com/office/drawing/2014/main" id="{13DFE192-F820-4683-A2BE-E2F7F46B77B4}"/>
            </a:ext>
          </a:extLst>
        </xdr:cNvPr>
        <xdr:cNvSpPr txBox="1"/>
      </xdr:nvSpPr>
      <xdr:spPr>
        <a:xfrm>
          <a:off x="6448426" y="1524000"/>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57151</xdr:colOff>
      <xdr:row>7</xdr:row>
      <xdr:rowOff>76200</xdr:rowOff>
    </xdr:from>
    <xdr:ext cx="171450" cy="264560"/>
    <xdr:sp macro="" textlink="">
      <xdr:nvSpPr>
        <xdr:cNvPr id="18" name="TextBox 17">
          <a:extLst>
            <a:ext uri="{FF2B5EF4-FFF2-40B4-BE49-F238E27FC236}">
              <a16:creationId xmlns:a16="http://schemas.microsoft.com/office/drawing/2014/main" id="{DF1ACB85-7C16-443B-86F3-76741988EA8D}"/>
            </a:ext>
          </a:extLst>
        </xdr:cNvPr>
        <xdr:cNvSpPr txBox="1"/>
      </xdr:nvSpPr>
      <xdr:spPr>
        <a:xfrm>
          <a:off x="6419851" y="170497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28576</xdr:colOff>
      <xdr:row>8</xdr:row>
      <xdr:rowOff>85725</xdr:rowOff>
    </xdr:from>
    <xdr:ext cx="171450" cy="264560"/>
    <xdr:sp macro="" textlink="">
      <xdr:nvSpPr>
        <xdr:cNvPr id="19" name="TextBox 18">
          <a:extLst>
            <a:ext uri="{FF2B5EF4-FFF2-40B4-BE49-F238E27FC236}">
              <a16:creationId xmlns:a16="http://schemas.microsoft.com/office/drawing/2014/main" id="{CAF28FA0-EAF5-481E-BA4E-1C348ECE0052}"/>
            </a:ext>
          </a:extLst>
        </xdr:cNvPr>
        <xdr:cNvSpPr txBox="1"/>
      </xdr:nvSpPr>
      <xdr:spPr>
        <a:xfrm>
          <a:off x="6391276" y="191452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38101</xdr:colOff>
      <xdr:row>9</xdr:row>
      <xdr:rowOff>95250</xdr:rowOff>
    </xdr:from>
    <xdr:ext cx="171450" cy="264560"/>
    <xdr:sp macro="" textlink="">
      <xdr:nvSpPr>
        <xdr:cNvPr id="20" name="TextBox 19">
          <a:extLst>
            <a:ext uri="{FF2B5EF4-FFF2-40B4-BE49-F238E27FC236}">
              <a16:creationId xmlns:a16="http://schemas.microsoft.com/office/drawing/2014/main" id="{65148CA5-F70B-4104-8453-0FE7834ECC5C}"/>
            </a:ext>
          </a:extLst>
        </xdr:cNvPr>
        <xdr:cNvSpPr txBox="1"/>
      </xdr:nvSpPr>
      <xdr:spPr>
        <a:xfrm>
          <a:off x="6400801" y="212407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28575</xdr:colOff>
      <xdr:row>10</xdr:row>
      <xdr:rowOff>104775</xdr:rowOff>
    </xdr:from>
    <xdr:ext cx="171450" cy="264560"/>
    <xdr:sp macro="" textlink="">
      <xdr:nvSpPr>
        <xdr:cNvPr id="21" name="TextBox 20">
          <a:extLst>
            <a:ext uri="{FF2B5EF4-FFF2-40B4-BE49-F238E27FC236}">
              <a16:creationId xmlns:a16="http://schemas.microsoft.com/office/drawing/2014/main" id="{8E50FC1B-A0B9-43C9-8D68-51153B2C920B}"/>
            </a:ext>
          </a:extLst>
        </xdr:cNvPr>
        <xdr:cNvSpPr txBox="1"/>
      </xdr:nvSpPr>
      <xdr:spPr>
        <a:xfrm>
          <a:off x="6391275" y="233362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28575</xdr:colOff>
      <xdr:row>11</xdr:row>
      <xdr:rowOff>95250</xdr:rowOff>
    </xdr:from>
    <xdr:ext cx="171450" cy="264560"/>
    <xdr:sp macro="" textlink="">
      <xdr:nvSpPr>
        <xdr:cNvPr id="22" name="TextBox 21">
          <a:extLst>
            <a:ext uri="{FF2B5EF4-FFF2-40B4-BE49-F238E27FC236}">
              <a16:creationId xmlns:a16="http://schemas.microsoft.com/office/drawing/2014/main" id="{9C219C00-1849-47F0-975E-8B0C6B1AFE2F}"/>
            </a:ext>
          </a:extLst>
        </xdr:cNvPr>
        <xdr:cNvSpPr txBox="1"/>
      </xdr:nvSpPr>
      <xdr:spPr>
        <a:xfrm>
          <a:off x="6391275" y="252412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19050</xdr:colOff>
      <xdr:row>12</xdr:row>
      <xdr:rowOff>66675</xdr:rowOff>
    </xdr:from>
    <xdr:ext cx="171450" cy="264560"/>
    <xdr:sp macro="" textlink="">
      <xdr:nvSpPr>
        <xdr:cNvPr id="23" name="TextBox 22">
          <a:extLst>
            <a:ext uri="{FF2B5EF4-FFF2-40B4-BE49-F238E27FC236}">
              <a16:creationId xmlns:a16="http://schemas.microsoft.com/office/drawing/2014/main" id="{BF30E657-3480-45E1-A44C-57011FD6BEA3}"/>
            </a:ext>
          </a:extLst>
        </xdr:cNvPr>
        <xdr:cNvSpPr txBox="1"/>
      </xdr:nvSpPr>
      <xdr:spPr>
        <a:xfrm>
          <a:off x="6381750" y="269557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34925</xdr:colOff>
      <xdr:row>17</xdr:row>
      <xdr:rowOff>93134</xdr:rowOff>
    </xdr:from>
    <xdr:ext cx="171450" cy="264560"/>
    <xdr:sp macro="" textlink="">
      <xdr:nvSpPr>
        <xdr:cNvPr id="24" name="TextBox 23">
          <a:extLst>
            <a:ext uri="{FF2B5EF4-FFF2-40B4-BE49-F238E27FC236}">
              <a16:creationId xmlns:a16="http://schemas.microsoft.com/office/drawing/2014/main" id="{B857303C-5863-4AD0-803F-A8B21935DDE2}"/>
            </a:ext>
          </a:extLst>
        </xdr:cNvPr>
        <xdr:cNvSpPr txBox="1"/>
      </xdr:nvSpPr>
      <xdr:spPr>
        <a:xfrm>
          <a:off x="6393392" y="35475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9525</xdr:colOff>
      <xdr:row>30</xdr:row>
      <xdr:rowOff>93134</xdr:rowOff>
    </xdr:from>
    <xdr:ext cx="171450" cy="264560"/>
    <xdr:sp macro="" textlink="">
      <xdr:nvSpPr>
        <xdr:cNvPr id="25" name="TextBox 24">
          <a:extLst>
            <a:ext uri="{FF2B5EF4-FFF2-40B4-BE49-F238E27FC236}">
              <a16:creationId xmlns:a16="http://schemas.microsoft.com/office/drawing/2014/main" id="{72551B66-70CF-4938-B3E9-21D5280904BD}"/>
            </a:ext>
          </a:extLst>
        </xdr:cNvPr>
        <xdr:cNvSpPr txBox="1"/>
      </xdr:nvSpPr>
      <xdr:spPr>
        <a:xfrm>
          <a:off x="6367992" y="59774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26458</xdr:colOff>
      <xdr:row>13</xdr:row>
      <xdr:rowOff>84667</xdr:rowOff>
    </xdr:from>
    <xdr:ext cx="171450" cy="264560"/>
    <xdr:sp macro="" textlink="">
      <xdr:nvSpPr>
        <xdr:cNvPr id="26" name="TextBox 25">
          <a:extLst>
            <a:ext uri="{FF2B5EF4-FFF2-40B4-BE49-F238E27FC236}">
              <a16:creationId xmlns:a16="http://schemas.microsoft.com/office/drawing/2014/main" id="{E19319E0-1A1F-46F7-B7F0-55C669EFB956}"/>
            </a:ext>
          </a:extLst>
        </xdr:cNvPr>
        <xdr:cNvSpPr txBox="1"/>
      </xdr:nvSpPr>
      <xdr:spPr>
        <a:xfrm>
          <a:off x="6384925" y="28363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94192</xdr:colOff>
      <xdr:row>24</xdr:row>
      <xdr:rowOff>93134</xdr:rowOff>
    </xdr:from>
    <xdr:ext cx="171450" cy="264560"/>
    <xdr:sp macro="" textlink="">
      <xdr:nvSpPr>
        <xdr:cNvPr id="27" name="TextBox 26">
          <a:extLst>
            <a:ext uri="{FF2B5EF4-FFF2-40B4-BE49-F238E27FC236}">
              <a16:creationId xmlns:a16="http://schemas.microsoft.com/office/drawing/2014/main" id="{1EF33DF4-0D29-4EB1-8450-01D258A4C9D0}"/>
            </a:ext>
          </a:extLst>
        </xdr:cNvPr>
        <xdr:cNvSpPr txBox="1"/>
      </xdr:nvSpPr>
      <xdr:spPr>
        <a:xfrm>
          <a:off x="6452659" y="48344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43392</xdr:colOff>
      <xdr:row>20</xdr:row>
      <xdr:rowOff>110067</xdr:rowOff>
    </xdr:from>
    <xdr:ext cx="171450" cy="264560"/>
    <xdr:sp macro="" textlink="">
      <xdr:nvSpPr>
        <xdr:cNvPr id="28" name="TextBox 27">
          <a:extLst>
            <a:ext uri="{FF2B5EF4-FFF2-40B4-BE49-F238E27FC236}">
              <a16:creationId xmlns:a16="http://schemas.microsoft.com/office/drawing/2014/main" id="{941DEABE-F63D-401A-BA16-52C5CA137B12}"/>
            </a:ext>
          </a:extLst>
        </xdr:cNvPr>
        <xdr:cNvSpPr txBox="1"/>
      </xdr:nvSpPr>
      <xdr:spPr>
        <a:xfrm>
          <a:off x="6401859" y="41232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60325</xdr:colOff>
      <xdr:row>34</xdr:row>
      <xdr:rowOff>127000</xdr:rowOff>
    </xdr:from>
    <xdr:ext cx="171450" cy="264560"/>
    <xdr:sp macro="" textlink="">
      <xdr:nvSpPr>
        <xdr:cNvPr id="29" name="TextBox 28">
          <a:extLst>
            <a:ext uri="{FF2B5EF4-FFF2-40B4-BE49-F238E27FC236}">
              <a16:creationId xmlns:a16="http://schemas.microsoft.com/office/drawing/2014/main" id="{9412CEBF-8542-4573-A331-EE3EB2BB8383}"/>
            </a:ext>
          </a:extLst>
        </xdr:cNvPr>
        <xdr:cNvSpPr txBox="1"/>
      </xdr:nvSpPr>
      <xdr:spPr>
        <a:xfrm>
          <a:off x="6418792" y="67394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60325</xdr:colOff>
      <xdr:row>35</xdr:row>
      <xdr:rowOff>101600</xdr:rowOff>
    </xdr:from>
    <xdr:ext cx="171450" cy="264560"/>
    <xdr:sp macro="" textlink="">
      <xdr:nvSpPr>
        <xdr:cNvPr id="30" name="TextBox 29">
          <a:extLst>
            <a:ext uri="{FF2B5EF4-FFF2-40B4-BE49-F238E27FC236}">
              <a16:creationId xmlns:a16="http://schemas.microsoft.com/office/drawing/2014/main" id="{10BC8B10-B082-4817-BEF5-F06B905EC417}"/>
            </a:ext>
          </a:extLst>
        </xdr:cNvPr>
        <xdr:cNvSpPr txBox="1"/>
      </xdr:nvSpPr>
      <xdr:spPr>
        <a:xfrm>
          <a:off x="6418792" y="69426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43392</xdr:colOff>
      <xdr:row>36</xdr:row>
      <xdr:rowOff>93134</xdr:rowOff>
    </xdr:from>
    <xdr:ext cx="171450" cy="264560"/>
    <xdr:sp macro="" textlink="">
      <xdr:nvSpPr>
        <xdr:cNvPr id="31" name="TextBox 30">
          <a:extLst>
            <a:ext uri="{FF2B5EF4-FFF2-40B4-BE49-F238E27FC236}">
              <a16:creationId xmlns:a16="http://schemas.microsoft.com/office/drawing/2014/main" id="{ED35B4F7-C4BA-4FA3-9B7A-9D36B169BF0C}"/>
            </a:ext>
          </a:extLst>
        </xdr:cNvPr>
        <xdr:cNvSpPr txBox="1"/>
      </xdr:nvSpPr>
      <xdr:spPr>
        <a:xfrm>
          <a:off x="6401859" y="71289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51858</xdr:colOff>
      <xdr:row>37</xdr:row>
      <xdr:rowOff>118534</xdr:rowOff>
    </xdr:from>
    <xdr:ext cx="171450" cy="264560"/>
    <xdr:sp macro="" textlink="">
      <xdr:nvSpPr>
        <xdr:cNvPr id="32" name="TextBox 31">
          <a:extLst>
            <a:ext uri="{FF2B5EF4-FFF2-40B4-BE49-F238E27FC236}">
              <a16:creationId xmlns:a16="http://schemas.microsoft.com/office/drawing/2014/main" id="{F199B1BD-369D-4B2D-A0E2-5EF86DC6BF8B}"/>
            </a:ext>
          </a:extLst>
        </xdr:cNvPr>
        <xdr:cNvSpPr txBox="1"/>
      </xdr:nvSpPr>
      <xdr:spPr>
        <a:xfrm>
          <a:off x="6410325" y="73490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68792</xdr:colOff>
      <xdr:row>38</xdr:row>
      <xdr:rowOff>110067</xdr:rowOff>
    </xdr:from>
    <xdr:ext cx="171450" cy="264560"/>
    <xdr:sp macro="" textlink="">
      <xdr:nvSpPr>
        <xdr:cNvPr id="33" name="TextBox 32">
          <a:extLst>
            <a:ext uri="{FF2B5EF4-FFF2-40B4-BE49-F238E27FC236}">
              <a16:creationId xmlns:a16="http://schemas.microsoft.com/office/drawing/2014/main" id="{07AFFA0B-C309-4EFC-93F0-6E8751BA8C44}"/>
            </a:ext>
          </a:extLst>
        </xdr:cNvPr>
        <xdr:cNvSpPr txBox="1"/>
      </xdr:nvSpPr>
      <xdr:spPr>
        <a:xfrm>
          <a:off x="6427259" y="75353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126999</xdr:colOff>
      <xdr:row>42</xdr:row>
      <xdr:rowOff>101601</xdr:rowOff>
    </xdr:from>
    <xdr:ext cx="171450" cy="264560"/>
    <xdr:sp macro="" textlink="">
      <xdr:nvSpPr>
        <xdr:cNvPr id="34" name="TextBox 33">
          <a:extLst>
            <a:ext uri="{FF2B5EF4-FFF2-40B4-BE49-F238E27FC236}">
              <a16:creationId xmlns:a16="http://schemas.microsoft.com/office/drawing/2014/main" id="{C62C33D7-15B2-4D92-A850-926BC9D2ADA7}"/>
            </a:ext>
          </a:extLst>
        </xdr:cNvPr>
        <xdr:cNvSpPr txBox="1"/>
      </xdr:nvSpPr>
      <xdr:spPr>
        <a:xfrm>
          <a:off x="6485466" y="8255001"/>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118532</xdr:colOff>
      <xdr:row>45</xdr:row>
      <xdr:rowOff>84667</xdr:rowOff>
    </xdr:from>
    <xdr:ext cx="171450" cy="264560"/>
    <xdr:sp macro="" textlink="">
      <xdr:nvSpPr>
        <xdr:cNvPr id="35" name="TextBox 34">
          <a:extLst>
            <a:ext uri="{FF2B5EF4-FFF2-40B4-BE49-F238E27FC236}">
              <a16:creationId xmlns:a16="http://schemas.microsoft.com/office/drawing/2014/main" id="{432085FC-BFF3-40E7-B92B-B68E95839092}"/>
            </a:ext>
          </a:extLst>
        </xdr:cNvPr>
        <xdr:cNvSpPr txBox="1"/>
      </xdr:nvSpPr>
      <xdr:spPr>
        <a:xfrm>
          <a:off x="6476999" y="8796867"/>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110065</xdr:colOff>
      <xdr:row>49</xdr:row>
      <xdr:rowOff>101601</xdr:rowOff>
    </xdr:from>
    <xdr:ext cx="171450" cy="264560"/>
    <xdr:sp macro="" textlink="">
      <xdr:nvSpPr>
        <xdr:cNvPr id="36" name="TextBox 35">
          <a:extLst>
            <a:ext uri="{FF2B5EF4-FFF2-40B4-BE49-F238E27FC236}">
              <a16:creationId xmlns:a16="http://schemas.microsoft.com/office/drawing/2014/main" id="{E57B8095-8DEF-4E3F-9D8E-D8CF9DA2630D}"/>
            </a:ext>
          </a:extLst>
        </xdr:cNvPr>
        <xdr:cNvSpPr txBox="1"/>
      </xdr:nvSpPr>
      <xdr:spPr>
        <a:xfrm>
          <a:off x="6468532" y="95165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110065</xdr:colOff>
      <xdr:row>51</xdr:row>
      <xdr:rowOff>93134</xdr:rowOff>
    </xdr:from>
    <xdr:ext cx="171450" cy="264560"/>
    <xdr:sp macro="" textlink="">
      <xdr:nvSpPr>
        <xdr:cNvPr id="37" name="TextBox 36">
          <a:extLst>
            <a:ext uri="{FF2B5EF4-FFF2-40B4-BE49-F238E27FC236}">
              <a16:creationId xmlns:a16="http://schemas.microsoft.com/office/drawing/2014/main" id="{5F830891-EA72-4EF1-9487-E1610DA10236}"/>
            </a:ext>
          </a:extLst>
        </xdr:cNvPr>
        <xdr:cNvSpPr txBox="1"/>
      </xdr:nvSpPr>
      <xdr:spPr>
        <a:xfrm>
          <a:off x="6468532" y="98721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110065</xdr:colOff>
      <xdr:row>53</xdr:row>
      <xdr:rowOff>59267</xdr:rowOff>
    </xdr:from>
    <xdr:ext cx="171450" cy="264560"/>
    <xdr:sp macro="" textlink="">
      <xdr:nvSpPr>
        <xdr:cNvPr id="38" name="TextBox 37">
          <a:extLst>
            <a:ext uri="{FF2B5EF4-FFF2-40B4-BE49-F238E27FC236}">
              <a16:creationId xmlns:a16="http://schemas.microsoft.com/office/drawing/2014/main" id="{267A6B30-5D3B-441E-81F5-8F4A87D29AC9}"/>
            </a:ext>
          </a:extLst>
        </xdr:cNvPr>
        <xdr:cNvSpPr txBox="1"/>
      </xdr:nvSpPr>
      <xdr:spPr>
        <a:xfrm>
          <a:off x="6468532" y="10202334"/>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110064</xdr:colOff>
      <xdr:row>54</xdr:row>
      <xdr:rowOff>93135</xdr:rowOff>
    </xdr:from>
    <xdr:ext cx="171450" cy="264560"/>
    <xdr:sp macro="" textlink="">
      <xdr:nvSpPr>
        <xdr:cNvPr id="39" name="TextBox 38">
          <a:extLst>
            <a:ext uri="{FF2B5EF4-FFF2-40B4-BE49-F238E27FC236}">
              <a16:creationId xmlns:a16="http://schemas.microsoft.com/office/drawing/2014/main" id="{4D1F1B58-6413-4575-9D53-CDD83CA4A5A5}"/>
            </a:ext>
          </a:extLst>
        </xdr:cNvPr>
        <xdr:cNvSpPr txBox="1"/>
      </xdr:nvSpPr>
      <xdr:spPr>
        <a:xfrm>
          <a:off x="6468531" y="1040553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76198</xdr:colOff>
      <xdr:row>70</xdr:row>
      <xdr:rowOff>93135</xdr:rowOff>
    </xdr:from>
    <xdr:ext cx="171450" cy="264560"/>
    <xdr:sp macro="" textlink="">
      <xdr:nvSpPr>
        <xdr:cNvPr id="40" name="TextBox 39">
          <a:extLst>
            <a:ext uri="{FF2B5EF4-FFF2-40B4-BE49-F238E27FC236}">
              <a16:creationId xmlns:a16="http://schemas.microsoft.com/office/drawing/2014/main" id="{6BC4008A-DDC8-48DF-A29C-86A81B7EF3E1}"/>
            </a:ext>
          </a:extLst>
        </xdr:cNvPr>
        <xdr:cNvSpPr txBox="1"/>
      </xdr:nvSpPr>
      <xdr:spPr>
        <a:xfrm>
          <a:off x="6434665" y="13241868"/>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oneCellAnchor>
    <xdr:from>
      <xdr:col>8</xdr:col>
      <xdr:colOff>76198</xdr:colOff>
      <xdr:row>71</xdr:row>
      <xdr:rowOff>110068</xdr:rowOff>
    </xdr:from>
    <xdr:ext cx="171450" cy="264560"/>
    <xdr:sp macro="" textlink="">
      <xdr:nvSpPr>
        <xdr:cNvPr id="41" name="TextBox 40">
          <a:extLst>
            <a:ext uri="{FF2B5EF4-FFF2-40B4-BE49-F238E27FC236}">
              <a16:creationId xmlns:a16="http://schemas.microsoft.com/office/drawing/2014/main" id="{BBA69DB8-3180-44C6-9A5A-10A5FB2A9E1E}"/>
            </a:ext>
          </a:extLst>
        </xdr:cNvPr>
        <xdr:cNvSpPr txBox="1"/>
      </xdr:nvSpPr>
      <xdr:spPr>
        <a:xfrm>
          <a:off x="6434665" y="13453535"/>
          <a:ext cx="1714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x</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76200</xdr:rowOff>
        </xdr:from>
        <xdr:to>
          <xdr:col>0</xdr:col>
          <xdr:colOff>7200900</xdr:colOff>
          <xdr:row>0</xdr:row>
          <xdr:rowOff>4945380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xdr:row>
          <xdr:rowOff>60960</xdr:rowOff>
        </xdr:from>
        <xdr:to>
          <xdr:col>0</xdr:col>
          <xdr:colOff>7185660</xdr:colOff>
          <xdr:row>1</xdr:row>
          <xdr:rowOff>4351020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61 °</a:t>
          </a:fld>
          <a:endParaRPr lang="en-US" sz="1100"/>
        </a:p>
      </xdr:txBody>
    </xdr:sp>
    <xdr:clientData/>
  </xdr:oneCellAnchor>
  <xdr:oneCellAnchor>
    <xdr:from>
      <xdr:col>0</xdr:col>
      <xdr:colOff>5581898</xdr:colOff>
      <xdr:row>0</xdr:row>
      <xdr:rowOff>4356586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81898" y="435658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13.5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7441810"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61 °</a:t>
          </a:fld>
          <a:endParaRPr lang="en-US" sz="1100"/>
        </a:p>
      </xdr:txBody>
    </xdr:sp>
    <xdr:clientData/>
  </xdr:oneCellAnchor>
  <xdr:oneCellAnchor>
    <xdr:from>
      <xdr:col>82</xdr:col>
      <xdr:colOff>5551715</xdr:colOff>
      <xdr:row>0</xdr:row>
      <xdr:rowOff>4282291</xdr:rowOff>
    </xdr:from>
    <xdr:ext cx="206518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7412286" y="4282291"/>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16.3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91.4 %</a:t>
          </a:fld>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Jeff Boyer" id="{B4B3853B-EB6C-417C-8B5F-174FEDE7841D}" userId="Jeff Boy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8" dT="2025-12-17T23:56:45.43" personId="{B4B3853B-EB6C-417C-8B5F-174FEDE7841D}" id="{30D15742-DD11-48DE-B8C8-46E63662A892}">
    <text>x</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9994-1D0A-4928-9799-DE1851F3F477}">
  <sheetPr>
    <tabColor rgb="FFFF0000"/>
  </sheetPr>
  <dimension ref="B2:B44"/>
  <sheetViews>
    <sheetView workbookViewId="0">
      <selection activeCell="E35" sqref="E35"/>
    </sheetView>
  </sheetViews>
  <sheetFormatPr defaultRowHeight="13.2" x14ac:dyDescent="0.25"/>
  <cols>
    <col min="2" max="2" width="15.44140625" bestFit="1" customWidth="1"/>
  </cols>
  <sheetData>
    <row r="2" spans="2:2" ht="22.8" x14ac:dyDescent="0.4">
      <c r="B2" s="159" t="s">
        <v>517</v>
      </c>
    </row>
    <row r="3" spans="2:2" ht="17.399999999999999" x14ac:dyDescent="0.3">
      <c r="B3" s="160" t="s">
        <v>516</v>
      </c>
    </row>
    <row r="4" spans="2:2" x14ac:dyDescent="0.25">
      <c r="B4" s="51" t="s">
        <v>540</v>
      </c>
    </row>
    <row r="5" spans="2:2" x14ac:dyDescent="0.25">
      <c r="B5" t="s">
        <v>536</v>
      </c>
    </row>
    <row r="6" spans="2:2" x14ac:dyDescent="0.25">
      <c r="B6" t="s">
        <v>537</v>
      </c>
    </row>
    <row r="7" spans="2:2" x14ac:dyDescent="0.25">
      <c r="B7" t="s">
        <v>519</v>
      </c>
    </row>
    <row r="9" spans="2:2" ht="22.8" x14ac:dyDescent="0.4">
      <c r="B9" s="159" t="s">
        <v>518</v>
      </c>
    </row>
    <row r="10" spans="2:2" ht="17.399999999999999" x14ac:dyDescent="0.3">
      <c r="B10" s="160" t="s">
        <v>541</v>
      </c>
    </row>
    <row r="11" spans="2:2" x14ac:dyDescent="0.25">
      <c r="B11" s="51" t="s">
        <v>526</v>
      </c>
    </row>
    <row r="12" spans="2:2" x14ac:dyDescent="0.25">
      <c r="B12" t="s">
        <v>536</v>
      </c>
    </row>
    <row r="13" spans="2:2" x14ac:dyDescent="0.25">
      <c r="B13" t="s">
        <v>537</v>
      </c>
    </row>
    <row r="14" spans="2:2" x14ac:dyDescent="0.25">
      <c r="B14" t="s">
        <v>538</v>
      </c>
    </row>
    <row r="15" spans="2:2" x14ac:dyDescent="0.25">
      <c r="B15" t="s">
        <v>539</v>
      </c>
    </row>
    <row r="16" spans="2:2" x14ac:dyDescent="0.25">
      <c r="B16" t="s">
        <v>523</v>
      </c>
    </row>
    <row r="31" spans="2:2" ht="22.8" x14ac:dyDescent="0.4">
      <c r="B31" s="159" t="s">
        <v>520</v>
      </c>
    </row>
    <row r="32" spans="2:2" ht="17.399999999999999" x14ac:dyDescent="0.3">
      <c r="B32" s="160" t="s">
        <v>522</v>
      </c>
    </row>
    <row r="33" spans="2:2" x14ac:dyDescent="0.25">
      <c r="B33" s="51" t="s">
        <v>526</v>
      </c>
    </row>
    <row r="34" spans="2:2" x14ac:dyDescent="0.25">
      <c r="B34" t="s">
        <v>535</v>
      </c>
    </row>
    <row r="35" spans="2:2" x14ac:dyDescent="0.25">
      <c r="B35" t="s">
        <v>525</v>
      </c>
    </row>
    <row r="36" spans="2:2" ht="15.6" x14ac:dyDescent="0.35">
      <c r="B36" t="s">
        <v>528</v>
      </c>
    </row>
    <row r="37" spans="2:2" ht="15.6" x14ac:dyDescent="0.35">
      <c r="B37" t="s">
        <v>529</v>
      </c>
    </row>
    <row r="38" spans="2:2" ht="15.6" x14ac:dyDescent="0.35">
      <c r="B38" t="s">
        <v>530</v>
      </c>
    </row>
    <row r="39" spans="2:2" x14ac:dyDescent="0.25">
      <c r="B39" t="s">
        <v>527</v>
      </c>
    </row>
    <row r="40" spans="2:2" ht="15.6" x14ac:dyDescent="0.35">
      <c r="B40" t="s">
        <v>531</v>
      </c>
    </row>
    <row r="41" spans="2:2" ht="15.6" x14ac:dyDescent="0.35">
      <c r="B41" t="s">
        <v>534</v>
      </c>
    </row>
    <row r="42" spans="2:2" ht="15.6" x14ac:dyDescent="0.35">
      <c r="B42" t="s">
        <v>532</v>
      </c>
    </row>
    <row r="43" spans="2:2" ht="15.6" x14ac:dyDescent="0.35">
      <c r="B43" t="s">
        <v>533</v>
      </c>
    </row>
    <row r="44" spans="2:2" x14ac:dyDescent="0.25">
      <c r="B44" t="s">
        <v>524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0B4C-AE95-470F-96C6-7DF782CD492A}">
  <sheetPr codeName="Sheet1">
    <tabColor rgb="FF2F75B5"/>
  </sheetPr>
  <dimension ref="A1:AB153"/>
  <sheetViews>
    <sheetView tabSelected="1" topLeftCell="A87" zoomScale="90" zoomScaleNormal="90" zoomScaleSheetLayoutView="25" workbookViewId="0">
      <selection activeCell="G11" sqref="G11"/>
    </sheetView>
  </sheetViews>
  <sheetFormatPr defaultRowHeight="13.2" x14ac:dyDescent="0.25"/>
  <cols>
    <col min="1" max="1" width="26.21875" style="1" customWidth="1"/>
    <col min="2" max="6" width="8.88671875" style="1"/>
    <col min="7" max="7" width="13.21875" style="1" customWidth="1"/>
    <col min="8" max="16384" width="8.88671875" style="1"/>
  </cols>
  <sheetData>
    <row r="1" spans="1:28" ht="40.799999999999997" customHeight="1" x14ac:dyDescent="0.25">
      <c r="A1" s="5"/>
      <c r="B1" s="5"/>
      <c r="C1" s="5"/>
      <c r="D1" s="5"/>
      <c r="E1" s="5"/>
      <c r="F1" s="5"/>
      <c r="G1" s="5"/>
      <c r="H1" s="5"/>
      <c r="I1" s="6"/>
      <c r="J1" s="6"/>
      <c r="K1" s="6"/>
      <c r="L1" s="6"/>
      <c r="M1" s="6"/>
      <c r="N1" s="6"/>
      <c r="O1" s="6"/>
      <c r="P1" s="6"/>
      <c r="Q1" s="6"/>
      <c r="R1" s="6"/>
      <c r="S1" s="6"/>
      <c r="T1" s="6"/>
      <c r="U1" s="6"/>
      <c r="V1" s="6"/>
      <c r="W1" s="130"/>
      <c r="X1" s="130"/>
      <c r="Y1" s="130"/>
      <c r="Z1" s="130"/>
      <c r="AA1" s="130"/>
      <c r="AB1" s="130"/>
    </row>
    <row r="2" spans="1:28" x14ac:dyDescent="0.25">
      <c r="A2" s="5"/>
      <c r="B2" s="5"/>
      <c r="C2" s="5"/>
      <c r="D2" s="5"/>
      <c r="E2" s="5"/>
      <c r="F2" s="5"/>
      <c r="G2" s="5"/>
      <c r="H2" s="5"/>
      <c r="I2" s="6"/>
      <c r="J2" s="6"/>
      <c r="K2" s="6"/>
      <c r="L2" s="6"/>
      <c r="M2" s="6"/>
      <c r="N2" s="6"/>
      <c r="O2" s="6"/>
      <c r="P2" s="6"/>
      <c r="Q2" s="6"/>
      <c r="R2" s="6"/>
      <c r="S2" s="6"/>
      <c r="T2" s="6"/>
      <c r="U2" s="6"/>
      <c r="V2" s="6"/>
      <c r="W2" s="130"/>
      <c r="X2" s="130"/>
      <c r="Y2" s="130"/>
      <c r="Z2" s="130"/>
      <c r="AA2" s="130"/>
      <c r="AB2" s="130"/>
    </row>
    <row r="3" spans="1:28" ht="15.6" x14ac:dyDescent="0.3">
      <c r="A3" s="7" t="s">
        <v>10</v>
      </c>
      <c r="B3" s="7"/>
      <c r="C3" s="8" t="s">
        <v>11</v>
      </c>
      <c r="D3" s="9"/>
      <c r="E3" s="10"/>
      <c r="F3" s="10"/>
      <c r="G3" s="25"/>
      <c r="H3" s="11" t="s">
        <v>12</v>
      </c>
      <c r="I3" s="12"/>
      <c r="J3" s="13"/>
      <c r="K3" s="163" t="s">
        <v>13</v>
      </c>
      <c r="L3" s="163"/>
      <c r="M3" s="14"/>
      <c r="N3" s="14"/>
      <c r="O3" s="6"/>
      <c r="P3" s="6"/>
      <c r="Q3" s="6"/>
      <c r="R3" s="6"/>
      <c r="S3" s="6"/>
      <c r="T3" s="6"/>
      <c r="U3" s="6"/>
      <c r="V3" s="6"/>
      <c r="W3" s="130"/>
      <c r="X3" s="130"/>
      <c r="Y3" s="130"/>
      <c r="Z3" s="130"/>
      <c r="AA3" s="130"/>
      <c r="AB3" s="130"/>
    </row>
    <row r="4" spans="1:28" x14ac:dyDescent="0.25">
      <c r="A4" s="143"/>
      <c r="B4" s="143"/>
      <c r="C4" s="143"/>
      <c r="D4" s="143"/>
      <c r="E4" s="143"/>
    </row>
    <row r="5" spans="1:28" x14ac:dyDescent="0.25">
      <c r="A5" s="143"/>
      <c r="B5" s="143"/>
      <c r="C5" s="143"/>
      <c r="D5" s="143"/>
      <c r="E5" s="143"/>
    </row>
    <row r="6" spans="1:28" ht="15.6" x14ac:dyDescent="0.25">
      <c r="A6" s="143"/>
      <c r="B6" s="144" t="s">
        <v>0</v>
      </c>
      <c r="C6" s="143"/>
      <c r="D6" s="143"/>
      <c r="E6" s="143"/>
    </row>
    <row r="7" spans="1:28" ht="15.6" x14ac:dyDescent="0.25">
      <c r="A7" s="143"/>
      <c r="B7" s="143"/>
      <c r="C7" s="143"/>
      <c r="D7" s="143"/>
      <c r="E7" s="143"/>
      <c r="F7" s="2" t="s">
        <v>14</v>
      </c>
      <c r="G7" s="43">
        <v>24</v>
      </c>
      <c r="H7" s="3" t="s">
        <v>6</v>
      </c>
    </row>
    <row r="8" spans="1:28" ht="15.6" x14ac:dyDescent="0.25">
      <c r="A8" s="143"/>
      <c r="B8" s="143"/>
      <c r="C8" s="143"/>
      <c r="D8" s="143"/>
      <c r="E8" s="143"/>
      <c r="F8" s="2" t="s">
        <v>1</v>
      </c>
      <c r="G8" s="43">
        <v>24</v>
      </c>
      <c r="H8" s="3" t="s">
        <v>6</v>
      </c>
    </row>
    <row r="9" spans="1:28" ht="15.6" x14ac:dyDescent="0.25">
      <c r="A9" s="143"/>
      <c r="B9" s="143"/>
      <c r="C9" s="143"/>
      <c r="D9" s="143"/>
      <c r="E9" s="143"/>
      <c r="F9" s="2" t="s">
        <v>2</v>
      </c>
      <c r="G9" s="43">
        <v>24</v>
      </c>
      <c r="H9" s="3" t="s">
        <v>6</v>
      </c>
    </row>
    <row r="10" spans="1:28" ht="15.6" x14ac:dyDescent="0.25">
      <c r="A10" s="143"/>
      <c r="B10" s="143"/>
      <c r="C10" s="143"/>
      <c r="D10" s="143"/>
      <c r="E10" s="143"/>
      <c r="F10" s="2" t="s">
        <v>15</v>
      </c>
      <c r="G10" s="43">
        <v>4</v>
      </c>
      <c r="H10" s="3" t="s">
        <v>6</v>
      </c>
    </row>
    <row r="11" spans="1:28" ht="15.6" x14ac:dyDescent="0.25">
      <c r="A11" s="143"/>
      <c r="B11" s="143"/>
      <c r="C11" s="143"/>
      <c r="D11" s="143"/>
      <c r="E11" s="143"/>
      <c r="F11" s="2" t="s">
        <v>521</v>
      </c>
      <c r="G11" s="43">
        <v>10</v>
      </c>
      <c r="H11" s="3" t="s">
        <v>7</v>
      </c>
    </row>
    <row r="12" spans="1:28" ht="15.6" x14ac:dyDescent="0.25">
      <c r="A12" s="143"/>
      <c r="B12" s="143"/>
      <c r="C12" s="143"/>
      <c r="D12" s="143"/>
      <c r="E12" s="143"/>
      <c r="F12" s="2" t="s">
        <v>3</v>
      </c>
      <c r="G12" s="43">
        <v>470</v>
      </c>
      <c r="H12" s="3" t="s">
        <v>8</v>
      </c>
    </row>
    <row r="13" spans="1:28" x14ac:dyDescent="0.25">
      <c r="A13" s="146"/>
      <c r="B13" s="143"/>
      <c r="C13" s="143"/>
      <c r="D13" s="143"/>
      <c r="E13" s="143"/>
      <c r="F13" s="2" t="s">
        <v>5</v>
      </c>
      <c r="G13" s="44" t="s">
        <v>16</v>
      </c>
      <c r="H13" s="17"/>
    </row>
    <row r="14" spans="1:28" x14ac:dyDescent="0.25">
      <c r="A14" s="143"/>
      <c r="B14" s="143"/>
      <c r="C14" s="143"/>
      <c r="D14" s="143"/>
      <c r="E14" s="143"/>
      <c r="F14" s="2" t="s">
        <v>17</v>
      </c>
      <c r="G14" s="44" t="s">
        <v>132</v>
      </c>
      <c r="H14" s="3"/>
    </row>
    <row r="15" spans="1:28" ht="15.6" x14ac:dyDescent="0.25">
      <c r="A15" s="143"/>
      <c r="B15" s="143"/>
      <c r="C15" s="143"/>
      <c r="D15" s="143"/>
      <c r="E15" s="143"/>
      <c r="F15" s="15" t="s">
        <v>4</v>
      </c>
      <c r="G15" s="149">
        <f>Calc!C24</f>
        <v>49.900000000000006</v>
      </c>
      <c r="H15" s="17" t="s">
        <v>9</v>
      </c>
    </row>
    <row r="16" spans="1:28" x14ac:dyDescent="0.25">
      <c r="A16" s="143"/>
      <c r="B16" s="143"/>
      <c r="C16" s="143"/>
      <c r="D16" s="143"/>
      <c r="E16" s="143"/>
    </row>
    <row r="17" spans="1:8" x14ac:dyDescent="0.25">
      <c r="A17" s="143"/>
      <c r="B17" s="143"/>
      <c r="C17" s="143"/>
      <c r="D17" s="143"/>
      <c r="E17" s="143"/>
      <c r="H17" s="3"/>
    </row>
    <row r="18" spans="1:8" ht="15.6" x14ac:dyDescent="0.25">
      <c r="A18" s="143"/>
      <c r="B18" s="144" t="s">
        <v>19</v>
      </c>
      <c r="C18" s="143"/>
      <c r="D18" s="143"/>
      <c r="E18" s="143"/>
      <c r="H18" s="3"/>
    </row>
    <row r="19" spans="1:8" ht="15.6" x14ac:dyDescent="0.35">
      <c r="A19" s="143"/>
      <c r="B19" s="143"/>
      <c r="C19" s="143"/>
      <c r="D19" s="143"/>
      <c r="E19" s="143"/>
      <c r="F19" s="20" t="s">
        <v>508</v>
      </c>
      <c r="G19" s="43">
        <v>12</v>
      </c>
      <c r="H19" s="3" t="s">
        <v>23</v>
      </c>
    </row>
    <row r="20" spans="1:8" x14ac:dyDescent="0.25">
      <c r="A20" s="143"/>
      <c r="B20" s="143"/>
      <c r="C20" s="143"/>
      <c r="D20" s="143"/>
      <c r="E20" s="143"/>
      <c r="F20" s="19" t="s">
        <v>30</v>
      </c>
      <c r="G20" s="149">
        <f>R.s_desired*1000</f>
        <v>4.5</v>
      </c>
      <c r="H20" s="17" t="s">
        <v>18</v>
      </c>
    </row>
    <row r="21" spans="1:8" ht="15.6" x14ac:dyDescent="0.35">
      <c r="A21" s="143"/>
      <c r="B21" s="143"/>
      <c r="C21" s="143"/>
      <c r="D21" s="143"/>
      <c r="E21" s="143"/>
      <c r="F21" s="20" t="s">
        <v>26</v>
      </c>
      <c r="G21" s="43">
        <v>4</v>
      </c>
      <c r="H21" s="3" t="s">
        <v>18</v>
      </c>
    </row>
    <row r="22" spans="1:8" ht="15.6" x14ac:dyDescent="0.35">
      <c r="A22" s="143"/>
      <c r="B22" s="143"/>
      <c r="C22" s="143"/>
      <c r="D22" s="143"/>
      <c r="E22" s="143"/>
      <c r="F22" s="21" t="s">
        <v>27</v>
      </c>
      <c r="G22" s="150">
        <f>P.rs</f>
        <v>0.57600000000000007</v>
      </c>
      <c r="H22" s="17" t="s">
        <v>24</v>
      </c>
    </row>
    <row r="23" spans="1:8" x14ac:dyDescent="0.25">
      <c r="A23" s="143"/>
      <c r="B23" s="143"/>
      <c r="C23" s="143"/>
      <c r="D23" s="143"/>
      <c r="E23" s="143"/>
    </row>
    <row r="24" spans="1:8" x14ac:dyDescent="0.25">
      <c r="A24" s="143"/>
      <c r="B24" s="143"/>
      <c r="C24" s="143"/>
      <c r="D24" s="143"/>
      <c r="E24" s="143"/>
    </row>
    <row r="25" spans="1:8" ht="15.6" x14ac:dyDescent="0.25">
      <c r="A25" s="143"/>
      <c r="B25" s="144" t="s">
        <v>20</v>
      </c>
      <c r="C25" s="143"/>
      <c r="D25" s="143"/>
      <c r="E25" s="143"/>
    </row>
    <row r="26" spans="1:8" ht="15.6" x14ac:dyDescent="0.35">
      <c r="A26" s="143"/>
      <c r="B26" s="143"/>
      <c r="C26" s="143"/>
      <c r="D26" s="143"/>
      <c r="E26" s="143"/>
      <c r="F26" s="21" t="s">
        <v>496</v>
      </c>
      <c r="G26" s="150">
        <f>L.out_desired*10^6</f>
        <v>1.7730496453900708</v>
      </c>
      <c r="H26" s="17" t="s">
        <v>21</v>
      </c>
    </row>
    <row r="27" spans="1:8" x14ac:dyDescent="0.25">
      <c r="A27" s="143"/>
      <c r="B27" s="143"/>
      <c r="C27" s="143"/>
      <c r="D27" s="143"/>
      <c r="E27" s="143"/>
      <c r="F27" s="21" t="s">
        <v>22</v>
      </c>
      <c r="G27" s="150">
        <f>L.smalest*10^6</f>
        <v>0.35460992907801414</v>
      </c>
      <c r="H27" s="17" t="s">
        <v>21</v>
      </c>
    </row>
    <row r="28" spans="1:8" ht="15.6" x14ac:dyDescent="0.35">
      <c r="A28" s="143"/>
      <c r="B28" s="143"/>
      <c r="C28" s="143"/>
      <c r="D28" s="143"/>
      <c r="E28" s="143"/>
      <c r="F28" s="20" t="s">
        <v>25</v>
      </c>
      <c r="G28" s="49">
        <v>3.3</v>
      </c>
      <c r="H28" s="3" t="s">
        <v>21</v>
      </c>
    </row>
    <row r="29" spans="1:8" ht="15.6" x14ac:dyDescent="0.35">
      <c r="A29" s="143"/>
      <c r="B29" s="143"/>
      <c r="C29" s="143"/>
      <c r="D29" s="143"/>
      <c r="E29" s="143"/>
      <c r="F29" s="21" t="s">
        <v>465</v>
      </c>
      <c r="G29" s="149">
        <f>Ipeak_atvinmax</f>
        <v>11.07457554266065</v>
      </c>
      <c r="H29" s="17" t="s">
        <v>23</v>
      </c>
    </row>
    <row r="30" spans="1:8" ht="15.6" x14ac:dyDescent="0.35">
      <c r="A30" s="143"/>
      <c r="B30" s="143"/>
      <c r="C30" s="143"/>
      <c r="D30" s="143"/>
      <c r="E30" s="143"/>
      <c r="F30" s="21" t="s">
        <v>457</v>
      </c>
      <c r="G30" s="149">
        <f>I.peak_tblank</f>
        <v>16.954545454545453</v>
      </c>
      <c r="H30" s="17" t="s">
        <v>23</v>
      </c>
    </row>
    <row r="31" spans="1:8" ht="15.6" x14ac:dyDescent="0.35">
      <c r="A31" s="143"/>
      <c r="B31" s="143"/>
      <c r="C31" s="143"/>
      <c r="D31" s="143"/>
      <c r="E31" s="143"/>
      <c r="F31" s="21" t="s">
        <v>514</v>
      </c>
      <c r="G31" s="151" t="str">
        <f>IF(T.on_min_ideal/1.1&lt;T.onmin_IC,"can happen", "doesn't happen")</f>
        <v>doesn't happen</v>
      </c>
      <c r="H31" s="3"/>
    </row>
    <row r="32" spans="1:8" ht="15.6" x14ac:dyDescent="0.35">
      <c r="A32" s="143"/>
      <c r="B32" s="143"/>
      <c r="C32" s="143"/>
      <c r="D32" s="143"/>
      <c r="E32" s="143"/>
      <c r="F32" s="21" t="s">
        <v>29</v>
      </c>
      <c r="G32" s="151" t="str">
        <f>IF(T.off_min_150/1.1&lt;T.offmin_IC,"can happen", "doesn't happen")</f>
        <v>doesn't happen</v>
      </c>
      <c r="H32" s="3"/>
    </row>
    <row r="33" spans="1:8" x14ac:dyDescent="0.25">
      <c r="A33" s="143"/>
      <c r="B33" s="143"/>
      <c r="C33" s="143"/>
      <c r="D33" s="143"/>
      <c r="E33" s="143"/>
      <c r="F33" s="21"/>
      <c r="G33" s="18"/>
      <c r="H33" s="3"/>
    </row>
    <row r="34" spans="1:8" x14ac:dyDescent="0.25">
      <c r="A34" s="143"/>
      <c r="B34" s="143"/>
      <c r="C34" s="143"/>
      <c r="D34" s="143"/>
      <c r="E34" s="143"/>
      <c r="F34" s="21"/>
      <c r="G34" s="18"/>
      <c r="H34" s="3"/>
    </row>
    <row r="35" spans="1:8" ht="18" x14ac:dyDescent="0.25">
      <c r="A35" s="143"/>
      <c r="B35" s="144" t="s">
        <v>500</v>
      </c>
      <c r="C35" s="143"/>
      <c r="D35" s="143"/>
      <c r="E35" s="143"/>
      <c r="F35" s="21"/>
      <c r="G35" s="18"/>
      <c r="H35" s="3"/>
    </row>
    <row r="36" spans="1:8" ht="15.6" x14ac:dyDescent="0.35">
      <c r="A36" s="143"/>
      <c r="B36" s="144"/>
      <c r="C36" s="143"/>
      <c r="D36" s="143"/>
      <c r="E36" s="143"/>
      <c r="F36" s="21" t="s">
        <v>32</v>
      </c>
      <c r="G36" s="149">
        <f>MAX(MinCvcc2,MAX(MinCvcc*10^6,2.2))</f>
        <v>2.2000000000000002</v>
      </c>
      <c r="H36" s="17" t="s">
        <v>33</v>
      </c>
    </row>
    <row r="37" spans="1:8" ht="15.6" x14ac:dyDescent="0.35">
      <c r="A37" s="143"/>
      <c r="B37" s="144"/>
      <c r="C37" s="143"/>
      <c r="D37" s="143"/>
      <c r="E37" s="143"/>
      <c r="F37" s="21" t="s">
        <v>35</v>
      </c>
      <c r="G37" s="152">
        <f>MAX(MinCboot*10^9,100)</f>
        <v>100</v>
      </c>
      <c r="H37" s="17" t="s">
        <v>34</v>
      </c>
    </row>
    <row r="38" spans="1:8" ht="15.6" x14ac:dyDescent="0.35">
      <c r="A38" s="143"/>
      <c r="B38" s="144"/>
      <c r="C38" s="143"/>
      <c r="D38" s="143"/>
      <c r="E38" s="143"/>
      <c r="F38" s="21" t="s">
        <v>36</v>
      </c>
      <c r="G38" s="152">
        <v>220</v>
      </c>
      <c r="H38" s="17" t="s">
        <v>34</v>
      </c>
    </row>
    <row r="39" spans="1:8" ht="15.6" x14ac:dyDescent="0.35">
      <c r="A39" s="143"/>
      <c r="B39" s="144"/>
      <c r="C39" s="143"/>
      <c r="D39" s="143"/>
      <c r="E39" s="143"/>
      <c r="F39" s="21" t="s">
        <v>133</v>
      </c>
      <c r="G39" s="152">
        <v>100</v>
      </c>
      <c r="H39" s="17" t="s">
        <v>9</v>
      </c>
    </row>
    <row r="40" spans="1:8" ht="15.6" x14ac:dyDescent="0.35">
      <c r="A40" s="143"/>
      <c r="B40" s="144"/>
      <c r="C40" s="143"/>
      <c r="D40" s="143"/>
      <c r="E40" s="143"/>
      <c r="F40" s="21" t="s">
        <v>494</v>
      </c>
      <c r="G40" s="150">
        <v>2.75</v>
      </c>
      <c r="H40" s="17" t="s">
        <v>37</v>
      </c>
    </row>
    <row r="41" spans="1:8" x14ac:dyDescent="0.25">
      <c r="A41" s="143"/>
      <c r="B41" s="143"/>
      <c r="C41" s="143"/>
      <c r="D41" s="143"/>
      <c r="E41" s="143"/>
      <c r="F41" s="21"/>
      <c r="G41" s="18"/>
      <c r="H41" s="3"/>
    </row>
    <row r="42" spans="1:8" x14ac:dyDescent="0.25">
      <c r="A42" s="143"/>
      <c r="B42" s="143"/>
      <c r="C42" s="143"/>
      <c r="D42" s="143"/>
      <c r="E42" s="143"/>
      <c r="F42" s="21"/>
      <c r="G42" s="18"/>
      <c r="H42" s="3"/>
    </row>
    <row r="43" spans="1:8" ht="15.6" x14ac:dyDescent="0.25">
      <c r="A43" s="143"/>
      <c r="B43" s="144" t="s">
        <v>31</v>
      </c>
      <c r="C43" s="143"/>
      <c r="D43" s="143"/>
      <c r="E43" s="143"/>
    </row>
    <row r="44" spans="1:8" x14ac:dyDescent="0.25">
      <c r="A44" s="143"/>
      <c r="B44" s="143"/>
      <c r="C44" s="143"/>
      <c r="D44" s="143"/>
      <c r="E44" s="143"/>
      <c r="F44" s="22" t="s">
        <v>510</v>
      </c>
      <c r="G44" s="43">
        <v>4</v>
      </c>
      <c r="H44" s="3" t="s">
        <v>6</v>
      </c>
    </row>
    <row r="45" spans="1:8" ht="15.6" x14ac:dyDescent="0.35">
      <c r="A45" s="143"/>
      <c r="B45" s="143"/>
      <c r="C45" s="143"/>
      <c r="D45" s="143"/>
      <c r="E45" s="143"/>
      <c r="F45" s="20" t="s">
        <v>59</v>
      </c>
      <c r="G45" s="43">
        <v>100</v>
      </c>
      <c r="H45" s="3" t="s">
        <v>9</v>
      </c>
    </row>
    <row r="46" spans="1:8" ht="15.6" x14ac:dyDescent="0.35">
      <c r="A46" s="143"/>
      <c r="B46" s="143"/>
      <c r="C46" s="143"/>
      <c r="D46" s="143"/>
      <c r="E46" s="143"/>
      <c r="F46" s="21" t="s">
        <v>60</v>
      </c>
      <c r="G46" s="150">
        <f>R.enb/1000</f>
        <v>35.593220338983045</v>
      </c>
      <c r="H46" s="17" t="s">
        <v>9</v>
      </c>
    </row>
    <row r="47" spans="1:8" x14ac:dyDescent="0.25">
      <c r="A47" s="143"/>
      <c r="B47" s="143"/>
      <c r="C47" s="143"/>
      <c r="D47" s="143"/>
      <c r="E47" s="143"/>
      <c r="F47" s="21" t="s">
        <v>509</v>
      </c>
      <c r="G47" s="149">
        <f>Vshutdown</f>
        <v>3.6190476190476195</v>
      </c>
      <c r="H47" s="17" t="s">
        <v>6</v>
      </c>
    </row>
    <row r="48" spans="1:8" x14ac:dyDescent="0.25">
      <c r="A48" s="143"/>
      <c r="B48" s="143"/>
      <c r="C48" s="143"/>
      <c r="D48" s="143"/>
      <c r="E48" s="143"/>
    </row>
    <row r="49" spans="1:8" x14ac:dyDescent="0.25">
      <c r="A49" s="143"/>
      <c r="B49" s="143"/>
      <c r="C49" s="143"/>
      <c r="D49" s="143"/>
      <c r="E49" s="143"/>
    </row>
    <row r="50" spans="1:8" ht="15.6" x14ac:dyDescent="0.25">
      <c r="A50" s="143"/>
      <c r="B50" s="144" t="s">
        <v>38</v>
      </c>
      <c r="C50" s="143"/>
      <c r="D50" s="143"/>
      <c r="E50" s="143"/>
    </row>
    <row r="51" spans="1:8" x14ac:dyDescent="0.25">
      <c r="A51" s="143"/>
      <c r="B51" s="143"/>
      <c r="C51" s="143"/>
      <c r="D51" s="143"/>
      <c r="E51" s="143"/>
      <c r="F51" s="22" t="s">
        <v>463</v>
      </c>
      <c r="G51" s="43">
        <v>6</v>
      </c>
      <c r="H51" s="3" t="s">
        <v>39</v>
      </c>
    </row>
    <row r="52" spans="1:8" ht="15.6" x14ac:dyDescent="0.25">
      <c r="A52" s="143"/>
      <c r="B52" s="143"/>
      <c r="C52" s="143"/>
      <c r="D52" s="143"/>
      <c r="E52" s="143"/>
      <c r="F52" s="22" t="s">
        <v>464</v>
      </c>
      <c r="G52" s="43">
        <v>28</v>
      </c>
      <c r="H52" s="3" t="s">
        <v>8</v>
      </c>
    </row>
    <row r="53" spans="1:8" x14ac:dyDescent="0.25">
      <c r="A53" s="143"/>
      <c r="B53" s="143"/>
      <c r="C53" s="143"/>
      <c r="D53" s="143"/>
      <c r="E53" s="143"/>
      <c r="F53" s="23" t="s">
        <v>40</v>
      </c>
      <c r="G53" s="149">
        <f>C.outb_derated_min*10^6</f>
        <v>123.94831730769231</v>
      </c>
      <c r="H53" s="17" t="s">
        <v>33</v>
      </c>
    </row>
    <row r="54" spans="1:8" x14ac:dyDescent="0.25">
      <c r="A54" s="143"/>
      <c r="B54" s="143"/>
      <c r="C54" s="143"/>
      <c r="D54" s="143"/>
      <c r="E54" s="143"/>
      <c r="F54" s="23"/>
      <c r="G54" s="16"/>
      <c r="H54" s="17"/>
    </row>
    <row r="55" spans="1:8" ht="15.6" x14ac:dyDescent="0.25">
      <c r="A55" s="143"/>
      <c r="B55" s="143"/>
      <c r="C55" s="143"/>
      <c r="D55" s="143"/>
      <c r="E55" s="143"/>
      <c r="F55" s="22" t="s">
        <v>61</v>
      </c>
      <c r="G55" s="48">
        <v>330</v>
      </c>
      <c r="H55" s="3" t="s">
        <v>33</v>
      </c>
    </row>
    <row r="56" spans="1:8" x14ac:dyDescent="0.25">
      <c r="A56" s="143"/>
      <c r="B56" s="143"/>
      <c r="C56" s="143"/>
      <c r="D56" s="143"/>
      <c r="E56" s="143"/>
      <c r="F56" s="22" t="s">
        <v>42</v>
      </c>
      <c r="G56" s="43">
        <v>0.8</v>
      </c>
      <c r="H56" s="3"/>
    </row>
    <row r="57" spans="1:8" x14ac:dyDescent="0.25">
      <c r="A57" s="143"/>
      <c r="B57" s="143"/>
      <c r="C57" s="143"/>
      <c r="D57" s="143"/>
      <c r="E57" s="143"/>
      <c r="F57" s="23" t="s">
        <v>43</v>
      </c>
      <c r="G57" s="149">
        <f>C.outb_derated*10^6</f>
        <v>264</v>
      </c>
      <c r="H57" s="17" t="s">
        <v>33</v>
      </c>
    </row>
    <row r="58" spans="1:8" ht="15.6" x14ac:dyDescent="0.25">
      <c r="A58" s="143"/>
      <c r="B58" s="143"/>
      <c r="C58" s="143"/>
      <c r="D58" s="143"/>
      <c r="E58" s="143"/>
      <c r="F58" s="22" t="s">
        <v>62</v>
      </c>
      <c r="G58" s="48">
        <v>200</v>
      </c>
      <c r="H58" s="3" t="s">
        <v>18</v>
      </c>
    </row>
    <row r="59" spans="1:8" x14ac:dyDescent="0.25">
      <c r="A59" s="143"/>
      <c r="B59" s="143"/>
      <c r="C59" s="143"/>
      <c r="D59" s="143"/>
      <c r="E59" s="143"/>
      <c r="F59" s="22"/>
      <c r="G59" s="4"/>
      <c r="H59" s="3"/>
    </row>
    <row r="60" spans="1:8" ht="15.6" x14ac:dyDescent="0.25">
      <c r="A60" s="143"/>
      <c r="B60" s="143"/>
      <c r="C60" s="143"/>
      <c r="D60" s="143"/>
      <c r="E60" s="143"/>
      <c r="F60" s="22" t="s">
        <v>515</v>
      </c>
      <c r="G60" s="43">
        <v>2</v>
      </c>
      <c r="H60" s="3" t="s">
        <v>33</v>
      </c>
    </row>
    <row r="61" spans="1:8" x14ac:dyDescent="0.25">
      <c r="A61" s="143"/>
      <c r="B61" s="143"/>
      <c r="C61" s="143"/>
      <c r="D61" s="143"/>
      <c r="E61" s="143"/>
      <c r="F61" s="22" t="s">
        <v>44</v>
      </c>
      <c r="G61" s="43">
        <v>1</v>
      </c>
      <c r="H61" s="3"/>
    </row>
    <row r="62" spans="1:8" x14ac:dyDescent="0.25">
      <c r="A62" s="143"/>
      <c r="B62" s="143"/>
      <c r="C62" s="143"/>
      <c r="D62" s="143"/>
      <c r="E62" s="143"/>
      <c r="F62" s="23" t="s">
        <v>45</v>
      </c>
      <c r="G62" s="149">
        <f>C.outhf_derated*10^6</f>
        <v>2</v>
      </c>
      <c r="H62" s="17" t="s">
        <v>33</v>
      </c>
    </row>
    <row r="63" spans="1:8" ht="15.6" x14ac:dyDescent="0.25">
      <c r="A63" s="143"/>
      <c r="B63" s="143"/>
      <c r="C63" s="143"/>
      <c r="D63" s="143"/>
      <c r="E63" s="143"/>
      <c r="F63" s="22" t="s">
        <v>63</v>
      </c>
      <c r="G63" s="48">
        <v>5</v>
      </c>
      <c r="H63" s="3" t="s">
        <v>18</v>
      </c>
    </row>
    <row r="64" spans="1:8" x14ac:dyDescent="0.25">
      <c r="A64" s="143"/>
      <c r="B64" s="143"/>
      <c r="C64" s="143"/>
      <c r="D64" s="143"/>
      <c r="E64" s="143"/>
      <c r="F64" s="22"/>
      <c r="G64" s="4"/>
      <c r="H64" s="3"/>
    </row>
    <row r="65" spans="1:8" x14ac:dyDescent="0.25">
      <c r="A65" s="143"/>
      <c r="B65" s="143"/>
      <c r="C65" s="143"/>
      <c r="D65" s="143"/>
      <c r="E65" s="143"/>
      <c r="F65" s="23" t="s">
        <v>46</v>
      </c>
      <c r="G65" s="149">
        <f>C.outtotal_derated*10^6</f>
        <v>266</v>
      </c>
      <c r="H65" s="17" t="s">
        <v>33</v>
      </c>
    </row>
    <row r="66" spans="1:8" ht="15.6" x14ac:dyDescent="0.25">
      <c r="A66" s="143"/>
      <c r="B66" s="143"/>
      <c r="C66" s="143"/>
      <c r="D66" s="143"/>
      <c r="E66" s="143"/>
      <c r="F66" s="23" t="s">
        <v>460</v>
      </c>
      <c r="G66" s="153">
        <f>dV.out_max_rms*1000</f>
        <v>266.67278374005213</v>
      </c>
      <c r="H66" s="17" t="s">
        <v>41</v>
      </c>
    </row>
    <row r="67" spans="1:8" x14ac:dyDescent="0.25">
      <c r="A67" s="143"/>
      <c r="B67" s="143"/>
      <c r="C67" s="143"/>
      <c r="D67" s="143"/>
      <c r="E67" s="143"/>
      <c r="F67" s="23" t="s">
        <v>461</v>
      </c>
      <c r="G67" s="149">
        <f>V.overshoot_calc1/V.load*100</f>
        <v>3.8045082828757737</v>
      </c>
      <c r="H67" s="17" t="s">
        <v>39</v>
      </c>
    </row>
    <row r="68" spans="1:8" x14ac:dyDescent="0.25">
      <c r="A68" s="143"/>
      <c r="B68" s="143"/>
      <c r="C68" s="143"/>
      <c r="D68" s="143"/>
      <c r="E68" s="143"/>
      <c r="F68" s="23" t="s">
        <v>462</v>
      </c>
      <c r="G68" s="149">
        <f>V.undershoot_calc/V.load*100</f>
        <v>5.777298472099722</v>
      </c>
      <c r="H68" s="17" t="s">
        <v>39</v>
      </c>
    </row>
    <row r="69" spans="1:8" x14ac:dyDescent="0.25">
      <c r="A69" s="143"/>
      <c r="B69" s="143"/>
      <c r="C69" s="143"/>
      <c r="D69" s="143"/>
      <c r="E69" s="143"/>
    </row>
    <row r="70" spans="1:8" x14ac:dyDescent="0.25">
      <c r="A70" s="146"/>
      <c r="B70" s="143"/>
      <c r="C70" s="143"/>
      <c r="D70" s="143"/>
      <c r="E70" s="143"/>
    </row>
    <row r="71" spans="1:8" ht="15.6" x14ac:dyDescent="0.25">
      <c r="A71" s="143"/>
      <c r="B71" s="144" t="s">
        <v>49</v>
      </c>
      <c r="C71" s="143"/>
      <c r="D71" s="143"/>
      <c r="E71" s="143"/>
    </row>
    <row r="72" spans="1:8" ht="15.6" x14ac:dyDescent="0.25">
      <c r="A72" s="146"/>
      <c r="B72" s="143"/>
      <c r="C72" s="143"/>
      <c r="D72" s="143"/>
      <c r="E72" s="143"/>
      <c r="F72" s="22" t="s">
        <v>495</v>
      </c>
      <c r="G72" s="43">
        <v>150</v>
      </c>
      <c r="H72" s="3" t="s">
        <v>9</v>
      </c>
    </row>
    <row r="73" spans="1:8" ht="15.6" x14ac:dyDescent="0.25">
      <c r="A73" s="143"/>
      <c r="B73" s="143"/>
      <c r="C73" s="143"/>
      <c r="D73" s="143"/>
      <c r="E73" s="143"/>
      <c r="F73" s="23" t="s">
        <v>48</v>
      </c>
      <c r="G73" s="150">
        <f>R.fbb/1000</f>
        <v>37.5</v>
      </c>
      <c r="H73" s="17" t="s">
        <v>9</v>
      </c>
    </row>
    <row r="74" spans="1:8" x14ac:dyDescent="0.25">
      <c r="A74" s="143"/>
      <c r="B74" s="143"/>
      <c r="C74" s="143"/>
      <c r="D74" s="143"/>
      <c r="E74" s="143"/>
    </row>
    <row r="75" spans="1:8" x14ac:dyDescent="0.25">
      <c r="A75" s="143"/>
      <c r="B75" s="143"/>
      <c r="C75" s="143"/>
      <c r="D75" s="143"/>
      <c r="E75" s="143"/>
    </row>
    <row r="76" spans="1:8" ht="15.6" x14ac:dyDescent="0.25">
      <c r="A76" s="143"/>
      <c r="B76" s="144" t="s">
        <v>50</v>
      </c>
      <c r="C76" s="143"/>
      <c r="D76" s="143"/>
      <c r="E76" s="143"/>
    </row>
    <row r="77" spans="1:8" ht="15.6" x14ac:dyDescent="0.25">
      <c r="A77" s="143"/>
      <c r="B77" s="144"/>
      <c r="C77" s="143"/>
      <c r="D77" s="143"/>
      <c r="E77" s="143"/>
      <c r="F77" s="23" t="s">
        <v>64</v>
      </c>
      <c r="G77" s="149">
        <f>Bode!AM8/1000</f>
        <v>63.217330125159236</v>
      </c>
      <c r="H77" s="17" t="s">
        <v>8</v>
      </c>
    </row>
    <row r="78" spans="1:8" ht="15.6" x14ac:dyDescent="0.25">
      <c r="A78" s="143"/>
      <c r="B78" s="144"/>
      <c r="C78" s="143"/>
      <c r="D78" s="143"/>
      <c r="E78" s="143"/>
      <c r="F78" s="23" t="s">
        <v>65</v>
      </c>
      <c r="G78" s="152">
        <f>Bode!AO8/1000</f>
        <v>0</v>
      </c>
      <c r="H78" s="17" t="s">
        <v>8</v>
      </c>
    </row>
    <row r="79" spans="1:8" ht="15.6" x14ac:dyDescent="0.25">
      <c r="A79" s="143"/>
      <c r="B79" s="144"/>
      <c r="C79" s="143"/>
      <c r="D79" s="143"/>
      <c r="E79" s="143"/>
      <c r="F79" s="23"/>
      <c r="G79" s="26"/>
      <c r="H79" s="17"/>
    </row>
    <row r="80" spans="1:8" ht="15.6" x14ac:dyDescent="0.25">
      <c r="A80" s="143"/>
      <c r="B80" s="143"/>
      <c r="C80" s="143"/>
      <c r="D80" s="143"/>
      <c r="E80" s="143"/>
      <c r="F80" s="23" t="s">
        <v>69</v>
      </c>
      <c r="G80" s="150">
        <f>R.comp_desired/1000</f>
        <v>9.359430886400002</v>
      </c>
      <c r="H80" s="17" t="s">
        <v>9</v>
      </c>
    </row>
    <row r="81" spans="1:8" ht="15.6" x14ac:dyDescent="0.25">
      <c r="A81" s="143"/>
      <c r="B81" s="143"/>
      <c r="C81" s="143"/>
      <c r="D81" s="143"/>
      <c r="E81" s="143"/>
      <c r="F81" s="23" t="s">
        <v>70</v>
      </c>
      <c r="G81" s="149">
        <f>C.comp_desired*10^9</f>
        <v>6.0731323965744854</v>
      </c>
      <c r="H81" s="17" t="s">
        <v>34</v>
      </c>
    </row>
    <row r="82" spans="1:8" ht="15.6" x14ac:dyDescent="0.25">
      <c r="A82" s="143"/>
      <c r="B82" s="143"/>
      <c r="C82" s="143"/>
      <c r="D82" s="143"/>
      <c r="E82" s="143"/>
      <c r="F82" s="23" t="s">
        <v>71</v>
      </c>
      <c r="G82" s="152">
        <f>C.hf_desired*10^12</f>
        <v>5641.3686516690468</v>
      </c>
      <c r="H82" s="17" t="s">
        <v>47</v>
      </c>
    </row>
    <row r="83" spans="1:8" x14ac:dyDescent="0.25">
      <c r="A83" s="143"/>
      <c r="B83" s="143"/>
      <c r="C83" s="143"/>
      <c r="D83" s="143"/>
      <c r="E83" s="143"/>
      <c r="F83" s="23" t="s">
        <v>56</v>
      </c>
      <c r="G83" s="150">
        <f>f.z_err_desired/1000</f>
        <v>2.7999999999999994</v>
      </c>
      <c r="H83" s="17" t="s">
        <v>8</v>
      </c>
    </row>
    <row r="84" spans="1:8" x14ac:dyDescent="0.25">
      <c r="A84" s="143"/>
      <c r="B84" s="143"/>
      <c r="C84" s="143"/>
      <c r="D84" s="143"/>
      <c r="E84" s="143"/>
      <c r="F84" s="23" t="s">
        <v>57</v>
      </c>
      <c r="G84" s="152">
        <f>f.p_err_desired/1000</f>
        <v>5.8142987917262845</v>
      </c>
      <c r="H84" s="17" t="s">
        <v>8</v>
      </c>
    </row>
    <row r="85" spans="1:8" x14ac:dyDescent="0.25">
      <c r="A85" s="143"/>
      <c r="B85" s="143"/>
      <c r="C85" s="143"/>
      <c r="D85" s="143"/>
      <c r="E85" s="143"/>
      <c r="F85" s="23"/>
      <c r="G85" s="26"/>
      <c r="H85" s="17"/>
    </row>
    <row r="86" spans="1:8" ht="15.6" x14ac:dyDescent="0.25">
      <c r="A86" s="143"/>
      <c r="B86" s="143"/>
      <c r="C86" s="143"/>
      <c r="D86" s="143"/>
      <c r="E86" s="143"/>
      <c r="F86" s="22" t="s">
        <v>72</v>
      </c>
      <c r="G86" s="49">
        <v>9.36</v>
      </c>
      <c r="H86" s="3" t="s">
        <v>9</v>
      </c>
    </row>
    <row r="87" spans="1:8" ht="15.6" x14ac:dyDescent="0.25">
      <c r="A87" s="143"/>
      <c r="B87" s="143"/>
      <c r="C87" s="143"/>
      <c r="D87" s="143"/>
      <c r="E87" s="143"/>
      <c r="F87" s="22" t="s">
        <v>73</v>
      </c>
      <c r="G87" s="49">
        <v>6.1</v>
      </c>
      <c r="H87" s="3" t="s">
        <v>34</v>
      </c>
    </row>
    <row r="88" spans="1:8" ht="15.6" x14ac:dyDescent="0.25">
      <c r="A88" s="143"/>
      <c r="B88" s="143"/>
      <c r="C88" s="143"/>
      <c r="D88" s="143"/>
      <c r="E88" s="143"/>
      <c r="F88" s="22" t="s">
        <v>74</v>
      </c>
      <c r="G88" s="48">
        <v>5641</v>
      </c>
      <c r="H88" s="3" t="s">
        <v>47</v>
      </c>
    </row>
    <row r="89" spans="1:8" ht="15.6" x14ac:dyDescent="0.25">
      <c r="A89" s="143"/>
      <c r="B89" s="143"/>
      <c r="C89" s="143"/>
      <c r="D89" s="143"/>
      <c r="E89" s="143"/>
      <c r="F89" s="23" t="s">
        <v>66</v>
      </c>
      <c r="G89" s="150">
        <f>f.z_err/1000</f>
        <v>2.7874978317771464</v>
      </c>
      <c r="H89" s="1" t="s">
        <v>8</v>
      </c>
    </row>
    <row r="90" spans="1:8" ht="15.6" x14ac:dyDescent="0.25">
      <c r="A90" s="143"/>
      <c r="B90" s="143"/>
      <c r="C90" s="143"/>
      <c r="D90" s="143"/>
      <c r="E90" s="143"/>
      <c r="F90" s="23" t="s">
        <v>68</v>
      </c>
      <c r="G90" s="152">
        <f>f.p_err/1000</f>
        <v>5.8018103249238564</v>
      </c>
      <c r="H90" s="1" t="s">
        <v>8</v>
      </c>
    </row>
    <row r="91" spans="1:8" x14ac:dyDescent="0.25">
      <c r="A91" s="143"/>
      <c r="B91" s="143"/>
      <c r="C91" s="143"/>
      <c r="D91" s="143"/>
      <c r="E91" s="143"/>
    </row>
    <row r="92" spans="1:8" ht="15.6" x14ac:dyDescent="0.25">
      <c r="A92" s="143"/>
      <c r="B92" s="143"/>
      <c r="C92" s="143"/>
      <c r="D92" s="143"/>
      <c r="E92" s="143"/>
      <c r="F92" s="22" t="s">
        <v>75</v>
      </c>
      <c r="G92" s="48">
        <v>0.5</v>
      </c>
      <c r="H92" s="3" t="s">
        <v>47</v>
      </c>
    </row>
    <row r="93" spans="1:8" ht="15.6" x14ac:dyDescent="0.25">
      <c r="A93" s="143"/>
      <c r="B93" s="143"/>
      <c r="C93" s="143"/>
      <c r="D93" s="143"/>
      <c r="E93" s="143"/>
      <c r="F93" s="22" t="s">
        <v>76</v>
      </c>
      <c r="G93" s="48">
        <v>1000000</v>
      </c>
      <c r="H93" s="3" t="s">
        <v>9</v>
      </c>
    </row>
    <row r="94" spans="1:8" ht="15.6" x14ac:dyDescent="0.25">
      <c r="A94" s="143"/>
      <c r="B94" s="143"/>
      <c r="C94" s="143"/>
      <c r="D94" s="143"/>
      <c r="E94" s="143"/>
      <c r="F94" s="23" t="s">
        <v>67</v>
      </c>
      <c r="G94" s="152">
        <f>f.z_cff/1000</f>
        <v>2122.0663493753063</v>
      </c>
      <c r="H94" s="17" t="s">
        <v>8</v>
      </c>
    </row>
    <row r="95" spans="1:8" x14ac:dyDescent="0.25">
      <c r="A95" s="143"/>
      <c r="B95" s="143"/>
      <c r="C95" s="143"/>
      <c r="D95" s="143"/>
      <c r="E95" s="143"/>
      <c r="F95" s="23"/>
      <c r="G95" s="16"/>
      <c r="H95" s="17"/>
    </row>
    <row r="96" spans="1:8" x14ac:dyDescent="0.25">
      <c r="A96" s="143"/>
      <c r="B96" s="143"/>
      <c r="C96" s="143"/>
      <c r="D96" s="143"/>
      <c r="E96" s="143"/>
    </row>
    <row r="97" spans="1:8" ht="15.6" x14ac:dyDescent="0.25">
      <c r="A97" s="143"/>
      <c r="B97" s="144" t="s">
        <v>52</v>
      </c>
      <c r="C97" s="143"/>
      <c r="D97" s="143"/>
      <c r="E97" s="143"/>
    </row>
    <row r="98" spans="1:8" ht="15.6" x14ac:dyDescent="0.35">
      <c r="A98" s="146"/>
      <c r="B98" s="144"/>
      <c r="C98" s="143"/>
      <c r="D98" s="143"/>
      <c r="E98" s="143"/>
      <c r="F98" s="20" t="s">
        <v>77</v>
      </c>
      <c r="G98" s="161">
        <v>1.8</v>
      </c>
      <c r="H98" s="27" t="s">
        <v>6</v>
      </c>
    </row>
    <row r="99" spans="1:8" ht="15.6" x14ac:dyDescent="0.35">
      <c r="A99" s="143"/>
      <c r="B99" s="144"/>
      <c r="C99" s="143"/>
      <c r="D99" s="143"/>
      <c r="E99" s="143"/>
      <c r="F99" s="19" t="s">
        <v>78</v>
      </c>
      <c r="G99" s="154" t="str">
        <f>IF(V.iset_desired&lt;1,R.iset/1000, "OPEN or 120")</f>
        <v>OPEN or 120</v>
      </c>
      <c r="H99" s="17" t="s">
        <v>9</v>
      </c>
    </row>
    <row r="100" spans="1:8" ht="15.6" x14ac:dyDescent="0.35">
      <c r="A100" s="143"/>
      <c r="B100" s="144"/>
      <c r="C100" s="143"/>
      <c r="D100" s="143"/>
      <c r="E100" s="143"/>
      <c r="F100" s="20" t="s">
        <v>80</v>
      </c>
      <c r="G100" s="48">
        <v>100</v>
      </c>
      <c r="H100" s="3" t="s">
        <v>34</v>
      </c>
    </row>
    <row r="101" spans="1:8" ht="15.6" x14ac:dyDescent="0.35">
      <c r="A101" s="143"/>
      <c r="B101" s="144"/>
      <c r="C101" s="143"/>
      <c r="D101" s="143"/>
      <c r="E101" s="143"/>
      <c r="F101" s="19" t="s">
        <v>79</v>
      </c>
      <c r="G101" s="149">
        <f>T.sscc*1000</f>
        <v>10.000000000000002</v>
      </c>
      <c r="H101" s="17" t="s">
        <v>37</v>
      </c>
    </row>
    <row r="102" spans="1:8" ht="15.6" x14ac:dyDescent="0.25">
      <c r="A102" s="143"/>
      <c r="B102" s="144"/>
      <c r="C102" s="143"/>
      <c r="D102" s="143"/>
      <c r="E102" s="143"/>
    </row>
    <row r="103" spans="1:8" ht="15.6" x14ac:dyDescent="0.25">
      <c r="A103" s="143"/>
      <c r="B103" s="144"/>
      <c r="C103" s="143"/>
      <c r="D103" s="143"/>
      <c r="E103" s="143"/>
    </row>
    <row r="104" spans="1:8" ht="15.6" x14ac:dyDescent="0.25">
      <c r="A104" s="143"/>
      <c r="B104" s="144" t="s">
        <v>51</v>
      </c>
      <c r="C104" s="143"/>
      <c r="D104" s="143"/>
      <c r="E104" s="143"/>
    </row>
    <row r="105" spans="1:8" ht="15.6" x14ac:dyDescent="0.25">
      <c r="A105" s="143"/>
      <c r="B105" s="144"/>
      <c r="C105" s="143"/>
      <c r="D105" s="143"/>
      <c r="E105" s="143"/>
      <c r="F105" s="23" t="s">
        <v>82</v>
      </c>
      <c r="G105" s="150">
        <f>R.imon_desired/1000</f>
        <v>17.142857142857142</v>
      </c>
      <c r="H105" s="17" t="s">
        <v>9</v>
      </c>
    </row>
    <row r="106" spans="1:8" ht="15.6" x14ac:dyDescent="0.25">
      <c r="A106" s="143"/>
      <c r="B106" s="144"/>
      <c r="C106" s="143"/>
      <c r="D106" s="143"/>
      <c r="E106" s="143"/>
      <c r="F106" s="23" t="s">
        <v>81</v>
      </c>
      <c r="G106" s="150">
        <f>C.imon_desired*10^9</f>
        <v>6.2066666666666679</v>
      </c>
      <c r="H106" s="17" t="s">
        <v>34</v>
      </c>
    </row>
    <row r="107" spans="1:8" ht="15.6" x14ac:dyDescent="0.25">
      <c r="A107" s="143"/>
      <c r="B107" s="144"/>
      <c r="C107" s="143"/>
      <c r="D107" s="143"/>
      <c r="E107" s="143"/>
      <c r="F107" s="23" t="s">
        <v>83</v>
      </c>
      <c r="G107" s="150">
        <f>R.imonhf_desired</f>
        <v>8506.9817400644461</v>
      </c>
      <c r="H107" s="17" t="s">
        <v>90</v>
      </c>
    </row>
    <row r="108" spans="1:8" ht="15.6" x14ac:dyDescent="0.25">
      <c r="A108" s="143"/>
      <c r="B108" s="144"/>
      <c r="C108" s="143"/>
      <c r="D108" s="143"/>
      <c r="E108" s="143"/>
      <c r="F108" s="23" t="s">
        <v>245</v>
      </c>
      <c r="G108" s="149">
        <f>f.p_imon_desired/1000</f>
        <v>1.4958174455183078</v>
      </c>
      <c r="H108" s="1" t="s">
        <v>8</v>
      </c>
    </row>
    <row r="109" spans="1:8" ht="15.6" x14ac:dyDescent="0.25">
      <c r="A109" s="143"/>
      <c r="B109" s="144"/>
      <c r="C109" s="143"/>
      <c r="D109" s="143"/>
      <c r="E109" s="143"/>
      <c r="F109" s="23" t="s">
        <v>244</v>
      </c>
      <c r="G109" s="152">
        <f>f.z_imon_desired/1000</f>
        <v>3.0142987917262865</v>
      </c>
      <c r="H109" s="1" t="s">
        <v>8</v>
      </c>
    </row>
    <row r="110" spans="1:8" x14ac:dyDescent="0.25">
      <c r="A110" s="143"/>
      <c r="B110" s="143"/>
      <c r="C110" s="143"/>
      <c r="D110" s="143"/>
      <c r="E110" s="143"/>
      <c r="F110" s="23"/>
      <c r="G110" s="26"/>
      <c r="H110" s="17"/>
    </row>
    <row r="111" spans="1:8" ht="15.6" x14ac:dyDescent="0.25">
      <c r="A111" s="143"/>
      <c r="B111" s="143"/>
      <c r="C111" s="143"/>
      <c r="D111" s="143"/>
      <c r="E111" s="143"/>
      <c r="F111" s="22" t="s">
        <v>84</v>
      </c>
      <c r="G111" s="49">
        <v>17.14</v>
      </c>
      <c r="H111" s="3" t="s">
        <v>9</v>
      </c>
    </row>
    <row r="112" spans="1:8" ht="15.6" x14ac:dyDescent="0.25">
      <c r="A112" s="143"/>
      <c r="B112" s="143"/>
      <c r="C112" s="143"/>
      <c r="D112" s="143"/>
      <c r="E112" s="143"/>
      <c r="F112" s="22" t="s">
        <v>86</v>
      </c>
      <c r="G112" s="49">
        <v>6.21</v>
      </c>
      <c r="H112" s="3" t="s">
        <v>34</v>
      </c>
    </row>
    <row r="113" spans="1:8" ht="15.6" x14ac:dyDescent="0.25">
      <c r="A113" s="143"/>
      <c r="B113" s="143"/>
      <c r="C113" s="143"/>
      <c r="D113" s="143"/>
      <c r="E113" s="143"/>
      <c r="F113" s="22" t="s">
        <v>85</v>
      </c>
      <c r="G113" s="141">
        <v>8506</v>
      </c>
      <c r="H113" s="3" t="s">
        <v>90</v>
      </c>
    </row>
    <row r="114" spans="1:8" ht="15.6" x14ac:dyDescent="0.25">
      <c r="A114" s="143"/>
      <c r="B114" s="143"/>
      <c r="C114" s="143"/>
      <c r="D114" s="143"/>
      <c r="E114" s="143"/>
      <c r="F114" s="23" t="s">
        <v>88</v>
      </c>
      <c r="G114" s="149">
        <f>f.p_imon/1000</f>
        <v>1.4952637482280802</v>
      </c>
      <c r="H114" s="1" t="s">
        <v>8</v>
      </c>
    </row>
    <row r="115" spans="1:8" ht="15.6" x14ac:dyDescent="0.25">
      <c r="A115" s="143"/>
      <c r="B115" s="143"/>
      <c r="C115" s="143"/>
      <c r="D115" s="143"/>
      <c r="E115" s="143"/>
      <c r="F115" s="23" t="s">
        <v>87</v>
      </c>
      <c r="G115" s="157">
        <f>IF(f.z_imon/1000&lt;=2000,f.z_imon/1000,"&gt;2000")</f>
        <v>3.0130285262907708</v>
      </c>
      <c r="H115" s="1" t="s">
        <v>8</v>
      </c>
    </row>
    <row r="116" spans="1:8" x14ac:dyDescent="0.25">
      <c r="A116" s="143"/>
      <c r="B116" s="143"/>
      <c r="C116" s="143"/>
      <c r="D116" s="143"/>
      <c r="E116" s="143"/>
    </row>
    <row r="117" spans="1:8" x14ac:dyDescent="0.25">
      <c r="A117" s="143"/>
      <c r="B117" s="143"/>
      <c r="C117" s="143"/>
      <c r="D117" s="143"/>
      <c r="E117" s="143"/>
    </row>
    <row r="118" spans="1:8" x14ac:dyDescent="0.25">
      <c r="A118" s="146"/>
      <c r="B118" s="143"/>
      <c r="C118" s="143"/>
      <c r="D118" s="143"/>
      <c r="E118" s="143"/>
    </row>
    <row r="119" spans="1:8" ht="15.6" x14ac:dyDescent="0.25">
      <c r="A119" s="143"/>
      <c r="B119" s="144" t="s">
        <v>53</v>
      </c>
      <c r="C119" s="143"/>
      <c r="D119" s="143"/>
      <c r="E119" s="143"/>
    </row>
    <row r="120" spans="1:8" x14ac:dyDescent="0.25">
      <c r="A120" s="143"/>
      <c r="B120" s="143"/>
      <c r="C120" s="143"/>
      <c r="D120" s="143"/>
      <c r="E120" s="145" t="s">
        <v>147</v>
      </c>
    </row>
    <row r="121" spans="1:8" ht="15.6" x14ac:dyDescent="0.35">
      <c r="A121" s="146"/>
      <c r="B121" s="143"/>
      <c r="C121" s="143"/>
      <c r="D121" s="143"/>
      <c r="E121" s="143"/>
      <c r="F121" s="20" t="s">
        <v>58</v>
      </c>
      <c r="G121" s="43">
        <v>3.9</v>
      </c>
      <c r="H121" s="3" t="s">
        <v>18</v>
      </c>
    </row>
    <row r="122" spans="1:8" ht="15.6" x14ac:dyDescent="0.35">
      <c r="A122" s="143"/>
      <c r="B122" s="143"/>
      <c r="C122" s="143"/>
      <c r="D122" s="143"/>
      <c r="E122" s="143"/>
      <c r="F122" s="20" t="s">
        <v>28</v>
      </c>
      <c r="G122" s="43">
        <v>1</v>
      </c>
      <c r="H122" s="3" t="s">
        <v>24</v>
      </c>
    </row>
    <row r="123" spans="1:8" x14ac:dyDescent="0.25">
      <c r="A123" s="143"/>
      <c r="B123" s="143"/>
      <c r="C123" s="143"/>
      <c r="D123" s="143"/>
      <c r="E123" s="145" t="s">
        <v>373</v>
      </c>
      <c r="F123" s="28" t="s">
        <v>94</v>
      </c>
      <c r="G123" s="28" t="s">
        <v>95</v>
      </c>
    </row>
    <row r="124" spans="1:8" ht="15.6" x14ac:dyDescent="0.25">
      <c r="A124" s="143"/>
      <c r="B124" s="143"/>
      <c r="C124" s="143"/>
      <c r="D124" s="143"/>
      <c r="E124" s="2" t="s">
        <v>466</v>
      </c>
      <c r="F124" s="43">
        <v>0.5</v>
      </c>
      <c r="G124" s="43">
        <v>0.5</v>
      </c>
      <c r="H124" s="3" t="s">
        <v>18</v>
      </c>
    </row>
    <row r="125" spans="1:8" ht="15.6" x14ac:dyDescent="0.25">
      <c r="A125" s="143"/>
      <c r="B125" s="143"/>
      <c r="C125" s="143"/>
      <c r="D125" s="143"/>
      <c r="E125" s="2" t="s">
        <v>467</v>
      </c>
      <c r="F125" s="48">
        <v>11</v>
      </c>
      <c r="G125" s="48">
        <v>11</v>
      </c>
      <c r="H125" s="3" t="s">
        <v>89</v>
      </c>
    </row>
    <row r="126" spans="1:8" ht="15.6" x14ac:dyDescent="0.25">
      <c r="A126" s="143"/>
      <c r="B126" s="143"/>
      <c r="C126" s="143"/>
      <c r="D126" s="143"/>
      <c r="E126" s="2" t="s">
        <v>468</v>
      </c>
      <c r="F126" s="48">
        <v>3</v>
      </c>
      <c r="G126" s="48">
        <v>3</v>
      </c>
      <c r="H126" s="3" t="s">
        <v>89</v>
      </c>
    </row>
    <row r="127" spans="1:8" ht="15.6" x14ac:dyDescent="0.25">
      <c r="A127" s="143"/>
      <c r="B127" s="143"/>
      <c r="C127" s="143"/>
      <c r="D127" s="143"/>
      <c r="E127" s="2" t="s">
        <v>469</v>
      </c>
      <c r="F127" s="48">
        <v>5</v>
      </c>
      <c r="G127" s="48">
        <v>5</v>
      </c>
      <c r="H127" s="3" t="s">
        <v>89</v>
      </c>
    </row>
    <row r="128" spans="1:8" ht="15.6" x14ac:dyDescent="0.25">
      <c r="A128" s="143"/>
      <c r="B128" s="143"/>
      <c r="C128" s="143"/>
      <c r="D128" s="143"/>
      <c r="E128" s="2" t="s">
        <v>470</v>
      </c>
      <c r="F128" s="24"/>
      <c r="G128" s="48">
        <v>7</v>
      </c>
      <c r="H128" s="3" t="s">
        <v>89</v>
      </c>
    </row>
    <row r="129" spans="1:8" ht="15.6" x14ac:dyDescent="0.25">
      <c r="A129" s="143"/>
      <c r="B129" s="143"/>
      <c r="C129" s="143"/>
      <c r="D129" s="143"/>
      <c r="E129" s="2" t="s">
        <v>471</v>
      </c>
      <c r="F129" s="48">
        <v>150</v>
      </c>
      <c r="G129" s="48">
        <v>150</v>
      </c>
      <c r="H129" s="3" t="s">
        <v>47</v>
      </c>
    </row>
    <row r="130" spans="1:8" ht="15.6" x14ac:dyDescent="0.25">
      <c r="A130" s="143"/>
      <c r="B130" s="143"/>
      <c r="C130" s="143"/>
      <c r="D130" s="143"/>
      <c r="E130" s="2" t="s">
        <v>472</v>
      </c>
      <c r="F130" s="43">
        <v>1</v>
      </c>
      <c r="G130" s="43">
        <v>1</v>
      </c>
      <c r="H130" s="3" t="s">
        <v>90</v>
      </c>
    </row>
    <row r="131" spans="1:8" ht="15.6" x14ac:dyDescent="0.25">
      <c r="A131" s="143"/>
      <c r="B131" s="143"/>
      <c r="C131" s="143"/>
      <c r="D131" s="143"/>
      <c r="E131" s="2" t="s">
        <v>473</v>
      </c>
      <c r="F131" s="48">
        <v>52</v>
      </c>
      <c r="G131" s="48">
        <v>52</v>
      </c>
      <c r="H131" s="3" t="s">
        <v>91</v>
      </c>
    </row>
    <row r="132" spans="1:8" ht="15.6" x14ac:dyDescent="0.25">
      <c r="A132" s="143"/>
      <c r="B132" s="143"/>
      <c r="C132" s="143"/>
      <c r="D132" s="143"/>
      <c r="E132" s="2" t="s">
        <v>474</v>
      </c>
      <c r="F132" s="43">
        <v>3.1</v>
      </c>
      <c r="G132" s="43">
        <v>3.1</v>
      </c>
      <c r="H132" s="3" t="s">
        <v>6</v>
      </c>
    </row>
    <row r="133" spans="1:8" ht="15.6" x14ac:dyDescent="0.25">
      <c r="A133" s="143"/>
      <c r="B133" s="143"/>
      <c r="C133" s="143"/>
      <c r="D133" s="143"/>
      <c r="E133" s="2" t="s">
        <v>475</v>
      </c>
      <c r="F133" s="43">
        <v>0.8</v>
      </c>
      <c r="G133" s="43">
        <v>0.8</v>
      </c>
      <c r="H133" s="3" t="s">
        <v>6</v>
      </c>
    </row>
    <row r="134" spans="1:8" ht="15.6" x14ac:dyDescent="0.25">
      <c r="A134" s="143"/>
      <c r="B134" s="143"/>
      <c r="C134" s="143"/>
      <c r="D134" s="143"/>
      <c r="E134" s="2" t="s">
        <v>476</v>
      </c>
      <c r="F134" s="24"/>
      <c r="G134" s="48">
        <v>41</v>
      </c>
      <c r="H134" s="3" t="s">
        <v>89</v>
      </c>
    </row>
    <row r="135" spans="1:8" ht="15.6" x14ac:dyDescent="0.25">
      <c r="A135" s="143"/>
      <c r="B135" s="143"/>
      <c r="C135" s="143"/>
      <c r="D135" s="143"/>
      <c r="E135" s="2" t="s">
        <v>477</v>
      </c>
      <c r="F135" s="48">
        <v>62</v>
      </c>
      <c r="G135" s="48">
        <v>62</v>
      </c>
      <c r="H135" s="3" t="s">
        <v>92</v>
      </c>
    </row>
    <row r="136" spans="1:8" x14ac:dyDescent="0.25">
      <c r="A136" s="143"/>
      <c r="B136" s="143"/>
      <c r="C136" s="143"/>
      <c r="D136" s="143"/>
      <c r="E136" s="2" t="s">
        <v>93</v>
      </c>
      <c r="G136" s="28" t="s">
        <v>95</v>
      </c>
    </row>
    <row r="137" spans="1:8" ht="15.6" x14ac:dyDescent="0.25">
      <c r="A137" s="143"/>
      <c r="B137" s="143"/>
      <c r="C137" s="143"/>
      <c r="D137" s="143"/>
      <c r="E137" s="2" t="s">
        <v>478</v>
      </c>
      <c r="G137" s="43">
        <v>0</v>
      </c>
      <c r="H137" s="27" t="s">
        <v>6</v>
      </c>
    </row>
    <row r="138" spans="1:8" ht="15.6" x14ac:dyDescent="0.25">
      <c r="A138" s="143"/>
      <c r="B138" s="143"/>
      <c r="C138" s="143"/>
      <c r="D138" s="143"/>
      <c r="E138" s="2" t="s">
        <v>479</v>
      </c>
      <c r="G138" s="48">
        <v>0</v>
      </c>
      <c r="H138" s="27" t="s">
        <v>89</v>
      </c>
    </row>
    <row r="139" spans="1:8" x14ac:dyDescent="0.25">
      <c r="A139" s="143"/>
      <c r="B139" s="143"/>
      <c r="C139" s="143"/>
      <c r="D139" s="143"/>
      <c r="E139" s="143"/>
    </row>
    <row r="140" spans="1:8" x14ac:dyDescent="0.25">
      <c r="A140" s="143"/>
      <c r="B140" s="143"/>
      <c r="C140" s="143"/>
      <c r="D140" s="143"/>
      <c r="E140" s="143"/>
    </row>
    <row r="141" spans="1:8" ht="15.6" x14ac:dyDescent="0.25">
      <c r="A141" s="143"/>
      <c r="B141" s="144" t="s">
        <v>54</v>
      </c>
      <c r="C141" s="143"/>
      <c r="D141" s="143"/>
      <c r="E141" s="143"/>
    </row>
    <row r="142" spans="1:8" ht="15.6" x14ac:dyDescent="0.25">
      <c r="A142" s="143"/>
      <c r="B142" s="143"/>
      <c r="C142" s="143"/>
      <c r="D142" s="143"/>
      <c r="E142" s="143"/>
      <c r="F142" s="22" t="s">
        <v>359</v>
      </c>
      <c r="G142" s="162" t="s">
        <v>97</v>
      </c>
    </row>
    <row r="143" spans="1:8" ht="15.6" x14ac:dyDescent="0.25">
      <c r="A143" s="143"/>
      <c r="B143" s="143"/>
      <c r="C143" s="143"/>
      <c r="D143" s="143"/>
      <c r="E143" s="143"/>
      <c r="F143" s="22" t="s">
        <v>325</v>
      </c>
      <c r="G143" s="162">
        <v>105</v>
      </c>
      <c r="H143" s="1" t="s">
        <v>96</v>
      </c>
    </row>
    <row r="144" spans="1:8" ht="15.6" x14ac:dyDescent="0.35">
      <c r="A144" s="143"/>
      <c r="B144" s="143"/>
      <c r="C144" s="143"/>
      <c r="D144" s="143"/>
      <c r="E144" s="143"/>
      <c r="F144" s="19" t="s">
        <v>98</v>
      </c>
      <c r="G144" s="147">
        <f>Efficiency!AY112</f>
        <v>4.4336E-2</v>
      </c>
      <c r="H144" s="1" t="s">
        <v>24</v>
      </c>
    </row>
    <row r="145" spans="1:8" ht="15.6" x14ac:dyDescent="0.35">
      <c r="A145" s="143"/>
      <c r="B145" s="143"/>
      <c r="C145" s="143"/>
      <c r="D145" s="143"/>
      <c r="E145" s="143"/>
      <c r="F145" s="19" t="s">
        <v>324</v>
      </c>
      <c r="G145" s="29">
        <f>G143+G144*44.8</f>
        <v>106.9862528</v>
      </c>
      <c r="H145" s="1" t="s">
        <v>96</v>
      </c>
    </row>
    <row r="146" spans="1:8" x14ac:dyDescent="0.25">
      <c r="A146" s="143"/>
      <c r="B146" s="143"/>
      <c r="C146" s="143"/>
      <c r="D146" s="143"/>
      <c r="E146" s="143"/>
      <c r="F146" s="19" t="s">
        <v>498</v>
      </c>
      <c r="G146" s="1">
        <f>IVCC*1000</f>
        <v>10.34</v>
      </c>
      <c r="H146" s="1" t="s">
        <v>499</v>
      </c>
    </row>
    <row r="147" spans="1:8" x14ac:dyDescent="0.25">
      <c r="A147" s="143"/>
      <c r="B147" s="143"/>
      <c r="C147" s="143"/>
      <c r="D147" s="143"/>
      <c r="E147" s="143"/>
    </row>
    <row r="148" spans="1:8" ht="15.6" x14ac:dyDescent="0.25">
      <c r="A148" s="143"/>
      <c r="B148" s="144" t="s">
        <v>55</v>
      </c>
      <c r="C148" s="143"/>
      <c r="D148" s="143"/>
      <c r="E148" s="143"/>
    </row>
    <row r="149" spans="1:8" x14ac:dyDescent="0.25">
      <c r="A149" s="143"/>
      <c r="B149" s="143"/>
      <c r="C149" s="143"/>
      <c r="D149" s="143"/>
      <c r="E149" s="143"/>
      <c r="F149" s="22" t="s">
        <v>99</v>
      </c>
      <c r="G149" s="162">
        <v>50</v>
      </c>
      <c r="H149" s="27" t="s">
        <v>41</v>
      </c>
    </row>
    <row r="150" spans="1:8" ht="15.6" x14ac:dyDescent="0.35">
      <c r="A150" s="143"/>
      <c r="B150" s="143"/>
      <c r="C150" s="143"/>
      <c r="D150" s="143"/>
      <c r="E150" s="143"/>
      <c r="F150" s="19" t="s">
        <v>103</v>
      </c>
      <c r="G150" s="29">
        <f>Calc!C229*1000000</f>
        <v>106.38297872340425</v>
      </c>
      <c r="H150" s="1" t="s">
        <v>33</v>
      </c>
    </row>
    <row r="151" spans="1:8" x14ac:dyDescent="0.25">
      <c r="A151" s="143"/>
      <c r="B151" s="143"/>
      <c r="C151" s="143"/>
      <c r="D151" s="143"/>
      <c r="E151" s="143"/>
      <c r="F151" s="19" t="s">
        <v>100</v>
      </c>
      <c r="G151" s="29">
        <f>Calc!C232</f>
        <v>5</v>
      </c>
      <c r="H151" s="1" t="s">
        <v>101</v>
      </c>
    </row>
    <row r="152" spans="1:8" x14ac:dyDescent="0.25">
      <c r="A152" s="143"/>
      <c r="B152" s="143"/>
      <c r="C152" s="143"/>
      <c r="D152" s="143"/>
      <c r="E152" s="143"/>
      <c r="F152" s="19" t="s">
        <v>102</v>
      </c>
      <c r="G152" s="30">
        <f>Calc!C234*1000</f>
        <v>5</v>
      </c>
      <c r="H152" s="1" t="s">
        <v>18</v>
      </c>
    </row>
    <row r="153" spans="1:8" x14ac:dyDescent="0.25">
      <c r="A153" s="143"/>
      <c r="B153" s="143"/>
      <c r="C153" s="143"/>
      <c r="D153" s="143"/>
      <c r="E153" s="143"/>
    </row>
  </sheetData>
  <sheetProtection algorithmName="SHA-512" hashValue="xiaVwYnrtR4Ym4JZhSYMefv44Mzx6OBot6HSRBU6BGIFTR/WrUZr/A2woEwhsPYGcUn8mDx4jadRM1FbMBMUSA==" saltValue="Er7KSrJ2H/oNhNln+l0GKw==" spinCount="100000" sheet="1" selectLockedCells="1"/>
  <mergeCells count="1">
    <mergeCell ref="K3:L3"/>
  </mergeCells>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xr:uid="{B6642219-9899-4353-ACFD-B670B24BAF27}"/>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274320</xdr:colOff>
                    <xdr:row>1</xdr:row>
                    <xdr:rowOff>350520</xdr:rowOff>
                  </from>
                  <to>
                    <xdr:col>14</xdr:col>
                    <xdr:colOff>213360</xdr:colOff>
                    <xdr:row>2</xdr:row>
                    <xdr:rowOff>68580</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137160</xdr:colOff>
                    <xdr:row>148</xdr:row>
                    <xdr:rowOff>99060</xdr:rowOff>
                  </from>
                  <to>
                    <xdr:col>12</xdr:col>
                    <xdr:colOff>472440</xdr:colOff>
                    <xdr:row>151</xdr:row>
                    <xdr:rowOff>30480</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525780</xdr:colOff>
                    <xdr:row>148</xdr:row>
                    <xdr:rowOff>83820</xdr:rowOff>
                  </from>
                  <to>
                    <xdr:col>10</xdr:col>
                    <xdr:colOff>327660</xdr:colOff>
                    <xdr:row>150</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6A854C42-F114-42A2-B0F3-D99355FF6D3B}">
          <x14:formula1>
            <xm:f>STD_VAL!$C$7:$C$8</xm:f>
          </x14:formula1>
          <xm:sqref>G13</xm:sqref>
        </x14:dataValidation>
        <x14:dataValidation type="list" allowBlank="1" showInputMessage="1" showErrorMessage="1" xr:uid="{D5C8AFE5-3A84-47C0-B7C8-81BD418A2261}">
          <x14:formula1>
            <xm:f>STD_VAL!$C$3:$C$4</xm:f>
          </x14:formula1>
          <xm:sqref>G14</xm:sqref>
        </x14:dataValidation>
        <x14:dataValidation type="list" allowBlank="1" showInputMessage="1" showErrorMessage="1" xr:uid="{0E6F8022-9320-405F-B98F-8C9811E3D42B}">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D28-89D7-4D5C-877A-122BA4DF9367}">
  <sheetPr codeName="Sheet2">
    <tabColor rgb="FFFFFF00"/>
  </sheetPr>
  <dimension ref="A1"/>
  <sheetViews>
    <sheetView zoomScaleNormal="100" workbookViewId="0">
      <selection activeCell="G25" sqref="G25"/>
    </sheetView>
  </sheetViews>
  <sheetFormatPr defaultRowHeight="14.4" x14ac:dyDescent="0.3"/>
  <cols>
    <col min="1" max="16384" width="8.88671875" style="3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50B-727E-45C7-8BF7-7A1993FA736A}">
  <sheetPr codeName="Sheet3"/>
  <dimension ref="A1:X247"/>
  <sheetViews>
    <sheetView topLeftCell="A162" zoomScaleNormal="100" workbookViewId="0">
      <selection activeCell="D196" sqref="D195:D196"/>
    </sheetView>
  </sheetViews>
  <sheetFormatPr defaultRowHeight="13.2" x14ac:dyDescent="0.25"/>
  <cols>
    <col min="1" max="1" width="41.6640625" bestFit="1" customWidth="1"/>
    <col min="2" max="2" width="19" customWidth="1"/>
    <col min="3" max="3" width="12.33203125" bestFit="1" customWidth="1"/>
    <col min="4" max="4" width="31" bestFit="1" customWidth="1"/>
    <col min="5" max="5" width="12" bestFit="1" customWidth="1"/>
    <col min="6" max="6" width="11.21875" customWidth="1"/>
    <col min="19" max="19" width="10.88671875" bestFit="1" customWidth="1"/>
    <col min="20" max="20" width="8.33203125" bestFit="1" customWidth="1"/>
    <col min="21" max="21" width="15.5546875" bestFit="1" customWidth="1"/>
    <col min="22" max="22" width="15.5546875" style="58" bestFit="1" customWidth="1"/>
    <col min="23" max="23" width="12.88671875" style="58" customWidth="1"/>
    <col min="24" max="24" width="7.44140625" bestFit="1" customWidth="1"/>
    <col min="25" max="25" width="11.33203125" bestFit="1" customWidth="1"/>
  </cols>
  <sheetData>
    <row r="1" spans="1:7" ht="25.8" x14ac:dyDescent="0.5">
      <c r="A1" s="35" t="s">
        <v>106</v>
      </c>
      <c r="G1" s="36"/>
    </row>
    <row r="2" spans="1:7" x14ac:dyDescent="0.25">
      <c r="C2" s="46"/>
      <c r="D2" t="s">
        <v>107</v>
      </c>
      <c r="G2" s="36"/>
    </row>
    <row r="3" spans="1:7" x14ac:dyDescent="0.25">
      <c r="C3" s="37"/>
      <c r="D3" t="s">
        <v>108</v>
      </c>
      <c r="G3" s="36"/>
    </row>
    <row r="4" spans="1:7" x14ac:dyDescent="0.25">
      <c r="C4" s="38"/>
      <c r="D4" t="s">
        <v>109</v>
      </c>
      <c r="G4" s="36"/>
    </row>
    <row r="5" spans="1:7" x14ac:dyDescent="0.25">
      <c r="C5" s="39"/>
      <c r="G5" s="36"/>
    </row>
    <row r="6" spans="1:7" x14ac:dyDescent="0.25">
      <c r="A6" s="40" t="s">
        <v>110</v>
      </c>
      <c r="G6" s="36"/>
    </row>
    <row r="7" spans="1:7" ht="14.4" x14ac:dyDescent="0.3">
      <c r="B7" s="32" t="s">
        <v>111</v>
      </c>
      <c r="C7" s="32" t="s">
        <v>112</v>
      </c>
      <c r="D7" s="32" t="s">
        <v>113</v>
      </c>
      <c r="E7" s="32" t="s">
        <v>114</v>
      </c>
      <c r="F7" s="32" t="s">
        <v>105</v>
      </c>
      <c r="G7" s="41" t="s">
        <v>115</v>
      </c>
    </row>
    <row r="8" spans="1:7" x14ac:dyDescent="0.25">
      <c r="B8" s="38" t="s">
        <v>116</v>
      </c>
      <c r="C8" s="39"/>
      <c r="D8" s="39"/>
      <c r="F8">
        <v>3.1415920000000002</v>
      </c>
      <c r="G8" s="36"/>
    </row>
    <row r="9" spans="1:7" x14ac:dyDescent="0.25">
      <c r="B9" s="38" t="s">
        <v>334</v>
      </c>
      <c r="C9" s="39"/>
      <c r="D9" s="39"/>
      <c r="F9">
        <v>7</v>
      </c>
      <c r="G9" s="36"/>
    </row>
    <row r="10" spans="1:7" x14ac:dyDescent="0.25">
      <c r="B10" s="38" t="s">
        <v>358</v>
      </c>
      <c r="C10" s="39"/>
      <c r="D10" s="39"/>
      <c r="F10">
        <f>124*10^-6</f>
        <v>1.2400000000000001E-4</v>
      </c>
      <c r="G10" s="36"/>
    </row>
    <row r="11" spans="1:7" x14ac:dyDescent="0.25">
      <c r="A11" s="40" t="s">
        <v>140</v>
      </c>
    </row>
    <row r="12" spans="1:7" x14ac:dyDescent="0.25">
      <c r="B12" s="42" t="s">
        <v>111</v>
      </c>
      <c r="C12" s="42" t="s">
        <v>112</v>
      </c>
      <c r="D12" s="42" t="s">
        <v>113</v>
      </c>
      <c r="E12" s="42" t="s">
        <v>114</v>
      </c>
      <c r="F12" s="42" t="s">
        <v>105</v>
      </c>
      <c r="G12" s="42" t="s">
        <v>115</v>
      </c>
    </row>
    <row r="13" spans="1:7" x14ac:dyDescent="0.25">
      <c r="A13" t="s">
        <v>117</v>
      </c>
      <c r="B13" s="46" t="s">
        <v>118</v>
      </c>
      <c r="C13">
        <f>Design!G7</f>
        <v>24</v>
      </c>
      <c r="E13">
        <v>1</v>
      </c>
      <c r="F13">
        <f>C13*E13</f>
        <v>24</v>
      </c>
    </row>
    <row r="14" spans="1:7" x14ac:dyDescent="0.25">
      <c r="B14" s="46" t="s">
        <v>119</v>
      </c>
      <c r="C14">
        <f>Design!G8</f>
        <v>24</v>
      </c>
      <c r="E14">
        <v>1</v>
      </c>
      <c r="F14">
        <f t="shared" ref="F14:F24" si="0">C14*E14</f>
        <v>24</v>
      </c>
    </row>
    <row r="15" spans="1:7" x14ac:dyDescent="0.25">
      <c r="A15" t="s">
        <v>120</v>
      </c>
      <c r="B15" s="46" t="s">
        <v>121</v>
      </c>
      <c r="C15">
        <f>Design!G9</f>
        <v>24</v>
      </c>
      <c r="E15">
        <v>1</v>
      </c>
      <c r="F15">
        <f t="shared" si="0"/>
        <v>24</v>
      </c>
    </row>
    <row r="16" spans="1:7" x14ac:dyDescent="0.25">
      <c r="A16" t="s">
        <v>122</v>
      </c>
      <c r="B16" s="46" t="s">
        <v>123</v>
      </c>
      <c r="C16">
        <f>Design!G10</f>
        <v>4</v>
      </c>
      <c r="E16">
        <v>1</v>
      </c>
      <c r="F16">
        <f t="shared" si="0"/>
        <v>4</v>
      </c>
    </row>
    <row r="17" spans="1:6" x14ac:dyDescent="0.25">
      <c r="A17" t="s">
        <v>124</v>
      </c>
      <c r="B17" s="46" t="s">
        <v>129</v>
      </c>
      <c r="C17">
        <f>Design!G11</f>
        <v>10</v>
      </c>
      <c r="E17">
        <v>1</v>
      </c>
      <c r="F17">
        <f t="shared" si="0"/>
        <v>10</v>
      </c>
    </row>
    <row r="18" spans="1:6" x14ac:dyDescent="0.25">
      <c r="A18" t="s">
        <v>125</v>
      </c>
      <c r="B18" s="46" t="s">
        <v>126</v>
      </c>
      <c r="C18">
        <f>Design!G12</f>
        <v>470</v>
      </c>
      <c r="D18" t="s">
        <v>8</v>
      </c>
      <c r="E18">
        <v>1000</v>
      </c>
      <c r="F18">
        <f t="shared" si="0"/>
        <v>470000</v>
      </c>
    </row>
    <row r="19" spans="1:6" x14ac:dyDescent="0.25">
      <c r="A19" t="s">
        <v>128</v>
      </c>
      <c r="B19" s="46" t="s">
        <v>16</v>
      </c>
      <c r="C19">
        <f>IF(Design!G13=STD_VAL!C7,STD_VAL!D7,IF(Design!G13=STD_VAL!C8,STD_VAL!D8,444))</f>
        <v>1</v>
      </c>
      <c r="E19">
        <v>1</v>
      </c>
      <c r="F19">
        <f t="shared" si="0"/>
        <v>1</v>
      </c>
    </row>
    <row r="20" spans="1:6" x14ac:dyDescent="0.25">
      <c r="B20" s="46" t="s">
        <v>138</v>
      </c>
      <c r="C20">
        <f>IF(Design!G14=STD_VAL!C3,STD_VAL!D3,IF(Design!G14=STD_VAL!C4,STD_VAL!D4,444))</f>
        <v>1</v>
      </c>
      <c r="E20">
        <v>1</v>
      </c>
      <c r="F20">
        <f t="shared" si="0"/>
        <v>1</v>
      </c>
    </row>
    <row r="21" spans="1:6" x14ac:dyDescent="0.25">
      <c r="B21" t="s">
        <v>127</v>
      </c>
      <c r="C21">
        <f>V.load*I.load</f>
        <v>40</v>
      </c>
      <c r="E21">
        <v>1</v>
      </c>
      <c r="F21">
        <f t="shared" si="0"/>
        <v>40</v>
      </c>
    </row>
    <row r="22" spans="1:6" x14ac:dyDescent="0.25">
      <c r="B22" t="s">
        <v>135</v>
      </c>
      <c r="C22">
        <f>C16/C17</f>
        <v>0.4</v>
      </c>
      <c r="E22">
        <v>1</v>
      </c>
      <c r="F22">
        <f t="shared" si="0"/>
        <v>0.4</v>
      </c>
    </row>
    <row r="23" spans="1:6" x14ac:dyDescent="0.25">
      <c r="B23" s="39" t="s">
        <v>136</v>
      </c>
      <c r="C23">
        <f>(10^6/(f.sw/1000)-59)/41*1000</f>
        <v>50455.111572392314</v>
      </c>
      <c r="E23">
        <v>1</v>
      </c>
      <c r="F23">
        <f t="shared" si="0"/>
        <v>50455.111572392314</v>
      </c>
    </row>
    <row r="24" spans="1:6" x14ac:dyDescent="0.25">
      <c r="B24" s="45" t="s">
        <v>137</v>
      </c>
      <c r="C24">
        <f>IF(ISNUMBER(R.t_calc/1000),INDEX(STD_VAL!$A$1:$A$769,MATCH(R.t_calc/1000,STD_VAL!$A$1:$A$769)),R.t_calc/1000)</f>
        <v>49.900000000000006</v>
      </c>
      <c r="E24">
        <v>1000</v>
      </c>
      <c r="F24">
        <f t="shared" si="0"/>
        <v>49900.000000000007</v>
      </c>
    </row>
    <row r="25" spans="1:6" x14ac:dyDescent="0.25">
      <c r="B25" s="39" t="s">
        <v>491</v>
      </c>
      <c r="F25">
        <f>IF(DEVICE=0,42,80)</f>
        <v>80</v>
      </c>
    </row>
    <row r="27" spans="1:6" x14ac:dyDescent="0.25">
      <c r="A27" s="40" t="s">
        <v>139</v>
      </c>
    </row>
    <row r="28" spans="1:6" x14ac:dyDescent="0.25">
      <c r="A28" s="39"/>
      <c r="B28" s="38" t="s">
        <v>144</v>
      </c>
      <c r="C28">
        <v>0.06</v>
      </c>
      <c r="E28">
        <v>1</v>
      </c>
      <c r="F28">
        <f t="shared" ref="F28:F34" si="1">C28*E28</f>
        <v>0.06</v>
      </c>
    </row>
    <row r="29" spans="1:6" x14ac:dyDescent="0.25">
      <c r="A29" s="39"/>
      <c r="B29" s="38" t="s">
        <v>145</v>
      </c>
      <c r="C29">
        <f>C28*0.9</f>
        <v>5.3999999999999999E-2</v>
      </c>
      <c r="E29">
        <v>1</v>
      </c>
      <c r="F29">
        <f t="shared" si="1"/>
        <v>5.3999999999999999E-2</v>
      </c>
    </row>
    <row r="30" spans="1:6" x14ac:dyDescent="0.25">
      <c r="A30" s="39"/>
      <c r="B30" s="38" t="s">
        <v>146</v>
      </c>
      <c r="C30">
        <f>C28*1.1</f>
        <v>6.6000000000000003E-2</v>
      </c>
      <c r="E30">
        <v>1</v>
      </c>
      <c r="F30">
        <f t="shared" si="1"/>
        <v>6.6000000000000003E-2</v>
      </c>
    </row>
    <row r="31" spans="1:6" x14ac:dyDescent="0.25">
      <c r="A31" s="39"/>
      <c r="B31" s="46" t="s">
        <v>167</v>
      </c>
      <c r="C31">
        <f>Design!G19</f>
        <v>12</v>
      </c>
      <c r="E31">
        <v>1</v>
      </c>
      <c r="F31">
        <f t="shared" si="1"/>
        <v>12</v>
      </c>
    </row>
    <row r="32" spans="1:6" x14ac:dyDescent="0.25">
      <c r="A32" s="39"/>
      <c r="B32" s="37" t="s">
        <v>141</v>
      </c>
      <c r="C32">
        <f>V.pcl_min/I.peakcl</f>
        <v>4.4999999999999997E-3</v>
      </c>
      <c r="E32">
        <v>1</v>
      </c>
      <c r="F32">
        <f t="shared" si="1"/>
        <v>4.4999999999999997E-3</v>
      </c>
    </row>
    <row r="33" spans="1:6" x14ac:dyDescent="0.25">
      <c r="A33" s="39"/>
      <c r="B33" s="46" t="s">
        <v>142</v>
      </c>
      <c r="C33">
        <f>Design!G21</f>
        <v>4</v>
      </c>
      <c r="E33">
        <v>1E-3</v>
      </c>
      <c r="F33">
        <f t="shared" si="1"/>
        <v>4.0000000000000001E-3</v>
      </c>
    </row>
    <row r="34" spans="1:6" x14ac:dyDescent="0.25">
      <c r="B34" s="37" t="s">
        <v>143</v>
      </c>
      <c r="C34" s="47">
        <f>I.peakcl^2*R.s</f>
        <v>0.57600000000000007</v>
      </c>
      <c r="E34">
        <v>1</v>
      </c>
      <c r="F34">
        <f t="shared" si="1"/>
        <v>0.57600000000000007</v>
      </c>
    </row>
    <row r="37" spans="1:6" x14ac:dyDescent="0.25">
      <c r="A37" s="40" t="s">
        <v>147</v>
      </c>
    </row>
    <row r="38" spans="1:6" x14ac:dyDescent="0.25">
      <c r="B38" s="38" t="s">
        <v>149</v>
      </c>
      <c r="C38">
        <v>0.4</v>
      </c>
      <c r="E38">
        <v>1</v>
      </c>
      <c r="F38">
        <v>0.4</v>
      </c>
    </row>
    <row r="39" spans="1:6" x14ac:dyDescent="0.25">
      <c r="B39" s="45" t="s">
        <v>148</v>
      </c>
      <c r="C39">
        <f>(V.supply_typ-V.load)/RR.typ/I.load*(V.load/V.supply_typ/f.sw)</f>
        <v>1.7730496453900707E-6</v>
      </c>
      <c r="E39">
        <v>1</v>
      </c>
      <c r="F39">
        <f>C39*E39</f>
        <v>1.7730496453900707E-6</v>
      </c>
    </row>
    <row r="40" spans="1:6" x14ac:dyDescent="0.25">
      <c r="B40" s="38" t="s">
        <v>150</v>
      </c>
      <c r="C40">
        <v>0.45</v>
      </c>
      <c r="E40">
        <v>1</v>
      </c>
      <c r="F40">
        <f>C40*E40</f>
        <v>0.45</v>
      </c>
    </row>
    <row r="41" spans="1:6" x14ac:dyDescent="0.25">
      <c r="B41" s="38" t="s">
        <v>151</v>
      </c>
      <c r="C41">
        <f>V.slope_typ*0.9</f>
        <v>0.40500000000000003</v>
      </c>
      <c r="E41">
        <v>1</v>
      </c>
      <c r="F41">
        <f t="shared" ref="F41:F48" si="2">C41*E41</f>
        <v>0.40500000000000003</v>
      </c>
    </row>
    <row r="42" spans="1:6" x14ac:dyDescent="0.25">
      <c r="B42" s="38" t="s">
        <v>152</v>
      </c>
      <c r="C42">
        <f>V.slope_typ*1.1</f>
        <v>0.49500000000000005</v>
      </c>
      <c r="E42">
        <v>1</v>
      </c>
      <c r="F42">
        <f t="shared" si="2"/>
        <v>0.49500000000000005</v>
      </c>
    </row>
    <row r="43" spans="1:6" x14ac:dyDescent="0.25">
      <c r="B43" s="38" t="s">
        <v>153</v>
      </c>
      <c r="C43">
        <v>10</v>
      </c>
      <c r="E43">
        <v>1</v>
      </c>
      <c r="F43">
        <f t="shared" si="2"/>
        <v>10</v>
      </c>
    </row>
    <row r="44" spans="1:6" x14ac:dyDescent="0.25">
      <c r="B44" s="38" t="s">
        <v>154</v>
      </c>
      <c r="C44">
        <f>A.s_typ*0.9</f>
        <v>9</v>
      </c>
      <c r="E44">
        <v>1</v>
      </c>
      <c r="F44">
        <f t="shared" si="2"/>
        <v>9</v>
      </c>
    </row>
    <row r="45" spans="1:6" x14ac:dyDescent="0.25">
      <c r="B45" s="38" t="s">
        <v>155</v>
      </c>
      <c r="C45">
        <f>A.s_typ*1.1</f>
        <v>11</v>
      </c>
      <c r="E45">
        <v>1</v>
      </c>
      <c r="F45">
        <f t="shared" si="2"/>
        <v>11</v>
      </c>
    </row>
    <row r="46" spans="1:6" x14ac:dyDescent="0.25">
      <c r="B46" s="38" t="s">
        <v>156</v>
      </c>
      <c r="C46">
        <v>1.2</v>
      </c>
      <c r="E46">
        <v>1</v>
      </c>
      <c r="F46">
        <f t="shared" si="2"/>
        <v>1.2</v>
      </c>
    </row>
    <row r="47" spans="1:6" x14ac:dyDescent="0.25">
      <c r="B47" s="39" t="s">
        <v>157</v>
      </c>
      <c r="C47">
        <f>R.s*A.s_typ*V.load/f.sw/2*L.margin/V.slope_min</f>
        <v>5.0433412135539786E-7</v>
      </c>
      <c r="E47">
        <v>1</v>
      </c>
      <c r="F47">
        <f t="shared" si="2"/>
        <v>5.0433412135539786E-7</v>
      </c>
    </row>
    <row r="48" spans="1:6" x14ac:dyDescent="0.25">
      <c r="B48" s="39" t="s">
        <v>158</v>
      </c>
      <c r="C48">
        <f>(V.supply_max-V.load)/2/I.load*(V.load/V.supply_max/f.sw)</f>
        <v>3.5460992907801415E-7</v>
      </c>
      <c r="E48">
        <v>1</v>
      </c>
      <c r="F48">
        <f t="shared" si="2"/>
        <v>3.5460992907801415E-7</v>
      </c>
    </row>
    <row r="49" spans="2:8" x14ac:dyDescent="0.25">
      <c r="B49" s="38" t="s">
        <v>159</v>
      </c>
      <c r="C49">
        <f>0.03*0.95</f>
        <v>2.8499999999999998E-2</v>
      </c>
      <c r="E49">
        <v>1</v>
      </c>
      <c r="F49">
        <f t="shared" ref="F49:F57" si="3">C49*E49</f>
        <v>2.8499999999999998E-2</v>
      </c>
    </row>
    <row r="50" spans="2:8" x14ac:dyDescent="0.25">
      <c r="B50" s="39" t="s">
        <v>160</v>
      </c>
      <c r="C50">
        <f>(V.supply_max-V.load)/2*(V.load/V.supply_max/f.sw*R.s/V.ncl_max)</f>
        <v>4.9769814607440588E-7</v>
      </c>
      <c r="E50">
        <v>1</v>
      </c>
      <c r="F50">
        <f t="shared" si="3"/>
        <v>4.9769814607440588E-7</v>
      </c>
    </row>
    <row r="51" spans="2:8" x14ac:dyDescent="0.25">
      <c r="B51" s="39" t="s">
        <v>161</v>
      </c>
      <c r="C51">
        <f>(V.supply_min-V.load)/2*V.load/V.supply_min/f.sw/(V.pcl_min/R.s-I.load)</f>
        <v>1.0131712259371833E-6</v>
      </c>
      <c r="E51">
        <v>1</v>
      </c>
      <c r="F51">
        <f t="shared" si="3"/>
        <v>1.0131712259371833E-6</v>
      </c>
    </row>
    <row r="52" spans="2:8" x14ac:dyDescent="0.25">
      <c r="B52" s="37" t="s">
        <v>162</v>
      </c>
      <c r="C52">
        <f>IF(FPWM=0,MIN(C51,100,C48,C47),MIN(C51,C50,C48,C47))</f>
        <v>3.5460992907801415E-7</v>
      </c>
      <c r="E52">
        <v>1</v>
      </c>
      <c r="F52">
        <f t="shared" si="3"/>
        <v>3.5460992907801415E-7</v>
      </c>
    </row>
    <row r="53" spans="2:8" x14ac:dyDescent="0.25">
      <c r="B53" s="46" t="s">
        <v>163</v>
      </c>
      <c r="C53">
        <f>Design!G28</f>
        <v>3.3</v>
      </c>
      <c r="E53">
        <f>10^-6</f>
        <v>9.9999999999999995E-7</v>
      </c>
      <c r="F53">
        <f t="shared" si="3"/>
        <v>3.2999999999999997E-6</v>
      </c>
    </row>
    <row r="54" spans="2:8" x14ac:dyDescent="0.25">
      <c r="B54" s="37" t="s">
        <v>458</v>
      </c>
      <c r="C54">
        <f>I.load+0.5*(V.supply_min-V.load)/L.out*V.load/V.supply_min/f.sw</f>
        <v>11.07457554266065</v>
      </c>
      <c r="E54">
        <v>1</v>
      </c>
      <c r="F54">
        <f t="shared" si="3"/>
        <v>11.07457554266065</v>
      </c>
    </row>
    <row r="55" spans="2:8" x14ac:dyDescent="0.25">
      <c r="B55" s="37" t="s">
        <v>165</v>
      </c>
      <c r="C55">
        <f>I.load+0.5*(V.supply_max-V.load)/L.out*V.load/V.supply_max/f.sw</f>
        <v>11.07457554266065</v>
      </c>
      <c r="E55">
        <v>1</v>
      </c>
      <c r="F55">
        <f t="shared" si="3"/>
        <v>11.07457554266065</v>
      </c>
    </row>
    <row r="56" spans="2:8" x14ac:dyDescent="0.25">
      <c r="B56" s="38" t="s">
        <v>166</v>
      </c>
      <c r="C56">
        <f>75*10^-9</f>
        <v>7.500000000000001E-8</v>
      </c>
      <c r="E56">
        <v>1</v>
      </c>
      <c r="F56">
        <f t="shared" si="3"/>
        <v>7.500000000000001E-8</v>
      </c>
    </row>
    <row r="57" spans="2:8" x14ac:dyDescent="0.25">
      <c r="B57" s="37" t="s">
        <v>164</v>
      </c>
      <c r="C57">
        <f>V.pcl_max/R.s+t.blank_max*(V.supply_max-V.load)/L.out</f>
        <v>16.954545454545453</v>
      </c>
      <c r="E57">
        <v>1</v>
      </c>
      <c r="F57">
        <f t="shared" si="3"/>
        <v>16.954545454545453</v>
      </c>
    </row>
    <row r="58" spans="2:8" x14ac:dyDescent="0.25">
      <c r="B58" s="39"/>
    </row>
    <row r="59" spans="2:8" x14ac:dyDescent="0.25">
      <c r="B59" s="46" t="s">
        <v>173</v>
      </c>
      <c r="C59">
        <f>Design!G121</f>
        <v>3.9</v>
      </c>
      <c r="E59">
        <v>1E-3</v>
      </c>
      <c r="F59">
        <f t="shared" ref="F59:F71" si="4">C59*E59</f>
        <v>3.8999999999999998E-3</v>
      </c>
    </row>
    <row r="60" spans="2:8" x14ac:dyDescent="0.25">
      <c r="B60" s="39" t="s">
        <v>172</v>
      </c>
      <c r="C60">
        <f>R.dcr25*((150+275)/300)^1.2</f>
        <v>5.9236012681022007E-3</v>
      </c>
      <c r="E60">
        <v>1</v>
      </c>
      <c r="F60">
        <f t="shared" si="4"/>
        <v>5.9236012681022007E-3</v>
      </c>
    </row>
    <row r="61" spans="2:8" x14ac:dyDescent="0.25">
      <c r="B61" s="46" t="s">
        <v>174</v>
      </c>
      <c r="C61">
        <f>Design!G122</f>
        <v>1</v>
      </c>
      <c r="E61">
        <v>1</v>
      </c>
      <c r="F61">
        <f t="shared" si="4"/>
        <v>1</v>
      </c>
      <c r="H61" t="s">
        <v>175</v>
      </c>
    </row>
    <row r="62" spans="2:8" x14ac:dyDescent="0.25">
      <c r="B62" s="39" t="s">
        <v>171</v>
      </c>
      <c r="C62">
        <f>V.load/V.supply_max</f>
        <v>0.16666666666666666</v>
      </c>
      <c r="E62">
        <v>1</v>
      </c>
      <c r="F62" s="51">
        <f t="shared" si="4"/>
        <v>0.16666666666666666</v>
      </c>
    </row>
    <row r="63" spans="2:8" x14ac:dyDescent="0.25">
      <c r="B63" s="39" t="s">
        <v>168</v>
      </c>
      <c r="C63">
        <f>D.on_min_ideal/f.sw</f>
        <v>3.5460992907801415E-7</v>
      </c>
      <c r="E63">
        <v>1</v>
      </c>
      <c r="F63" s="42">
        <f t="shared" si="4"/>
        <v>3.5460992907801415E-7</v>
      </c>
    </row>
    <row r="64" spans="2:8" x14ac:dyDescent="0.25">
      <c r="B64" s="39" t="s">
        <v>170</v>
      </c>
      <c r="C64">
        <f>(V.load+I.load*(R.ls150+R.dcr150+R.s))/(V.supply_max+I.load*(R.ls150-R.hs150))</f>
        <v>0.17126566769390683</v>
      </c>
      <c r="E64">
        <v>1</v>
      </c>
      <c r="F64">
        <f t="shared" si="4"/>
        <v>0.17126566769390683</v>
      </c>
    </row>
    <row r="65" spans="1:6" x14ac:dyDescent="0.25">
      <c r="B65" t="s">
        <v>180</v>
      </c>
      <c r="C65">
        <f>D.on_min_150/f.sw</f>
        <v>3.6439503764661029E-7</v>
      </c>
      <c r="E65">
        <v>1</v>
      </c>
      <c r="F65">
        <f t="shared" si="4"/>
        <v>3.6439503764661029E-7</v>
      </c>
    </row>
    <row r="66" spans="1:6" x14ac:dyDescent="0.25">
      <c r="B66" t="s">
        <v>181</v>
      </c>
      <c r="C66">
        <f>1-V.load/V.supply_min</f>
        <v>0.83333333333333337</v>
      </c>
      <c r="E66">
        <v>1</v>
      </c>
      <c r="F66">
        <f t="shared" si="4"/>
        <v>0.83333333333333337</v>
      </c>
    </row>
    <row r="67" spans="1:6" x14ac:dyDescent="0.25">
      <c r="B67" t="s">
        <v>182</v>
      </c>
      <c r="C67">
        <f>D.off_min_ideal/f.sw</f>
        <v>1.7730496453900709E-6</v>
      </c>
      <c r="E67">
        <v>1</v>
      </c>
      <c r="F67" s="50">
        <f t="shared" si="4"/>
        <v>1.7730496453900709E-6</v>
      </c>
    </row>
    <row r="68" spans="1:6" x14ac:dyDescent="0.25">
      <c r="B68" t="s">
        <v>183</v>
      </c>
      <c r="C68">
        <f>1-(V.load+I.load*(R.ls150+R.dcr150+R.s))/(V.supply_min+I.load*(R.ls150-R.hs150))</f>
        <v>0.82873433230609317</v>
      </c>
      <c r="E68">
        <v>1</v>
      </c>
      <c r="F68">
        <f t="shared" si="4"/>
        <v>0.82873433230609317</v>
      </c>
    </row>
    <row r="69" spans="1:6" x14ac:dyDescent="0.25">
      <c r="B69" t="s">
        <v>169</v>
      </c>
      <c r="C69">
        <f>D.off_min_150/f.sw</f>
        <v>1.7632645368214748E-6</v>
      </c>
      <c r="E69">
        <v>1</v>
      </c>
      <c r="F69" s="42">
        <f t="shared" si="4"/>
        <v>1.7632645368214748E-6</v>
      </c>
    </row>
    <row r="70" spans="1:6" x14ac:dyDescent="0.25">
      <c r="B70" s="38" t="s">
        <v>184</v>
      </c>
      <c r="C70">
        <f>50*10^-9</f>
        <v>5.0000000000000004E-8</v>
      </c>
      <c r="E70">
        <v>1</v>
      </c>
      <c r="F70" s="50">
        <f t="shared" si="4"/>
        <v>5.0000000000000004E-8</v>
      </c>
    </row>
    <row r="71" spans="1:6" x14ac:dyDescent="0.25">
      <c r="B71" s="38" t="s">
        <v>185</v>
      </c>
      <c r="C71">
        <f>125*10^-9</f>
        <v>1.2500000000000002E-7</v>
      </c>
      <c r="E71">
        <v>1</v>
      </c>
      <c r="F71">
        <f t="shared" si="4"/>
        <v>1.2500000000000002E-7</v>
      </c>
    </row>
    <row r="74" spans="1:6" x14ac:dyDescent="0.25">
      <c r="A74" s="40" t="s">
        <v>186</v>
      </c>
    </row>
    <row r="75" spans="1:6" x14ac:dyDescent="0.25">
      <c r="B75" s="38" t="s">
        <v>187</v>
      </c>
      <c r="C75">
        <v>1.05</v>
      </c>
      <c r="E75">
        <v>1</v>
      </c>
      <c r="F75">
        <f t="shared" ref="F75:F80" si="5">C75*E75</f>
        <v>1.05</v>
      </c>
    </row>
    <row r="76" spans="1:6" x14ac:dyDescent="0.25">
      <c r="B76" s="38" t="s">
        <v>188</v>
      </c>
      <c r="C76">
        <f>C75-0.1</f>
        <v>0.95000000000000007</v>
      </c>
      <c r="E76">
        <v>1</v>
      </c>
      <c r="F76">
        <f t="shared" si="5"/>
        <v>0.95000000000000007</v>
      </c>
    </row>
    <row r="77" spans="1:6" x14ac:dyDescent="0.25">
      <c r="B77" s="46" t="s">
        <v>189</v>
      </c>
      <c r="C77">
        <f>Design!G44</f>
        <v>4</v>
      </c>
      <c r="E77">
        <v>1</v>
      </c>
      <c r="F77">
        <f t="shared" si="5"/>
        <v>4</v>
      </c>
    </row>
    <row r="78" spans="1:6" x14ac:dyDescent="0.25">
      <c r="B78" s="46" t="s">
        <v>190</v>
      </c>
      <c r="C78">
        <f>Design!G45</f>
        <v>100</v>
      </c>
      <c r="E78">
        <v>1000</v>
      </c>
      <c r="F78">
        <f t="shared" si="5"/>
        <v>100000</v>
      </c>
    </row>
    <row r="79" spans="1:6" x14ac:dyDescent="0.25">
      <c r="B79" s="39" t="s">
        <v>191</v>
      </c>
      <c r="C79">
        <f>R.ent*V.enrising_max/(V.startup-V.enrising_max)</f>
        <v>35593.220338983047</v>
      </c>
      <c r="E79">
        <v>1</v>
      </c>
      <c r="F79">
        <f t="shared" si="5"/>
        <v>35593.220338983047</v>
      </c>
    </row>
    <row r="80" spans="1:6" x14ac:dyDescent="0.25">
      <c r="B80" s="37" t="s">
        <v>192</v>
      </c>
      <c r="C80">
        <f>V.enfalling_max*(R.ent+R.enb)/R.enb</f>
        <v>3.6190476190476195</v>
      </c>
      <c r="E80">
        <v>1</v>
      </c>
      <c r="F80">
        <f t="shared" si="5"/>
        <v>3.6190476190476195</v>
      </c>
    </row>
    <row r="83" spans="1:6" x14ac:dyDescent="0.25">
      <c r="A83" s="40" t="s">
        <v>193</v>
      </c>
    </row>
    <row r="84" spans="1:6" x14ac:dyDescent="0.25">
      <c r="B84" s="38" t="s">
        <v>194</v>
      </c>
      <c r="C84">
        <f>V.load*0.08</f>
        <v>0.32</v>
      </c>
      <c r="E84">
        <v>1</v>
      </c>
      <c r="F84">
        <f t="shared" ref="F84:F94" si="6">C84*E84</f>
        <v>0.32</v>
      </c>
    </row>
    <row r="85" spans="1:6" x14ac:dyDescent="0.25">
      <c r="B85" s="46" t="s">
        <v>195</v>
      </c>
      <c r="C85">
        <f>V.load*(Design!G51/100)</f>
        <v>0.24</v>
      </c>
      <c r="E85">
        <v>1</v>
      </c>
      <c r="F85">
        <f t="shared" si="6"/>
        <v>0.24</v>
      </c>
    </row>
    <row r="86" spans="1:6" x14ac:dyDescent="0.25">
      <c r="B86" s="46" t="s">
        <v>200</v>
      </c>
      <c r="C86" s="52">
        <f>Design!G52</f>
        <v>28</v>
      </c>
      <c r="E86">
        <v>1000</v>
      </c>
      <c r="F86">
        <f t="shared" si="6"/>
        <v>28000</v>
      </c>
    </row>
    <row r="87" spans="1:6" x14ac:dyDescent="0.25">
      <c r="B87" s="39" t="s">
        <v>197</v>
      </c>
      <c r="C87">
        <f>I.load^2*L.out/(2*V.load*V.overshoot+V.overshoot^2)</f>
        <v>1.239483173076923E-4</v>
      </c>
      <c r="E87">
        <v>1</v>
      </c>
      <c r="F87">
        <f t="shared" si="6"/>
        <v>1.239483173076923E-4</v>
      </c>
    </row>
    <row r="88" spans="1:6" x14ac:dyDescent="0.25">
      <c r="B88" s="39" t="s">
        <v>198</v>
      </c>
      <c r="C88">
        <f>I.load^2*L.out*(1/f.sw-T.offmin_IC)*f.sw/(2*V.load*V.overshoot+V.overshoot^2)</f>
        <v>1.1666635366586539E-4</v>
      </c>
      <c r="E88">
        <v>1</v>
      </c>
      <c r="F88">
        <f t="shared" si="6"/>
        <v>1.1666635366586539E-4</v>
      </c>
    </row>
    <row r="89" spans="1:6" x14ac:dyDescent="0.25">
      <c r="B89" s="39" t="s">
        <v>199</v>
      </c>
      <c r="C89">
        <f>(I.load/2)/(2*PI*f.cross_desired*V.undershoot)</f>
        <v>1.1841888110353271E-4</v>
      </c>
      <c r="E89">
        <v>1</v>
      </c>
      <c r="F89">
        <f t="shared" si="6"/>
        <v>1.1841888110353271E-4</v>
      </c>
    </row>
    <row r="90" spans="1:6" x14ac:dyDescent="0.25">
      <c r="B90" s="37" t="s">
        <v>196</v>
      </c>
      <c r="C90">
        <f>MAX(F87:F89)</f>
        <v>1.239483173076923E-4</v>
      </c>
      <c r="E90">
        <v>1</v>
      </c>
      <c r="F90">
        <f t="shared" si="6"/>
        <v>1.239483173076923E-4</v>
      </c>
    </row>
    <row r="91" spans="1:6" x14ac:dyDescent="0.25">
      <c r="B91" s="46" t="s">
        <v>201</v>
      </c>
      <c r="C91" s="52">
        <f>Design!G55</f>
        <v>330</v>
      </c>
      <c r="E91">
        <f>10^-6</f>
        <v>9.9999999999999995E-7</v>
      </c>
      <c r="F91">
        <f t="shared" si="6"/>
        <v>3.3E-4</v>
      </c>
    </row>
    <row r="92" spans="1:6" x14ac:dyDescent="0.25">
      <c r="B92" s="46" t="s">
        <v>204</v>
      </c>
      <c r="C92">
        <f>Design!G56</f>
        <v>0.8</v>
      </c>
      <c r="E92">
        <v>1</v>
      </c>
      <c r="F92">
        <f t="shared" si="6"/>
        <v>0.8</v>
      </c>
    </row>
    <row r="93" spans="1:6" x14ac:dyDescent="0.25">
      <c r="B93" t="s">
        <v>202</v>
      </c>
      <c r="C93">
        <f>C.outb_rated*C.outb_derating_factor</f>
        <v>2.6400000000000002E-4</v>
      </c>
      <c r="E93">
        <v>1</v>
      </c>
      <c r="F93">
        <f t="shared" si="6"/>
        <v>2.6400000000000002E-4</v>
      </c>
    </row>
    <row r="94" spans="1:6" x14ac:dyDescent="0.25">
      <c r="B94" s="46" t="s">
        <v>203</v>
      </c>
      <c r="C94" s="52">
        <f>Design!G58</f>
        <v>200</v>
      </c>
      <c r="E94">
        <v>1E-3</v>
      </c>
      <c r="F94">
        <f t="shared" si="6"/>
        <v>0.2</v>
      </c>
    </row>
    <row r="96" spans="1:6" x14ac:dyDescent="0.25">
      <c r="B96" s="46" t="s">
        <v>206</v>
      </c>
      <c r="C96" s="52">
        <f>Design!G60</f>
        <v>2</v>
      </c>
      <c r="E96">
        <f>10^-6</f>
        <v>9.9999999999999995E-7</v>
      </c>
      <c r="F96">
        <f>C96*E96</f>
        <v>1.9999999999999999E-6</v>
      </c>
    </row>
    <row r="97" spans="2:6" x14ac:dyDescent="0.25">
      <c r="B97" s="46" t="s">
        <v>205</v>
      </c>
      <c r="C97">
        <f>Design!G61</f>
        <v>1</v>
      </c>
      <c r="E97">
        <v>1</v>
      </c>
      <c r="F97">
        <f>C97*E97</f>
        <v>1</v>
      </c>
    </row>
    <row r="98" spans="2:6" x14ac:dyDescent="0.25">
      <c r="B98" s="39" t="s">
        <v>207</v>
      </c>
      <c r="C98">
        <f>C.outhf_rated*C.outhf_derating_factor</f>
        <v>1.9999999999999999E-6</v>
      </c>
      <c r="E98">
        <v>1</v>
      </c>
      <c r="F98">
        <f>C98*E98</f>
        <v>1.9999999999999999E-6</v>
      </c>
    </row>
    <row r="99" spans="2:6" x14ac:dyDescent="0.25">
      <c r="B99" s="46" t="s">
        <v>208</v>
      </c>
      <c r="C99" s="52">
        <f>Design!G63</f>
        <v>5</v>
      </c>
      <c r="E99">
        <v>1E-3</v>
      </c>
      <c r="F99">
        <f>C99*E99</f>
        <v>5.0000000000000001E-3</v>
      </c>
    </row>
    <row r="100" spans="2:6" x14ac:dyDescent="0.25">
      <c r="B100" s="39"/>
    </row>
    <row r="101" spans="2:6" x14ac:dyDescent="0.25">
      <c r="B101" s="39" t="s">
        <v>209</v>
      </c>
      <c r="C101">
        <f>C.outb_derated+C.outhf_derated</f>
        <v>2.6600000000000001E-4</v>
      </c>
      <c r="E101">
        <v>1</v>
      </c>
      <c r="F101">
        <f>C101*E101</f>
        <v>2.6600000000000001E-4</v>
      </c>
    </row>
    <row r="102" spans="2:6" x14ac:dyDescent="0.25">
      <c r="B102" s="39" t="s">
        <v>210</v>
      </c>
      <c r="C102">
        <f>(V.supply_max-V.load)/L.out*V.load/V.supply_max/f.sw</f>
        <v>2.1491510853212983</v>
      </c>
      <c r="E102">
        <v>1</v>
      </c>
      <c r="F102">
        <f>C102*E102</f>
        <v>2.1491510853212983</v>
      </c>
    </row>
    <row r="103" spans="2:6" x14ac:dyDescent="0.25">
      <c r="B103" s="39" t="s">
        <v>212</v>
      </c>
      <c r="C103">
        <f>dI.out_max/SQRT(12)</f>
        <v>0.620406478819714</v>
      </c>
      <c r="E103">
        <v>1</v>
      </c>
      <c r="F103">
        <f>C103*E103</f>
        <v>0.620406478819714</v>
      </c>
    </row>
    <row r="105" spans="2:6" x14ac:dyDescent="0.25">
      <c r="B105" s="39" t="s">
        <v>211</v>
      </c>
      <c r="C105">
        <f>(V.supply_max-V.load)/L.out*V.load/V.supply_max/f.sw*SQRT((1/8/f.sw/C.outtotal_derated)^2+(R.esrb)^2)*dI.out_max_rms</f>
        <v>0.2666727837400521</v>
      </c>
      <c r="E105">
        <v>1</v>
      </c>
      <c r="F105">
        <f>C105*E105</f>
        <v>0.2666727837400521</v>
      </c>
    </row>
    <row r="107" spans="2:6" x14ac:dyDescent="0.25">
      <c r="B107" t="s">
        <v>215</v>
      </c>
      <c r="C107">
        <f>(-2*V.load+SQRT((2*V.load)^2+4*(L.out*I.load^2/(C.outtotal_derated))))/2</f>
        <v>0.15218033131503095</v>
      </c>
      <c r="E107">
        <v>1</v>
      </c>
      <c r="F107">
        <f>C107*E107</f>
        <v>0.15218033131503095</v>
      </c>
    </row>
    <row r="108" spans="2:6" x14ac:dyDescent="0.25">
      <c r="B108" t="s">
        <v>216</v>
      </c>
      <c r="C108">
        <f>L.out*I.load^2/(2*V.load*C.outtotal_derated)</f>
        <v>0.15507518796992481</v>
      </c>
      <c r="E108">
        <v>1</v>
      </c>
      <c r="F108">
        <f>C108*E108</f>
        <v>0.15507518796992481</v>
      </c>
    </row>
    <row r="109" spans="2:6" x14ac:dyDescent="0.25">
      <c r="B109" t="s">
        <v>213</v>
      </c>
      <c r="C109">
        <f>MAX(C107:C108)</f>
        <v>0.15507518796992481</v>
      </c>
      <c r="E109">
        <v>1</v>
      </c>
      <c r="F109">
        <f>C109*E109</f>
        <v>0.15507518796992481</v>
      </c>
    </row>
    <row r="110" spans="2:6" x14ac:dyDescent="0.25">
      <c r="B110" s="39" t="s">
        <v>214</v>
      </c>
      <c r="C110">
        <f>I.load/(2*PI*FCROSSOVER_FOUND_CV*C.outtotal_derated)</f>
        <v>0.23109193888398888</v>
      </c>
      <c r="E110">
        <v>1</v>
      </c>
      <c r="F110">
        <f>C110*E110</f>
        <v>0.23109193888398888</v>
      </c>
    </row>
    <row r="113" spans="1:8" x14ac:dyDescent="0.25">
      <c r="A113" s="40" t="s">
        <v>217</v>
      </c>
    </row>
    <row r="114" spans="1:8" x14ac:dyDescent="0.25">
      <c r="B114" s="46" t="s">
        <v>219</v>
      </c>
      <c r="C114" s="47">
        <v>0</v>
      </c>
      <c r="E114">
        <v>1000</v>
      </c>
      <c r="F114">
        <f>C114*E114</f>
        <v>0</v>
      </c>
    </row>
    <row r="115" spans="1:8" x14ac:dyDescent="0.25">
      <c r="B115" s="46" t="s">
        <v>218</v>
      </c>
      <c r="C115">
        <f>Design!G72</f>
        <v>150</v>
      </c>
      <c r="E115">
        <v>1000</v>
      </c>
      <c r="F115">
        <f>C115*E115</f>
        <v>150000</v>
      </c>
    </row>
    <row r="116" spans="1:8" x14ac:dyDescent="0.25">
      <c r="B116" s="38" t="s">
        <v>221</v>
      </c>
      <c r="C116">
        <v>0.8</v>
      </c>
      <c r="E116">
        <v>1</v>
      </c>
      <c r="F116">
        <f>C116*E116</f>
        <v>0.8</v>
      </c>
    </row>
    <row r="117" spans="1:8" x14ac:dyDescent="0.25">
      <c r="B117" s="37" t="s">
        <v>220</v>
      </c>
      <c r="C117">
        <f>V.vref*(R.fbt+R.lp)/(V.load-V.vref)</f>
        <v>37500</v>
      </c>
      <c r="E117">
        <v>1</v>
      </c>
      <c r="F117">
        <f>C117*E117</f>
        <v>37500</v>
      </c>
    </row>
    <row r="118" spans="1:8" x14ac:dyDescent="0.25">
      <c r="B118" s="38" t="s">
        <v>409</v>
      </c>
      <c r="C118" s="50">
        <v>1.9999999999999999E-11</v>
      </c>
      <c r="E118">
        <v>1</v>
      </c>
      <c r="F118">
        <f>C118*E118</f>
        <v>1.9999999999999999E-11</v>
      </c>
      <c r="G118" t="s">
        <v>410</v>
      </c>
      <c r="H118" t="s">
        <v>542</v>
      </c>
    </row>
    <row r="119" spans="1:8" x14ac:dyDescent="0.25">
      <c r="B119" t="s">
        <v>480</v>
      </c>
      <c r="C119">
        <f>IF(C117=5000,0,(5000*C117)/(C117-5000))</f>
        <v>5769.2307692307695</v>
      </c>
      <c r="E119">
        <v>1</v>
      </c>
      <c r="F119">
        <f>IF(C119*E119&gt;0,C119*E119,10000000)</f>
        <v>5769.2307692307695</v>
      </c>
    </row>
    <row r="120" spans="1:8" x14ac:dyDescent="0.25">
      <c r="A120" s="40" t="s">
        <v>222</v>
      </c>
    </row>
    <row r="121" spans="1:8" x14ac:dyDescent="0.25">
      <c r="A121" s="39"/>
      <c r="B121" s="38" t="s">
        <v>419</v>
      </c>
      <c r="C121">
        <f>100000000</f>
        <v>100000000</v>
      </c>
      <c r="E121">
        <v>1</v>
      </c>
      <c r="F121">
        <f>C121*E121</f>
        <v>100000000</v>
      </c>
    </row>
    <row r="122" spans="1:8" x14ac:dyDescent="0.25">
      <c r="A122" s="39"/>
      <c r="B122" s="38" t="s">
        <v>420</v>
      </c>
      <c r="C122">
        <f>0.000000000002</f>
        <v>2E-12</v>
      </c>
      <c r="E122">
        <v>1</v>
      </c>
      <c r="F122">
        <f>C122*E122</f>
        <v>2E-12</v>
      </c>
    </row>
    <row r="123" spans="1:8" x14ac:dyDescent="0.25">
      <c r="B123" s="38" t="s">
        <v>224</v>
      </c>
      <c r="C123">
        <v>1E-3</v>
      </c>
      <c r="E123">
        <v>1</v>
      </c>
      <c r="F123">
        <f t="shared" ref="F123:F132" si="7">C123*E123</f>
        <v>1E-3</v>
      </c>
    </row>
    <row r="124" spans="1:8" x14ac:dyDescent="0.25">
      <c r="B124" s="37" t="s">
        <v>223</v>
      </c>
      <c r="C124">
        <f>f.cross_desired/(V.vref/V.load*GM/R.s/A.s_typ/2/PI/C.outtotal_derated)</f>
        <v>9359.4308864000013</v>
      </c>
      <c r="E124">
        <v>1</v>
      </c>
      <c r="F124">
        <f t="shared" si="7"/>
        <v>9359.4308864000013</v>
      </c>
    </row>
    <row r="125" spans="1:8" x14ac:dyDescent="0.25">
      <c r="B125" s="37" t="s">
        <v>225</v>
      </c>
      <c r="C125">
        <f>1/(2*PI*f.cross_desired*R.comp_desired/10)</f>
        <v>6.0731323965744855E-9</v>
      </c>
      <c r="E125">
        <v>1</v>
      </c>
      <c r="F125">
        <f t="shared" si="7"/>
        <v>6.0731323965744855E-9</v>
      </c>
    </row>
    <row r="126" spans="1:8" x14ac:dyDescent="0.25">
      <c r="B126" s="37" t="s">
        <v>226</v>
      </c>
      <c r="C126">
        <f>C.outb_derated*R.esrb/R.comp_desired</f>
        <v>5.6413686516690469E-9</v>
      </c>
      <c r="E126">
        <v>1</v>
      </c>
      <c r="F126">
        <f t="shared" si="7"/>
        <v>5.6413686516690469E-9</v>
      </c>
    </row>
    <row r="127" spans="1:8" x14ac:dyDescent="0.25">
      <c r="B127" s="37" t="s">
        <v>227</v>
      </c>
      <c r="C127">
        <f>1/(2*PI*R.comp_desired*C.comp_desired)</f>
        <v>2799.9999999999995</v>
      </c>
      <c r="E127">
        <v>1</v>
      </c>
      <c r="F127">
        <f t="shared" si="7"/>
        <v>2799.9999999999995</v>
      </c>
    </row>
    <row r="128" spans="1:8" x14ac:dyDescent="0.25">
      <c r="B128" s="37" t="s">
        <v>228</v>
      </c>
      <c r="C128">
        <f>1/(2*PI*R.comp_desired*C.comp_desired*C.hf_desired/(C.comp_desired+C.hf_desired))</f>
        <v>5814.2987917262844</v>
      </c>
      <c r="E128">
        <v>1</v>
      </c>
      <c r="F128">
        <f t="shared" si="7"/>
        <v>5814.2987917262844</v>
      </c>
    </row>
    <row r="129" spans="1:6" x14ac:dyDescent="0.25">
      <c r="B129" s="39"/>
    </row>
    <row r="130" spans="1:6" x14ac:dyDescent="0.25">
      <c r="B130" s="46" t="s">
        <v>229</v>
      </c>
      <c r="C130" s="47">
        <f>Design!G86</f>
        <v>9.36</v>
      </c>
      <c r="E130">
        <v>1000</v>
      </c>
      <c r="F130">
        <f t="shared" si="7"/>
        <v>9360</v>
      </c>
    </row>
    <row r="131" spans="1:6" x14ac:dyDescent="0.25">
      <c r="B131" s="46" t="s">
        <v>230</v>
      </c>
      <c r="C131" s="47">
        <f>Design!G87</f>
        <v>6.1</v>
      </c>
      <c r="E131">
        <f>10^-9</f>
        <v>1.0000000000000001E-9</v>
      </c>
      <c r="F131">
        <f t="shared" si="7"/>
        <v>6.1E-9</v>
      </c>
    </row>
    <row r="132" spans="1:6" x14ac:dyDescent="0.25">
      <c r="B132" s="46" t="s">
        <v>231</v>
      </c>
      <c r="C132" s="52">
        <f>Design!G88</f>
        <v>5641</v>
      </c>
      <c r="E132">
        <f>10^-12</f>
        <v>9.9999999999999998E-13</v>
      </c>
      <c r="F132">
        <f t="shared" si="7"/>
        <v>5.6409999999999999E-9</v>
      </c>
    </row>
    <row r="133" spans="1:6" x14ac:dyDescent="0.25">
      <c r="B133" s="37" t="s">
        <v>232</v>
      </c>
      <c r="C133">
        <f>1/(2*PI*R.comp*C.comp)</f>
        <v>2787.4978317771465</v>
      </c>
      <c r="E133">
        <v>1</v>
      </c>
      <c r="F133">
        <f>C133*E133</f>
        <v>2787.4978317771465</v>
      </c>
    </row>
    <row r="134" spans="1:6" x14ac:dyDescent="0.25">
      <c r="B134" s="37" t="s">
        <v>233</v>
      </c>
      <c r="C134">
        <f>1/(2*PI*R.comp*C.comp*C.hf/(C.comp+C.hf))</f>
        <v>5801.8103249238566</v>
      </c>
      <c r="E134">
        <v>1</v>
      </c>
      <c r="F134">
        <f>C134*E134</f>
        <v>5801.8103249238566</v>
      </c>
    </row>
    <row r="135" spans="1:6" x14ac:dyDescent="0.25">
      <c r="B135" s="39"/>
    </row>
    <row r="136" spans="1:6" x14ac:dyDescent="0.25">
      <c r="B136" s="46" t="s">
        <v>234</v>
      </c>
      <c r="C136" s="52">
        <f>Design!G92</f>
        <v>0.5</v>
      </c>
      <c r="E136">
        <f>10^-12</f>
        <v>9.9999999999999998E-13</v>
      </c>
      <c r="F136">
        <f>C136*E136</f>
        <v>4.9999999999999999E-13</v>
      </c>
    </row>
    <row r="137" spans="1:6" x14ac:dyDescent="0.25">
      <c r="B137" s="46" t="s">
        <v>235</v>
      </c>
      <c r="C137" s="47">
        <f>Design!G93</f>
        <v>1000000</v>
      </c>
      <c r="E137">
        <v>1000</v>
      </c>
      <c r="F137">
        <f>C137*E137</f>
        <v>1000000000</v>
      </c>
    </row>
    <row r="138" spans="1:6" x14ac:dyDescent="0.25">
      <c r="B138" s="37" t="s">
        <v>236</v>
      </c>
      <c r="C138">
        <f>1/(2*PI*R.fbt*C.ff)</f>
        <v>2122066.3493753062</v>
      </c>
      <c r="E138">
        <v>1</v>
      </c>
      <c r="F138">
        <f>C138*E138</f>
        <v>2122066.3493753062</v>
      </c>
    </row>
    <row r="141" spans="1:6" x14ac:dyDescent="0.25">
      <c r="A141" s="40" t="s">
        <v>237</v>
      </c>
    </row>
    <row r="142" spans="1:6" x14ac:dyDescent="0.25">
      <c r="B142" s="38" t="s">
        <v>239</v>
      </c>
      <c r="C142">
        <f>10*10^-6</f>
        <v>9.9999999999999991E-6</v>
      </c>
      <c r="E142">
        <v>1</v>
      </c>
      <c r="F142">
        <f>C142*E142</f>
        <v>9.9999999999999991E-6</v>
      </c>
    </row>
    <row r="143" spans="1:6" x14ac:dyDescent="0.25">
      <c r="B143" s="46" t="s">
        <v>238</v>
      </c>
      <c r="C143" s="47">
        <f>Design!G98</f>
        <v>1.8</v>
      </c>
      <c r="E143">
        <v>1</v>
      </c>
      <c r="F143">
        <f>C143*E143</f>
        <v>1.8</v>
      </c>
    </row>
    <row r="144" spans="1:6" x14ac:dyDescent="0.25">
      <c r="B144" s="37" t="s">
        <v>240</v>
      </c>
      <c r="C144">
        <f>V.iset_desired/I.iset</f>
        <v>180000.00000000003</v>
      </c>
      <c r="E144">
        <v>1</v>
      </c>
      <c r="F144">
        <f>C144*E144</f>
        <v>180000.00000000003</v>
      </c>
    </row>
    <row r="145" spans="1:6" x14ac:dyDescent="0.25">
      <c r="B145" s="46" t="s">
        <v>241</v>
      </c>
      <c r="C145" s="47">
        <f>Design!G100</f>
        <v>100</v>
      </c>
      <c r="E145">
        <f>10^-9</f>
        <v>1.0000000000000001E-9</v>
      </c>
      <c r="F145">
        <f>C145*E145</f>
        <v>1.0000000000000001E-7</v>
      </c>
    </row>
    <row r="146" spans="1:6" x14ac:dyDescent="0.25">
      <c r="B146" s="37" t="s">
        <v>242</v>
      </c>
      <c r="C146">
        <f>C.iset/I.iset</f>
        <v>1.0000000000000002E-2</v>
      </c>
      <c r="E146">
        <v>1</v>
      </c>
      <c r="F146">
        <f>C146*E146</f>
        <v>1.0000000000000002E-2</v>
      </c>
    </row>
    <row r="149" spans="1:6" x14ac:dyDescent="0.25">
      <c r="A149" s="40" t="s">
        <v>243</v>
      </c>
    </row>
    <row r="150" spans="1:6" x14ac:dyDescent="0.25">
      <c r="B150" s="38" t="s">
        <v>256</v>
      </c>
      <c r="C150">
        <f>25*10^-6</f>
        <v>2.4999999999999998E-5</v>
      </c>
      <c r="E150">
        <v>1</v>
      </c>
      <c r="F150">
        <f t="shared" ref="F150:F156" si="8">C150*E150</f>
        <v>2.4999999999999998E-5</v>
      </c>
    </row>
    <row r="151" spans="1:6" x14ac:dyDescent="0.25">
      <c r="B151" s="38" t="s">
        <v>257</v>
      </c>
      <c r="C151">
        <v>2E-3</v>
      </c>
      <c r="E151">
        <v>1</v>
      </c>
      <c r="F151">
        <f t="shared" si="8"/>
        <v>2E-3</v>
      </c>
    </row>
    <row r="152" spans="1:6" x14ac:dyDescent="0.25">
      <c r="B152" s="37" t="s">
        <v>246</v>
      </c>
      <c r="C152">
        <f>V.iset_desired/(I.load*R.s*GM.imon+I.imon)</f>
        <v>17142.857142857141</v>
      </c>
      <c r="E152">
        <v>1</v>
      </c>
      <c r="F152">
        <f t="shared" si="8"/>
        <v>17142.857142857141</v>
      </c>
    </row>
    <row r="153" spans="1:6" x14ac:dyDescent="0.25">
      <c r="B153" s="37" t="s">
        <v>247</v>
      </c>
      <c r="C153">
        <f>R.load*C.outtotal_derated/R.imon_desired</f>
        <v>6.206666666666668E-9</v>
      </c>
      <c r="E153">
        <v>1</v>
      </c>
      <c r="F153">
        <f t="shared" si="8"/>
        <v>6.206666666666668E-9</v>
      </c>
    </row>
    <row r="154" spans="1:6" x14ac:dyDescent="0.25">
      <c r="B154" s="37" t="s">
        <v>248</v>
      </c>
      <c r="C154">
        <f>R.esrb*C.outb_derated/C.imon_desired</f>
        <v>8506.9817400644461</v>
      </c>
      <c r="E154">
        <v>1</v>
      </c>
      <c r="F154">
        <f t="shared" si="8"/>
        <v>8506.9817400644461</v>
      </c>
    </row>
    <row r="155" spans="1:6" x14ac:dyDescent="0.25">
      <c r="B155" s="37" t="s">
        <v>250</v>
      </c>
      <c r="C155">
        <f>1/(2*PI*R.imon_desired*C.imon_desired)</f>
        <v>1495.8174455183077</v>
      </c>
      <c r="E155">
        <v>1</v>
      </c>
      <c r="F155">
        <f t="shared" si="8"/>
        <v>1495.8174455183077</v>
      </c>
    </row>
    <row r="156" spans="1:6" x14ac:dyDescent="0.25">
      <c r="B156" s="37" t="s">
        <v>249</v>
      </c>
      <c r="C156">
        <f>1/(2*PI*R.imonhf_desired*C.imon_desired)</f>
        <v>3014.2987917262863</v>
      </c>
      <c r="E156">
        <v>1</v>
      </c>
      <c r="F156">
        <f t="shared" si="8"/>
        <v>3014.2987917262863</v>
      </c>
    </row>
    <row r="158" spans="1:6" x14ac:dyDescent="0.25">
      <c r="B158" s="46" t="s">
        <v>251</v>
      </c>
      <c r="C158" s="47">
        <f>Design!G111</f>
        <v>17.14</v>
      </c>
      <c r="E158">
        <v>1000</v>
      </c>
      <c r="F158">
        <f t="shared" ref="F158:F164" si="9">C158*E158</f>
        <v>17140</v>
      </c>
    </row>
    <row r="159" spans="1:6" x14ac:dyDescent="0.25">
      <c r="B159" s="46" t="s">
        <v>252</v>
      </c>
      <c r="C159" s="47">
        <f>Design!G112</f>
        <v>6.21</v>
      </c>
      <c r="E159">
        <f>10^-9</f>
        <v>1.0000000000000001E-9</v>
      </c>
      <c r="F159">
        <f t="shared" si="9"/>
        <v>6.2100000000000007E-9</v>
      </c>
    </row>
    <row r="160" spans="1:6" x14ac:dyDescent="0.25">
      <c r="B160" s="46" t="s">
        <v>253</v>
      </c>
      <c r="C160" s="84">
        <f>IF(Design!G113=0,0.001,Design!G113)</f>
        <v>8506</v>
      </c>
      <c r="E160">
        <v>1</v>
      </c>
      <c r="F160">
        <f t="shared" si="9"/>
        <v>8506</v>
      </c>
    </row>
    <row r="161" spans="1:6" x14ac:dyDescent="0.25">
      <c r="B161" s="37" t="s">
        <v>255</v>
      </c>
      <c r="C161">
        <f>1/(2*PI*R.imon*C.imon)</f>
        <v>1495.2637482280802</v>
      </c>
      <c r="E161">
        <v>1</v>
      </c>
      <c r="F161">
        <f t="shared" si="9"/>
        <v>1495.2637482280802</v>
      </c>
    </row>
    <row r="162" spans="1:6" x14ac:dyDescent="0.25">
      <c r="B162" s="37" t="s">
        <v>254</v>
      </c>
      <c r="C162">
        <f>1/(2*PI*R.imonhf*C.imon)</f>
        <v>3013.028526290771</v>
      </c>
      <c r="E162">
        <v>1</v>
      </c>
      <c r="F162">
        <f t="shared" si="9"/>
        <v>3013.028526290771</v>
      </c>
    </row>
    <row r="164" spans="1:6" x14ac:dyDescent="0.25">
      <c r="B164" t="s">
        <v>259</v>
      </c>
      <c r="C164">
        <f>R.imon*I.imon</f>
        <v>0.42849999999999994</v>
      </c>
      <c r="E164">
        <v>1</v>
      </c>
      <c r="F164">
        <f t="shared" si="9"/>
        <v>0.42849999999999994</v>
      </c>
    </row>
    <row r="166" spans="1:6" x14ac:dyDescent="0.25">
      <c r="A166" s="40" t="s">
        <v>258</v>
      </c>
    </row>
    <row r="167" spans="1:6" x14ac:dyDescent="0.25">
      <c r="A167" s="39"/>
      <c r="B167" s="38" t="s">
        <v>337</v>
      </c>
      <c r="C167">
        <v>3</v>
      </c>
      <c r="E167">
        <v>1</v>
      </c>
      <c r="F167">
        <f t="shared" ref="F167:F172" si="10">C167*E167</f>
        <v>3</v>
      </c>
    </row>
    <row r="168" spans="1:6" x14ac:dyDescent="0.25">
      <c r="A168" s="39"/>
      <c r="B168" s="38" t="s">
        <v>338</v>
      </c>
      <c r="C168">
        <v>0.75</v>
      </c>
      <c r="E168">
        <v>1</v>
      </c>
      <c r="F168">
        <f t="shared" si="10"/>
        <v>0.75</v>
      </c>
    </row>
    <row r="169" spans="1:6" x14ac:dyDescent="0.25">
      <c r="A169" s="39"/>
      <c r="B169" s="38" t="s">
        <v>339</v>
      </c>
      <c r="C169">
        <v>3</v>
      </c>
      <c r="E169">
        <v>1</v>
      </c>
      <c r="F169">
        <f t="shared" si="10"/>
        <v>3</v>
      </c>
    </row>
    <row r="170" spans="1:6" x14ac:dyDescent="0.25">
      <c r="A170" s="39"/>
      <c r="B170" s="38" t="s">
        <v>340</v>
      </c>
      <c r="C170">
        <v>0.75</v>
      </c>
      <c r="E170">
        <v>1</v>
      </c>
      <c r="F170">
        <f t="shared" si="10"/>
        <v>0.75</v>
      </c>
    </row>
    <row r="171" spans="1:6" x14ac:dyDescent="0.25">
      <c r="A171" s="39"/>
      <c r="B171" s="38" t="s">
        <v>341</v>
      </c>
      <c r="C171">
        <f>25*10^-9</f>
        <v>2.5000000000000002E-8</v>
      </c>
      <c r="E171">
        <v>1</v>
      </c>
      <c r="F171">
        <f t="shared" si="10"/>
        <v>2.5000000000000002E-8</v>
      </c>
    </row>
    <row r="172" spans="1:6" x14ac:dyDescent="0.25">
      <c r="A172" s="39"/>
      <c r="B172" s="38" t="s">
        <v>342</v>
      </c>
      <c r="C172">
        <f>35*10^-9</f>
        <v>3.5000000000000002E-8</v>
      </c>
      <c r="E172">
        <v>1</v>
      </c>
      <c r="F172">
        <f t="shared" si="10"/>
        <v>3.5000000000000002E-8</v>
      </c>
    </row>
    <row r="173" spans="1:6" x14ac:dyDescent="0.25">
      <c r="B173" s="46" t="s">
        <v>178</v>
      </c>
      <c r="C173">
        <f>Design!F124</f>
        <v>0.5</v>
      </c>
      <c r="E173">
        <v>1E-3</v>
      </c>
      <c r="F173">
        <f>C173*E173</f>
        <v>5.0000000000000001E-4</v>
      </c>
    </row>
    <row r="174" spans="1:6" x14ac:dyDescent="0.25">
      <c r="B174" t="s">
        <v>179</v>
      </c>
      <c r="C174">
        <f>R.hs25*((150+275)/300)^2.3</f>
        <v>1.1140011972742142E-3</v>
      </c>
      <c r="E174">
        <v>1</v>
      </c>
      <c r="F174">
        <f>C174*E174</f>
        <v>1.1140011972742142E-3</v>
      </c>
    </row>
    <row r="175" spans="1:6" x14ac:dyDescent="0.25">
      <c r="B175" s="46" t="s">
        <v>260</v>
      </c>
      <c r="C175" s="52">
        <f>Design!F125</f>
        <v>11</v>
      </c>
      <c r="E175">
        <f>10^-9</f>
        <v>1.0000000000000001E-9</v>
      </c>
      <c r="F175">
        <f t="shared" ref="F175:F187" si="11">C175*E175</f>
        <v>1.1000000000000001E-8</v>
      </c>
    </row>
    <row r="176" spans="1:6" x14ac:dyDescent="0.25">
      <c r="B176" s="46" t="s">
        <v>261</v>
      </c>
      <c r="C176" s="52">
        <f>Design!F126</f>
        <v>3</v>
      </c>
      <c r="E176">
        <f>10^-9</f>
        <v>1.0000000000000001E-9</v>
      </c>
      <c r="F176">
        <f t="shared" si="11"/>
        <v>3.0000000000000004E-9</v>
      </c>
    </row>
    <row r="177" spans="2:6" x14ac:dyDescent="0.25">
      <c r="B177" s="46" t="s">
        <v>262</v>
      </c>
      <c r="C177" s="52">
        <f>Design!F127</f>
        <v>5</v>
      </c>
      <c r="E177">
        <f>10^-9</f>
        <v>1.0000000000000001E-9</v>
      </c>
      <c r="F177">
        <f t="shared" si="11"/>
        <v>5.0000000000000001E-9</v>
      </c>
    </row>
    <row r="178" spans="2:6" x14ac:dyDescent="0.25">
      <c r="B178" s="53" t="s">
        <v>263</v>
      </c>
      <c r="C178" s="54">
        <f>Design!F128</f>
        <v>0</v>
      </c>
      <c r="E178">
        <f>10^-9</f>
        <v>1.0000000000000001E-9</v>
      </c>
      <c r="F178">
        <f t="shared" si="11"/>
        <v>0</v>
      </c>
    </row>
    <row r="179" spans="2:6" x14ac:dyDescent="0.25">
      <c r="B179" s="46" t="s">
        <v>264</v>
      </c>
      <c r="C179" s="52">
        <f>Design!F129</f>
        <v>150</v>
      </c>
      <c r="E179">
        <f>10^-12</f>
        <v>9.9999999999999998E-13</v>
      </c>
      <c r="F179">
        <f t="shared" si="11"/>
        <v>1.5E-10</v>
      </c>
    </row>
    <row r="180" spans="2:6" x14ac:dyDescent="0.25">
      <c r="B180" s="46" t="s">
        <v>265</v>
      </c>
      <c r="C180" s="52">
        <f>Design!F130</f>
        <v>1</v>
      </c>
      <c r="E180">
        <v>1</v>
      </c>
      <c r="F180">
        <f t="shared" si="11"/>
        <v>1</v>
      </c>
    </row>
    <row r="181" spans="2:6" x14ac:dyDescent="0.25">
      <c r="B181" s="46" t="s">
        <v>266</v>
      </c>
      <c r="C181" s="52">
        <f>Design!F131</f>
        <v>52</v>
      </c>
      <c r="E181">
        <v>1</v>
      </c>
      <c r="F181">
        <f t="shared" si="11"/>
        <v>52</v>
      </c>
    </row>
    <row r="182" spans="2:6" x14ac:dyDescent="0.25">
      <c r="B182" s="46" t="s">
        <v>267</v>
      </c>
      <c r="C182" s="47">
        <f>Design!F132</f>
        <v>3.1</v>
      </c>
      <c r="E182">
        <v>1</v>
      </c>
      <c r="F182">
        <f t="shared" si="11"/>
        <v>3.1</v>
      </c>
    </row>
    <row r="183" spans="2:6" x14ac:dyDescent="0.25">
      <c r="B183" s="1" t="s">
        <v>335</v>
      </c>
      <c r="C183" s="47">
        <f>V.th_hs+I.load/g.fs_hs</f>
        <v>3.2923076923076926</v>
      </c>
      <c r="E183">
        <v>1</v>
      </c>
      <c r="F183">
        <f t="shared" si="11"/>
        <v>3.2923076923076926</v>
      </c>
    </row>
    <row r="184" spans="2:6" x14ac:dyDescent="0.25">
      <c r="B184" s="46" t="s">
        <v>268</v>
      </c>
      <c r="C184" s="52">
        <f>Design!F133</f>
        <v>0.8</v>
      </c>
      <c r="E184">
        <v>1</v>
      </c>
      <c r="F184">
        <f t="shared" si="11"/>
        <v>0.8</v>
      </c>
    </row>
    <row r="185" spans="2:6" x14ac:dyDescent="0.25">
      <c r="B185" s="53" t="s">
        <v>269</v>
      </c>
      <c r="C185" s="54">
        <f>Design!F134</f>
        <v>0</v>
      </c>
      <c r="E185">
        <f>10^-9</f>
        <v>1.0000000000000001E-9</v>
      </c>
      <c r="F185">
        <f t="shared" si="11"/>
        <v>0</v>
      </c>
    </row>
    <row r="186" spans="2:6" x14ac:dyDescent="0.25">
      <c r="B186" s="46" t="s">
        <v>270</v>
      </c>
      <c r="C186" s="52">
        <f>Design!F135</f>
        <v>62</v>
      </c>
      <c r="D186" t="s">
        <v>348</v>
      </c>
      <c r="E186">
        <v>1</v>
      </c>
      <c r="F186">
        <f t="shared" si="11"/>
        <v>62</v>
      </c>
    </row>
    <row r="187" spans="2:6" x14ac:dyDescent="0.25">
      <c r="B187" s="38" t="s">
        <v>346</v>
      </c>
      <c r="C187" s="84">
        <v>4.0000000000000001E-3</v>
      </c>
      <c r="D187" t="s">
        <v>347</v>
      </c>
      <c r="E187">
        <v>1</v>
      </c>
      <c r="F187">
        <f t="shared" si="11"/>
        <v>4.0000000000000001E-3</v>
      </c>
    </row>
    <row r="188" spans="2:6" x14ac:dyDescent="0.25">
      <c r="B188" s="39"/>
      <c r="C188" s="52"/>
    </row>
    <row r="189" spans="2:6" x14ac:dyDescent="0.25">
      <c r="B189" s="46" t="s">
        <v>176</v>
      </c>
      <c r="C189">
        <f>Design!G124</f>
        <v>0.5</v>
      </c>
      <c r="E189">
        <v>1E-3</v>
      </c>
      <c r="F189">
        <f>C189*E189</f>
        <v>5.0000000000000001E-4</v>
      </c>
    </row>
    <row r="190" spans="2:6" x14ac:dyDescent="0.25">
      <c r="B190" t="s">
        <v>177</v>
      </c>
      <c r="C190">
        <f>R.ls25*((150+275)/300)^2.3</f>
        <v>1.1140011972742142E-3</v>
      </c>
      <c r="E190">
        <v>1</v>
      </c>
      <c r="F190">
        <f>C190*E190</f>
        <v>1.1140011972742142E-3</v>
      </c>
    </row>
    <row r="191" spans="2:6" x14ac:dyDescent="0.25">
      <c r="B191" s="46" t="s">
        <v>271</v>
      </c>
      <c r="C191" s="52">
        <f>Design!G125</f>
        <v>11</v>
      </c>
      <c r="E191">
        <f>10^-9</f>
        <v>1.0000000000000001E-9</v>
      </c>
      <c r="F191">
        <f t="shared" ref="F191:F209" si="12">C191*E191</f>
        <v>1.1000000000000001E-8</v>
      </c>
    </row>
    <row r="192" spans="2:6" x14ac:dyDescent="0.25">
      <c r="B192" s="46" t="s">
        <v>272</v>
      </c>
      <c r="C192" s="52">
        <f>Design!G126</f>
        <v>3</v>
      </c>
      <c r="E192">
        <f>10^-9</f>
        <v>1.0000000000000001E-9</v>
      </c>
      <c r="F192">
        <f t="shared" si="12"/>
        <v>3.0000000000000004E-9</v>
      </c>
    </row>
    <row r="193" spans="2:6" x14ac:dyDescent="0.25">
      <c r="B193" s="46" t="s">
        <v>273</v>
      </c>
      <c r="C193" s="52">
        <f>Design!G127</f>
        <v>5</v>
      </c>
      <c r="E193">
        <f>10^-9</f>
        <v>1.0000000000000001E-9</v>
      </c>
      <c r="F193">
        <f t="shared" si="12"/>
        <v>5.0000000000000001E-9</v>
      </c>
    </row>
    <row r="194" spans="2:6" x14ac:dyDescent="0.25">
      <c r="B194" s="46" t="s">
        <v>274</v>
      </c>
      <c r="C194" s="52">
        <f>Design!G128</f>
        <v>7</v>
      </c>
      <c r="E194">
        <f>10^-9</f>
        <v>1.0000000000000001E-9</v>
      </c>
      <c r="F194">
        <f t="shared" si="12"/>
        <v>7.0000000000000006E-9</v>
      </c>
    </row>
    <row r="195" spans="2:6" x14ac:dyDescent="0.25">
      <c r="B195" s="46" t="s">
        <v>275</v>
      </c>
      <c r="C195" s="52">
        <f>Design!G129</f>
        <v>150</v>
      </c>
      <c r="E195">
        <f>10^-12</f>
        <v>9.9999999999999998E-13</v>
      </c>
      <c r="F195">
        <f t="shared" si="12"/>
        <v>1.5E-10</v>
      </c>
    </row>
    <row r="196" spans="2:6" x14ac:dyDescent="0.25">
      <c r="B196" s="46" t="s">
        <v>276</v>
      </c>
      <c r="C196" s="52">
        <f>Design!G130</f>
        <v>1</v>
      </c>
      <c r="E196">
        <v>1</v>
      </c>
      <c r="F196">
        <f t="shared" si="12"/>
        <v>1</v>
      </c>
    </row>
    <row r="197" spans="2:6" x14ac:dyDescent="0.25">
      <c r="B197" s="46" t="s">
        <v>277</v>
      </c>
      <c r="C197" s="52">
        <f>Design!G131</f>
        <v>52</v>
      </c>
      <c r="E197">
        <v>1</v>
      </c>
      <c r="F197">
        <f t="shared" si="12"/>
        <v>52</v>
      </c>
    </row>
    <row r="198" spans="2:6" x14ac:dyDescent="0.25">
      <c r="B198" s="46" t="s">
        <v>278</v>
      </c>
      <c r="C198" s="47">
        <f>Design!G132</f>
        <v>3.1</v>
      </c>
      <c r="E198">
        <v>1</v>
      </c>
      <c r="F198">
        <f t="shared" si="12"/>
        <v>3.1</v>
      </c>
    </row>
    <row r="199" spans="2:6" x14ac:dyDescent="0.25">
      <c r="B199" s="39" t="s">
        <v>336</v>
      </c>
      <c r="C199" s="47">
        <f>V.th_ls+I.load/g.fs_ls</f>
        <v>3.2923076923076926</v>
      </c>
      <c r="E199">
        <v>1</v>
      </c>
      <c r="F199">
        <f t="shared" si="12"/>
        <v>3.2923076923076926</v>
      </c>
    </row>
    <row r="200" spans="2:6" x14ac:dyDescent="0.25">
      <c r="B200" s="46" t="s">
        <v>279</v>
      </c>
      <c r="C200" s="52">
        <f>Design!G133</f>
        <v>0.8</v>
      </c>
      <c r="E200">
        <v>1</v>
      </c>
      <c r="F200">
        <f t="shared" si="12"/>
        <v>0.8</v>
      </c>
    </row>
    <row r="201" spans="2:6" x14ac:dyDescent="0.25">
      <c r="B201" s="46" t="s">
        <v>280</v>
      </c>
      <c r="C201" s="52">
        <f>Design!G134</f>
        <v>41</v>
      </c>
      <c r="E201">
        <f>10^-9</f>
        <v>1.0000000000000001E-9</v>
      </c>
      <c r="F201">
        <f t="shared" si="12"/>
        <v>4.1000000000000003E-8</v>
      </c>
    </row>
    <row r="202" spans="2:6" x14ac:dyDescent="0.25">
      <c r="B202" s="46" t="s">
        <v>281</v>
      </c>
      <c r="C202" s="52">
        <f>Design!G135</f>
        <v>62</v>
      </c>
      <c r="E202">
        <v>1</v>
      </c>
      <c r="F202">
        <f t="shared" si="12"/>
        <v>62</v>
      </c>
    </row>
    <row r="203" spans="2:6" x14ac:dyDescent="0.25">
      <c r="B203" s="38" t="s">
        <v>349</v>
      </c>
      <c r="C203" s="84">
        <v>4.0000000000000001E-3</v>
      </c>
      <c r="D203" t="s">
        <v>347</v>
      </c>
      <c r="E203">
        <v>1</v>
      </c>
      <c r="F203">
        <f t="shared" si="12"/>
        <v>4.0000000000000001E-3</v>
      </c>
    </row>
    <row r="205" spans="2:6" x14ac:dyDescent="0.25">
      <c r="B205" s="46" t="s">
        <v>283</v>
      </c>
      <c r="C205">
        <f>Design!G137</f>
        <v>0</v>
      </c>
      <c r="E205">
        <v>1</v>
      </c>
      <c r="F205">
        <f>IF(C205*E205=0,4444,C205*E205)</f>
        <v>4444</v>
      </c>
    </row>
    <row r="206" spans="2:6" x14ac:dyDescent="0.25">
      <c r="B206" s="46" t="s">
        <v>282</v>
      </c>
      <c r="C206">
        <f>Design!G138</f>
        <v>0</v>
      </c>
      <c r="E206">
        <f>10^-9</f>
        <v>1.0000000000000001E-9</v>
      </c>
      <c r="F206">
        <f>IF(C206*E206=0, 4444, C206*E206)</f>
        <v>4444</v>
      </c>
    </row>
    <row r="207" spans="2:6" x14ac:dyDescent="0.25">
      <c r="B207" s="46" t="s">
        <v>360</v>
      </c>
      <c r="C207">
        <f>IF(Design!G142=STD_VAL!C11,STD_VAL!D11,IF(Design!G142=STD_VAL!C12,STD_VAL!D12,444))</f>
        <v>1</v>
      </c>
      <c r="E207">
        <v>1</v>
      </c>
      <c r="F207">
        <f>IF(C207*E207=0, 4444, C207*E207)</f>
        <v>1</v>
      </c>
    </row>
    <row r="208" spans="2:6" x14ac:dyDescent="0.25">
      <c r="B208" s="46" t="s">
        <v>326</v>
      </c>
      <c r="C208">
        <f>Design!G143</f>
        <v>105</v>
      </c>
      <c r="E208">
        <v>1</v>
      </c>
      <c r="F208">
        <f t="shared" si="12"/>
        <v>105</v>
      </c>
    </row>
    <row r="209" spans="1:6" x14ac:dyDescent="0.25">
      <c r="B209" s="39" t="s">
        <v>497</v>
      </c>
      <c r="C209">
        <f>f.sw*(Q.g_ls+Q.g_hs)</f>
        <v>1.034E-2</v>
      </c>
      <c r="E209">
        <v>1</v>
      </c>
      <c r="F209">
        <f t="shared" si="12"/>
        <v>1.034E-2</v>
      </c>
    </row>
    <row r="210" spans="1:6" x14ac:dyDescent="0.25">
      <c r="B210" s="46" t="s">
        <v>370</v>
      </c>
      <c r="F210">
        <v>1.7</v>
      </c>
    </row>
    <row r="211" spans="1:6" x14ac:dyDescent="0.25">
      <c r="B211" s="39" t="s">
        <v>332</v>
      </c>
      <c r="C211">
        <f>(Q.gd_hs+Q.gs_hs/2)*(R.drv_hs_source+R.g_hs)/(VCC-V.sp_hs)*Trf_CorrectionFactor</f>
        <v>1.0087136929460582E-8</v>
      </c>
      <c r="E211">
        <v>1</v>
      </c>
      <c r="F211">
        <f>C211*E211</f>
        <v>1.0087136929460582E-8</v>
      </c>
    </row>
    <row r="212" spans="1:6" x14ac:dyDescent="0.25">
      <c r="B212" s="39" t="s">
        <v>333</v>
      </c>
      <c r="C212">
        <f>(Q.gd_hs+Q.gs_hs/2)*(R.drv_hs_sink+R.g_hs)/(V.sp_hs)*Trf_CorrectionFactor</f>
        <v>4.9699182242990653E-9</v>
      </c>
      <c r="E212">
        <v>1</v>
      </c>
      <c r="F212">
        <f>C212*E212</f>
        <v>4.9699182242990653E-9</v>
      </c>
    </row>
    <row r="214" spans="1:6" x14ac:dyDescent="0.25">
      <c r="B214" s="39" t="s">
        <v>459</v>
      </c>
      <c r="C214" s="47">
        <f>MAX(V.sp_ls,V.sp_hs)</f>
        <v>3.2923076923076926</v>
      </c>
      <c r="E214">
        <v>1</v>
      </c>
      <c r="F214">
        <f>C214*E214</f>
        <v>3.2923076923076926</v>
      </c>
    </row>
    <row r="215" spans="1:6" x14ac:dyDescent="0.25">
      <c r="B215" s="39" t="s">
        <v>505</v>
      </c>
      <c r="C215" s="47">
        <f>V.th_hs+100/g.fs_hs</f>
        <v>5.023076923076923</v>
      </c>
      <c r="E215">
        <v>1</v>
      </c>
      <c r="F215">
        <f>C215*E215</f>
        <v>5.023076923076923</v>
      </c>
    </row>
    <row r="216" spans="1:6" x14ac:dyDescent="0.25">
      <c r="B216" s="39" t="s">
        <v>506</v>
      </c>
      <c r="C216" s="47">
        <f>V.th_ls+100/g.fs_ls</f>
        <v>5.023076923076923</v>
      </c>
      <c r="E216">
        <v>1</v>
      </c>
      <c r="F216">
        <f>C216*E216</f>
        <v>5.023076923076923</v>
      </c>
    </row>
    <row r="217" spans="1:6" x14ac:dyDescent="0.25">
      <c r="B217" s="39" t="s">
        <v>507</v>
      </c>
      <c r="C217" s="47">
        <f>MAX(V.sp_hs_100A,V.sp_ls_100A)</f>
        <v>5.023076923076923</v>
      </c>
      <c r="E217">
        <v>1</v>
      </c>
      <c r="F217">
        <f>C217*E217</f>
        <v>5.023076923076923</v>
      </c>
    </row>
    <row r="218" spans="1:6" x14ac:dyDescent="0.25">
      <c r="B218" s="39"/>
      <c r="C218" s="47"/>
    </row>
    <row r="219" spans="1:6" x14ac:dyDescent="0.25">
      <c r="A219" t="s">
        <v>503</v>
      </c>
      <c r="B219" s="39" t="s">
        <v>501</v>
      </c>
      <c r="C219" s="47">
        <f>C175</f>
        <v>11</v>
      </c>
      <c r="E219">
        <f>10^-9</f>
        <v>1.0000000000000001E-9</v>
      </c>
      <c r="F219">
        <f>C219*E219</f>
        <v>1.1000000000000001E-8</v>
      </c>
    </row>
    <row r="220" spans="1:6" x14ac:dyDescent="0.25">
      <c r="A220" t="s">
        <v>504</v>
      </c>
      <c r="B220" s="39" t="s">
        <v>502</v>
      </c>
      <c r="C220" s="47">
        <f>C219*10</f>
        <v>110</v>
      </c>
      <c r="E220">
        <f>10^-9</f>
        <v>1.0000000000000001E-9</v>
      </c>
      <c r="F220">
        <f>C220*E220</f>
        <v>1.1000000000000001E-7</v>
      </c>
    </row>
    <row r="221" spans="1:6" x14ac:dyDescent="0.25">
      <c r="B221" s="39" t="s">
        <v>511</v>
      </c>
      <c r="C221" s="50">
        <f>(Q.g_ls+Q.g_hs)*f.sw*10*10^-6/2</f>
        <v>5.17E-8</v>
      </c>
      <c r="E221">
        <v>1</v>
      </c>
      <c r="F221">
        <f>C221*E221</f>
        <v>5.17E-8</v>
      </c>
    </row>
    <row r="222" spans="1:6" x14ac:dyDescent="0.25">
      <c r="A222" s="40" t="s">
        <v>481</v>
      </c>
    </row>
    <row r="223" spans="1:6" x14ac:dyDescent="0.25">
      <c r="B223" t="s">
        <v>327</v>
      </c>
      <c r="C223">
        <f>10*10^-6</f>
        <v>9.9999999999999991E-6</v>
      </c>
      <c r="E223">
        <v>1</v>
      </c>
      <c r="F223">
        <f>C223*E223</f>
        <v>9.9999999999999991E-6</v>
      </c>
    </row>
    <row r="224" spans="1:6" x14ac:dyDescent="0.25">
      <c r="B224" t="s">
        <v>328</v>
      </c>
      <c r="C224">
        <v>1E-3</v>
      </c>
      <c r="E224">
        <v>1</v>
      </c>
      <c r="F224">
        <f>C224*E224</f>
        <v>1E-3</v>
      </c>
    </row>
    <row r="226" spans="2:6" x14ac:dyDescent="0.25">
      <c r="B226" t="s">
        <v>482</v>
      </c>
      <c r="C226">
        <f>Design!G149</f>
        <v>50</v>
      </c>
      <c r="E226" s="50">
        <v>1E-3</v>
      </c>
      <c r="F226">
        <f>C226*E226</f>
        <v>0.05</v>
      </c>
    </row>
    <row r="227" spans="2:6" x14ac:dyDescent="0.25">
      <c r="B227" t="s">
        <v>483</v>
      </c>
      <c r="C227">
        <f>I.load*D.on_min_ideal*(1-D.on_min_ideal)/(V.in_ripple_required*f.sw)</f>
        <v>5.9101654846335695E-5</v>
      </c>
    </row>
    <row r="228" spans="2:6" x14ac:dyDescent="0.25">
      <c r="B228" t="s">
        <v>484</v>
      </c>
      <c r="C228">
        <f>I.load*0.5*(1-0.5)/(V.in_ripple_required*f.sw)</f>
        <v>1.0638297872340425E-4</v>
      </c>
    </row>
    <row r="229" spans="2:6" x14ac:dyDescent="0.25">
      <c r="B229" s="39" t="s">
        <v>485</v>
      </c>
      <c r="C229" s="50">
        <f>MAX(C227,C228,0.00001)</f>
        <v>1.0638297872340425E-4</v>
      </c>
    </row>
    <row r="230" spans="2:6" x14ac:dyDescent="0.25">
      <c r="B230" s="39" t="s">
        <v>486</v>
      </c>
      <c r="C230">
        <f>I.load*SQRT(D.on_min_ideal*(1-D.on_min_ideal))</f>
        <v>3.7267799624996494</v>
      </c>
    </row>
    <row r="231" spans="2:6" x14ac:dyDescent="0.25">
      <c r="B231" s="39" t="s">
        <v>487</v>
      </c>
      <c r="C231">
        <f>I.load*SQRT(0.5*(1-0.5))</f>
        <v>5</v>
      </c>
    </row>
    <row r="232" spans="2:6" x14ac:dyDescent="0.25">
      <c r="B232" s="39" t="s">
        <v>488</v>
      </c>
      <c r="C232" s="148">
        <f>MAX(C231,C230)</f>
        <v>5</v>
      </c>
    </row>
    <row r="234" spans="2:6" x14ac:dyDescent="0.25">
      <c r="B234" s="39" t="s">
        <v>489</v>
      </c>
      <c r="C234">
        <f>V.in_ripple_required/I.load</f>
        <v>5.0000000000000001E-3</v>
      </c>
    </row>
    <row r="245" spans="19:24" x14ac:dyDescent="0.25">
      <c r="S245" s="56"/>
      <c r="T245" s="56"/>
      <c r="U245" s="56"/>
      <c r="W245" s="59"/>
      <c r="X245" s="56"/>
    </row>
    <row r="246" spans="19:24" x14ac:dyDescent="0.25">
      <c r="S246" s="39"/>
      <c r="T246" s="39"/>
      <c r="U246" s="39"/>
      <c r="W246" s="60"/>
      <c r="X246" s="39"/>
    </row>
    <row r="247" spans="19:24" x14ac:dyDescent="0.25">
      <c r="X247"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A83-8CC2-49E6-B9A9-22225635CA6D}">
  <sheetPr codeName="Sheet4"/>
  <dimension ref="A1:D769"/>
  <sheetViews>
    <sheetView workbookViewId="0">
      <selection activeCell="F4" sqref="F4"/>
    </sheetView>
  </sheetViews>
  <sheetFormatPr defaultRowHeight="13.2" x14ac:dyDescent="0.25"/>
  <cols>
    <col min="3" max="3" width="27.33203125" bestFit="1" customWidth="1"/>
  </cols>
  <sheetData>
    <row r="1" spans="1:4" x14ac:dyDescent="0.25">
      <c r="A1">
        <v>1</v>
      </c>
    </row>
    <row r="2" spans="1:4" ht="14.4" x14ac:dyDescent="0.3">
      <c r="A2">
        <v>1.02</v>
      </c>
      <c r="C2" s="32" t="s">
        <v>104</v>
      </c>
      <c r="D2" s="32" t="s">
        <v>105</v>
      </c>
    </row>
    <row r="3" spans="1:4" x14ac:dyDescent="0.25">
      <c r="A3">
        <v>1.05</v>
      </c>
      <c r="C3" t="s">
        <v>130</v>
      </c>
      <c r="D3">
        <v>0</v>
      </c>
    </row>
    <row r="4" spans="1:4" x14ac:dyDescent="0.25">
      <c r="A4">
        <v>1.0699999999999998</v>
      </c>
      <c r="C4" t="s">
        <v>132</v>
      </c>
      <c r="D4">
        <v>1</v>
      </c>
    </row>
    <row r="5" spans="1:4" x14ac:dyDescent="0.25">
      <c r="A5">
        <v>1.1000000000000001</v>
      </c>
    </row>
    <row r="6" spans="1:4" ht="14.4" x14ac:dyDescent="0.3">
      <c r="A6">
        <v>1.1300000000000001</v>
      </c>
      <c r="C6" s="34" t="s">
        <v>5</v>
      </c>
      <c r="D6" s="32" t="s">
        <v>105</v>
      </c>
    </row>
    <row r="7" spans="1:4" x14ac:dyDescent="0.25">
      <c r="A7">
        <v>1.1499999999999999</v>
      </c>
      <c r="C7" s="33" t="s">
        <v>16</v>
      </c>
      <c r="D7">
        <v>1</v>
      </c>
    </row>
    <row r="8" spans="1:4" x14ac:dyDescent="0.25">
      <c r="A8">
        <v>1.1800000000000002</v>
      </c>
      <c r="C8" s="33" t="s">
        <v>131</v>
      </c>
      <c r="D8">
        <v>0</v>
      </c>
    </row>
    <row r="9" spans="1:4" x14ac:dyDescent="0.25">
      <c r="A9">
        <v>1.21</v>
      </c>
      <c r="C9" s="33"/>
    </row>
    <row r="10" spans="1:4" x14ac:dyDescent="0.25">
      <c r="A10">
        <v>1.24</v>
      </c>
      <c r="C10" s="55" t="s">
        <v>134</v>
      </c>
      <c r="D10" s="42" t="s">
        <v>105</v>
      </c>
    </row>
    <row r="11" spans="1:4" x14ac:dyDescent="0.25">
      <c r="A11">
        <v>1.27</v>
      </c>
      <c r="C11" s="33" t="s">
        <v>97</v>
      </c>
      <c r="D11">
        <v>1</v>
      </c>
    </row>
    <row r="12" spans="1:4" x14ac:dyDescent="0.25">
      <c r="A12">
        <v>1.3</v>
      </c>
      <c r="C12" s="33" t="s">
        <v>284</v>
      </c>
      <c r="D12">
        <v>0</v>
      </c>
    </row>
    <row r="13" spans="1:4" x14ac:dyDescent="0.25">
      <c r="A13">
        <v>1.33</v>
      </c>
    </row>
    <row r="14" spans="1:4" x14ac:dyDescent="0.25">
      <c r="A14">
        <v>1.3699999999999999</v>
      </c>
    </row>
    <row r="15" spans="1:4" x14ac:dyDescent="0.25">
      <c r="A15">
        <v>1.4</v>
      </c>
    </row>
    <row r="16" spans="1:4" x14ac:dyDescent="0.25">
      <c r="A16">
        <v>1.4300000000000002</v>
      </c>
    </row>
    <row r="17" spans="1:4" ht="14.4" x14ac:dyDescent="0.3">
      <c r="A17">
        <v>1.47</v>
      </c>
      <c r="C17" s="34"/>
      <c r="D17" s="32"/>
    </row>
    <row r="18" spans="1:4" x14ac:dyDescent="0.25">
      <c r="A18">
        <v>1.5</v>
      </c>
      <c r="C18" s="33"/>
    </row>
    <row r="19" spans="1:4" x14ac:dyDescent="0.25">
      <c r="A19">
        <v>1.54</v>
      </c>
      <c r="C19" s="33"/>
    </row>
    <row r="20" spans="1:4" x14ac:dyDescent="0.25">
      <c r="A20">
        <v>1.58</v>
      </c>
    </row>
    <row r="21" spans="1:4" ht="14.4" x14ac:dyDescent="0.3">
      <c r="A21">
        <v>1.6199999999999999</v>
      </c>
      <c r="C21" s="32"/>
      <c r="D21" s="32"/>
    </row>
    <row r="22" spans="1:4" x14ac:dyDescent="0.25">
      <c r="A22">
        <v>1.65</v>
      </c>
    </row>
    <row r="23" spans="1:4" x14ac:dyDescent="0.25">
      <c r="A23">
        <v>1.69</v>
      </c>
    </row>
    <row r="24" spans="1:4" x14ac:dyDescent="0.25">
      <c r="A24">
        <v>1.7399999999999998</v>
      </c>
    </row>
    <row r="25" spans="1:4" ht="14.4" x14ac:dyDescent="0.3">
      <c r="A25">
        <v>1.78</v>
      </c>
      <c r="C25" s="32"/>
      <c r="D25" s="32"/>
    </row>
    <row r="26" spans="1:4" x14ac:dyDescent="0.25">
      <c r="A26">
        <v>1.8199999999999998</v>
      </c>
    </row>
    <row r="27" spans="1:4" x14ac:dyDescent="0.25">
      <c r="A27">
        <v>1.8699999999999999</v>
      </c>
    </row>
    <row r="28" spans="1:4" x14ac:dyDescent="0.25">
      <c r="A28">
        <v>1.9100000000000001</v>
      </c>
    </row>
    <row r="29" spans="1:4" x14ac:dyDescent="0.25">
      <c r="A29">
        <v>1.9600000000000002</v>
      </c>
    </row>
    <row r="30" spans="1:4" x14ac:dyDescent="0.25">
      <c r="A30">
        <v>2</v>
      </c>
    </row>
    <row r="31" spans="1:4" x14ac:dyDescent="0.25">
      <c r="A31">
        <v>2.0499999999999998</v>
      </c>
    </row>
    <row r="32" spans="1:4" x14ac:dyDescent="0.25">
      <c r="A32">
        <v>2.1</v>
      </c>
    </row>
    <row r="33" spans="1:1" x14ac:dyDescent="0.25">
      <c r="A33">
        <v>2.15</v>
      </c>
    </row>
    <row r="34" spans="1:1" x14ac:dyDescent="0.25">
      <c r="A34">
        <v>2.21</v>
      </c>
    </row>
    <row r="35" spans="1:1" x14ac:dyDescent="0.25">
      <c r="A35">
        <v>2.2600000000000002</v>
      </c>
    </row>
    <row r="36" spans="1:1" x14ac:dyDescent="0.25">
      <c r="A36">
        <v>2.3199999999999998</v>
      </c>
    </row>
    <row r="37" spans="1:1" x14ac:dyDescent="0.25">
      <c r="A37">
        <v>2.37</v>
      </c>
    </row>
    <row r="38" spans="1:1" x14ac:dyDescent="0.25">
      <c r="A38">
        <v>2.4300000000000002</v>
      </c>
    </row>
    <row r="39" spans="1:1" x14ac:dyDescent="0.25">
      <c r="A39">
        <v>2.4899999999999998</v>
      </c>
    </row>
    <row r="40" spans="1:1" x14ac:dyDescent="0.25">
      <c r="A40">
        <v>2.5499999999999998</v>
      </c>
    </row>
    <row r="41" spans="1:1" x14ac:dyDescent="0.25">
      <c r="A41">
        <v>2.6100000000000003</v>
      </c>
    </row>
    <row r="42" spans="1:1" x14ac:dyDescent="0.25">
      <c r="A42">
        <v>2.67</v>
      </c>
    </row>
    <row r="43" spans="1:1" x14ac:dyDescent="0.25">
      <c r="A43">
        <v>2.7399999999999998</v>
      </c>
    </row>
    <row r="44" spans="1:1" x14ac:dyDescent="0.25">
      <c r="A44">
        <v>2.8</v>
      </c>
    </row>
    <row r="45" spans="1:1" x14ac:dyDescent="0.25">
      <c r="A45">
        <v>2.87</v>
      </c>
    </row>
    <row r="46" spans="1:1" x14ac:dyDescent="0.25">
      <c r="A46">
        <v>2.94</v>
      </c>
    </row>
    <row r="47" spans="1:1" x14ac:dyDescent="0.25">
      <c r="A47">
        <v>3.0100000000000002</v>
      </c>
    </row>
    <row r="48" spans="1:1" x14ac:dyDescent="0.25">
      <c r="A48">
        <v>3.09</v>
      </c>
    </row>
    <row r="49" spans="1:1" x14ac:dyDescent="0.25">
      <c r="A49">
        <v>3.16</v>
      </c>
    </row>
    <row r="50" spans="1:1" x14ac:dyDescent="0.25">
      <c r="A50">
        <v>3.2399999999999998</v>
      </c>
    </row>
    <row r="51" spans="1:1" x14ac:dyDescent="0.25">
      <c r="A51">
        <v>3.3200000000000003</v>
      </c>
    </row>
    <row r="52" spans="1:1" x14ac:dyDescent="0.25">
      <c r="A52">
        <v>3.4</v>
      </c>
    </row>
    <row r="53" spans="1:1" x14ac:dyDescent="0.25">
      <c r="A53">
        <v>3.4799999999999995</v>
      </c>
    </row>
    <row r="54" spans="1:1" x14ac:dyDescent="0.25">
      <c r="A54">
        <v>3.5700000000000003</v>
      </c>
    </row>
    <row r="55" spans="1:1" x14ac:dyDescent="0.25">
      <c r="A55">
        <v>3.65</v>
      </c>
    </row>
    <row r="56" spans="1:1" x14ac:dyDescent="0.25">
      <c r="A56">
        <v>3.7399999999999998</v>
      </c>
    </row>
    <row r="57" spans="1:1" x14ac:dyDescent="0.25">
      <c r="A57">
        <v>3.8299999999999996</v>
      </c>
    </row>
    <row r="58" spans="1:1" x14ac:dyDescent="0.25">
      <c r="A58">
        <v>3.9200000000000004</v>
      </c>
    </row>
    <row r="59" spans="1:1" x14ac:dyDescent="0.25">
      <c r="A59">
        <v>4.0200000000000005</v>
      </c>
    </row>
    <row r="60" spans="1:1" x14ac:dyDescent="0.25">
      <c r="A60">
        <v>4.12</v>
      </c>
    </row>
    <row r="61" spans="1:1" x14ac:dyDescent="0.25">
      <c r="A61">
        <v>4.2200000000000006</v>
      </c>
    </row>
    <row r="62" spans="1:1" x14ac:dyDescent="0.25">
      <c r="A62">
        <v>4.32</v>
      </c>
    </row>
    <row r="63" spans="1:1" x14ac:dyDescent="0.25">
      <c r="A63">
        <v>4.42</v>
      </c>
    </row>
    <row r="64" spans="1:1" x14ac:dyDescent="0.25">
      <c r="A64">
        <v>4.5299999999999994</v>
      </c>
    </row>
    <row r="65" spans="1:1" x14ac:dyDescent="0.25">
      <c r="A65">
        <v>4.6399999999999997</v>
      </c>
    </row>
    <row r="66" spans="1:1" x14ac:dyDescent="0.25">
      <c r="A66">
        <v>4.75</v>
      </c>
    </row>
    <row r="67" spans="1:1" x14ac:dyDescent="0.25">
      <c r="A67">
        <v>4.87</v>
      </c>
    </row>
    <row r="68" spans="1:1" x14ac:dyDescent="0.25">
      <c r="A68">
        <v>4.99</v>
      </c>
    </row>
    <row r="69" spans="1:1" x14ac:dyDescent="0.25">
      <c r="A69">
        <v>5.1100000000000003</v>
      </c>
    </row>
    <row r="70" spans="1:1" x14ac:dyDescent="0.25">
      <c r="A70">
        <v>5.2299999999999995</v>
      </c>
    </row>
    <row r="71" spans="1:1" x14ac:dyDescent="0.25">
      <c r="A71">
        <v>5.36</v>
      </c>
    </row>
    <row r="72" spans="1:1" x14ac:dyDescent="0.25">
      <c r="A72">
        <v>5.49</v>
      </c>
    </row>
    <row r="73" spans="1:1" x14ac:dyDescent="0.25">
      <c r="A73">
        <v>5.62</v>
      </c>
    </row>
    <row r="74" spans="1:1" x14ac:dyDescent="0.25">
      <c r="A74">
        <v>5.76</v>
      </c>
    </row>
    <row r="75" spans="1:1" x14ac:dyDescent="0.25">
      <c r="A75">
        <v>5.9</v>
      </c>
    </row>
    <row r="76" spans="1:1" x14ac:dyDescent="0.25">
      <c r="A76">
        <v>6.04</v>
      </c>
    </row>
    <row r="77" spans="1:1" x14ac:dyDescent="0.25">
      <c r="A77">
        <v>6.1899999999999995</v>
      </c>
    </row>
    <row r="78" spans="1:1" x14ac:dyDescent="0.25">
      <c r="A78">
        <v>6.34</v>
      </c>
    </row>
    <row r="79" spans="1:1" x14ac:dyDescent="0.25">
      <c r="A79">
        <v>6.49</v>
      </c>
    </row>
    <row r="80" spans="1:1" x14ac:dyDescent="0.25">
      <c r="A80">
        <v>6.65</v>
      </c>
    </row>
    <row r="81" spans="1:1" x14ac:dyDescent="0.25">
      <c r="A81">
        <v>6.81</v>
      </c>
    </row>
    <row r="82" spans="1:1" x14ac:dyDescent="0.25">
      <c r="A82">
        <v>6.9799999999999995</v>
      </c>
    </row>
    <row r="83" spans="1:1" x14ac:dyDescent="0.25">
      <c r="A83">
        <v>7.15</v>
      </c>
    </row>
    <row r="84" spans="1:1" x14ac:dyDescent="0.25">
      <c r="A84">
        <v>7.32</v>
      </c>
    </row>
    <row r="85" spans="1:1" x14ac:dyDescent="0.25">
      <c r="A85">
        <v>7.5</v>
      </c>
    </row>
    <row r="86" spans="1:1" x14ac:dyDescent="0.25">
      <c r="A86">
        <v>7.68</v>
      </c>
    </row>
    <row r="87" spans="1:1" x14ac:dyDescent="0.25">
      <c r="A87">
        <v>7.87</v>
      </c>
    </row>
    <row r="88" spans="1:1" x14ac:dyDescent="0.25">
      <c r="A88">
        <v>8.0599999999999987</v>
      </c>
    </row>
    <row r="89" spans="1:1" x14ac:dyDescent="0.25">
      <c r="A89">
        <v>8.25</v>
      </c>
    </row>
    <row r="90" spans="1:1" x14ac:dyDescent="0.25">
      <c r="A90">
        <v>8.4499999999999993</v>
      </c>
    </row>
    <row r="91" spans="1:1" x14ac:dyDescent="0.25">
      <c r="A91">
        <v>8.66</v>
      </c>
    </row>
    <row r="92" spans="1:1" x14ac:dyDescent="0.25">
      <c r="A92">
        <v>8.870000000000001</v>
      </c>
    </row>
    <row r="93" spans="1:1" x14ac:dyDescent="0.25">
      <c r="A93">
        <v>9.09</v>
      </c>
    </row>
    <row r="94" spans="1:1" x14ac:dyDescent="0.25">
      <c r="A94">
        <v>9.3099999999999987</v>
      </c>
    </row>
    <row r="95" spans="1:1" x14ac:dyDescent="0.25">
      <c r="A95">
        <v>9.5299999999999994</v>
      </c>
    </row>
    <row r="96" spans="1:1" x14ac:dyDescent="0.25">
      <c r="A96">
        <v>9.76</v>
      </c>
    </row>
    <row r="97" spans="1:1" x14ac:dyDescent="0.25">
      <c r="A97">
        <f>A1*10</f>
        <v>10</v>
      </c>
    </row>
    <row r="98" spans="1:1" x14ac:dyDescent="0.25">
      <c r="A98">
        <f t="shared" ref="A98:A161" si="0">A2*10</f>
        <v>10.199999999999999</v>
      </c>
    </row>
    <row r="99" spans="1:1" x14ac:dyDescent="0.25">
      <c r="A99">
        <f t="shared" si="0"/>
        <v>10.5</v>
      </c>
    </row>
    <row r="100" spans="1:1" x14ac:dyDescent="0.25">
      <c r="A100">
        <f t="shared" si="0"/>
        <v>10.7</v>
      </c>
    </row>
    <row r="101" spans="1:1" x14ac:dyDescent="0.25">
      <c r="A101">
        <f t="shared" si="0"/>
        <v>11</v>
      </c>
    </row>
    <row r="102" spans="1:1" x14ac:dyDescent="0.25">
      <c r="A102">
        <f t="shared" si="0"/>
        <v>11.3</v>
      </c>
    </row>
    <row r="103" spans="1:1" x14ac:dyDescent="0.25">
      <c r="A103">
        <f t="shared" si="0"/>
        <v>11.5</v>
      </c>
    </row>
    <row r="104" spans="1:1" x14ac:dyDescent="0.25">
      <c r="A104">
        <f t="shared" si="0"/>
        <v>11.8</v>
      </c>
    </row>
    <row r="105" spans="1:1" x14ac:dyDescent="0.25">
      <c r="A105">
        <f t="shared" si="0"/>
        <v>12.1</v>
      </c>
    </row>
    <row r="106" spans="1:1" x14ac:dyDescent="0.25">
      <c r="A106">
        <f t="shared" si="0"/>
        <v>12.4</v>
      </c>
    </row>
    <row r="107" spans="1:1" x14ac:dyDescent="0.25">
      <c r="A107">
        <f t="shared" si="0"/>
        <v>12.7</v>
      </c>
    </row>
    <row r="108" spans="1:1" x14ac:dyDescent="0.25">
      <c r="A108">
        <f t="shared" si="0"/>
        <v>13</v>
      </c>
    </row>
    <row r="109" spans="1:1" x14ac:dyDescent="0.25">
      <c r="A109">
        <f t="shared" si="0"/>
        <v>13.3</v>
      </c>
    </row>
    <row r="110" spans="1:1" x14ac:dyDescent="0.25">
      <c r="A110">
        <f t="shared" si="0"/>
        <v>13.7</v>
      </c>
    </row>
    <row r="111" spans="1:1" x14ac:dyDescent="0.25">
      <c r="A111">
        <f t="shared" si="0"/>
        <v>14</v>
      </c>
    </row>
    <row r="112" spans="1:1" x14ac:dyDescent="0.25">
      <c r="A112">
        <f t="shared" si="0"/>
        <v>14.3</v>
      </c>
    </row>
    <row r="113" spans="1:1" x14ac:dyDescent="0.25">
      <c r="A113">
        <f t="shared" si="0"/>
        <v>14.7</v>
      </c>
    </row>
    <row r="114" spans="1:1" x14ac:dyDescent="0.25">
      <c r="A114">
        <f t="shared" si="0"/>
        <v>15</v>
      </c>
    </row>
    <row r="115" spans="1:1" x14ac:dyDescent="0.25">
      <c r="A115">
        <f t="shared" si="0"/>
        <v>15.4</v>
      </c>
    </row>
    <row r="116" spans="1:1" x14ac:dyDescent="0.25">
      <c r="A116">
        <f t="shared" si="0"/>
        <v>15.8</v>
      </c>
    </row>
    <row r="117" spans="1:1" x14ac:dyDescent="0.25">
      <c r="A117">
        <f t="shared" si="0"/>
        <v>16.2</v>
      </c>
    </row>
    <row r="118" spans="1:1" x14ac:dyDescent="0.25">
      <c r="A118">
        <f t="shared" si="0"/>
        <v>16.5</v>
      </c>
    </row>
    <row r="119" spans="1:1" x14ac:dyDescent="0.25">
      <c r="A119">
        <f t="shared" si="0"/>
        <v>16.899999999999999</v>
      </c>
    </row>
    <row r="120" spans="1:1" x14ac:dyDescent="0.25">
      <c r="A120">
        <f t="shared" si="0"/>
        <v>17.399999999999999</v>
      </c>
    </row>
    <row r="121" spans="1:1" x14ac:dyDescent="0.25">
      <c r="A121">
        <f t="shared" si="0"/>
        <v>17.8</v>
      </c>
    </row>
    <row r="122" spans="1:1" x14ac:dyDescent="0.25">
      <c r="A122">
        <f t="shared" si="0"/>
        <v>18.2</v>
      </c>
    </row>
    <row r="123" spans="1:1" x14ac:dyDescent="0.25">
      <c r="A123">
        <f t="shared" si="0"/>
        <v>18.7</v>
      </c>
    </row>
    <row r="124" spans="1:1" x14ac:dyDescent="0.25">
      <c r="A124">
        <f t="shared" si="0"/>
        <v>19.100000000000001</v>
      </c>
    </row>
    <row r="125" spans="1:1" x14ac:dyDescent="0.25">
      <c r="A125">
        <f t="shared" si="0"/>
        <v>19.600000000000001</v>
      </c>
    </row>
    <row r="126" spans="1:1" x14ac:dyDescent="0.25">
      <c r="A126">
        <f t="shared" si="0"/>
        <v>20</v>
      </c>
    </row>
    <row r="127" spans="1:1" x14ac:dyDescent="0.25">
      <c r="A127">
        <f t="shared" si="0"/>
        <v>20.5</v>
      </c>
    </row>
    <row r="128" spans="1:1" x14ac:dyDescent="0.25">
      <c r="A128">
        <f t="shared" si="0"/>
        <v>21</v>
      </c>
    </row>
    <row r="129" spans="1:1" x14ac:dyDescent="0.25">
      <c r="A129">
        <f t="shared" si="0"/>
        <v>21.5</v>
      </c>
    </row>
    <row r="130" spans="1:1" x14ac:dyDescent="0.25">
      <c r="A130">
        <f t="shared" si="0"/>
        <v>22.1</v>
      </c>
    </row>
    <row r="131" spans="1:1" x14ac:dyDescent="0.25">
      <c r="A131">
        <f t="shared" si="0"/>
        <v>22.6</v>
      </c>
    </row>
    <row r="132" spans="1:1" x14ac:dyDescent="0.25">
      <c r="A132">
        <f t="shared" si="0"/>
        <v>23.2</v>
      </c>
    </row>
    <row r="133" spans="1:1" x14ac:dyDescent="0.25">
      <c r="A133">
        <f t="shared" si="0"/>
        <v>23.700000000000003</v>
      </c>
    </row>
    <row r="134" spans="1:1" x14ac:dyDescent="0.25">
      <c r="A134">
        <f t="shared" si="0"/>
        <v>24.3</v>
      </c>
    </row>
    <row r="135" spans="1:1" x14ac:dyDescent="0.25">
      <c r="A135">
        <f t="shared" si="0"/>
        <v>24.9</v>
      </c>
    </row>
    <row r="136" spans="1:1" x14ac:dyDescent="0.25">
      <c r="A136">
        <f t="shared" si="0"/>
        <v>25.5</v>
      </c>
    </row>
    <row r="137" spans="1:1" x14ac:dyDescent="0.25">
      <c r="A137">
        <f t="shared" si="0"/>
        <v>26.1</v>
      </c>
    </row>
    <row r="138" spans="1:1" x14ac:dyDescent="0.25">
      <c r="A138">
        <f t="shared" si="0"/>
        <v>26.7</v>
      </c>
    </row>
    <row r="139" spans="1:1" x14ac:dyDescent="0.25">
      <c r="A139">
        <f t="shared" si="0"/>
        <v>27.4</v>
      </c>
    </row>
    <row r="140" spans="1:1" x14ac:dyDescent="0.25">
      <c r="A140">
        <f t="shared" si="0"/>
        <v>28</v>
      </c>
    </row>
    <row r="141" spans="1:1" x14ac:dyDescent="0.25">
      <c r="A141">
        <f t="shared" si="0"/>
        <v>28.700000000000003</v>
      </c>
    </row>
    <row r="142" spans="1:1" x14ac:dyDescent="0.25">
      <c r="A142">
        <f t="shared" si="0"/>
        <v>29.4</v>
      </c>
    </row>
    <row r="143" spans="1:1" x14ac:dyDescent="0.25">
      <c r="A143">
        <f t="shared" si="0"/>
        <v>30.1</v>
      </c>
    </row>
    <row r="144" spans="1:1" x14ac:dyDescent="0.25">
      <c r="A144">
        <f t="shared" si="0"/>
        <v>30.9</v>
      </c>
    </row>
    <row r="145" spans="1:1" x14ac:dyDescent="0.25">
      <c r="A145">
        <f t="shared" si="0"/>
        <v>31.6</v>
      </c>
    </row>
    <row r="146" spans="1:1" x14ac:dyDescent="0.25">
      <c r="A146">
        <f t="shared" si="0"/>
        <v>32.4</v>
      </c>
    </row>
    <row r="147" spans="1:1" x14ac:dyDescent="0.25">
      <c r="A147">
        <f t="shared" si="0"/>
        <v>33.200000000000003</v>
      </c>
    </row>
    <row r="148" spans="1:1" x14ac:dyDescent="0.25">
      <c r="A148">
        <f t="shared" si="0"/>
        <v>34</v>
      </c>
    </row>
    <row r="149" spans="1:1" x14ac:dyDescent="0.25">
      <c r="A149">
        <f t="shared" si="0"/>
        <v>34.799999999999997</v>
      </c>
    </row>
    <row r="150" spans="1:1" x14ac:dyDescent="0.25">
      <c r="A150">
        <f t="shared" si="0"/>
        <v>35.700000000000003</v>
      </c>
    </row>
    <row r="151" spans="1:1" x14ac:dyDescent="0.25">
      <c r="A151">
        <f t="shared" si="0"/>
        <v>36.5</v>
      </c>
    </row>
    <row r="152" spans="1:1" x14ac:dyDescent="0.25">
      <c r="A152">
        <f t="shared" si="0"/>
        <v>37.4</v>
      </c>
    </row>
    <row r="153" spans="1:1" x14ac:dyDescent="0.25">
      <c r="A153">
        <f t="shared" si="0"/>
        <v>38.299999999999997</v>
      </c>
    </row>
    <row r="154" spans="1:1" x14ac:dyDescent="0.25">
      <c r="A154">
        <f t="shared" si="0"/>
        <v>39.200000000000003</v>
      </c>
    </row>
    <row r="155" spans="1:1" x14ac:dyDescent="0.25">
      <c r="A155">
        <f t="shared" si="0"/>
        <v>40.200000000000003</v>
      </c>
    </row>
    <row r="156" spans="1:1" x14ac:dyDescent="0.25">
      <c r="A156">
        <f t="shared" si="0"/>
        <v>41.2</v>
      </c>
    </row>
    <row r="157" spans="1:1" x14ac:dyDescent="0.25">
      <c r="A157">
        <f t="shared" si="0"/>
        <v>42.2</v>
      </c>
    </row>
    <row r="158" spans="1:1" x14ac:dyDescent="0.25">
      <c r="A158">
        <f t="shared" si="0"/>
        <v>43.2</v>
      </c>
    </row>
    <row r="159" spans="1:1" x14ac:dyDescent="0.25">
      <c r="A159">
        <f t="shared" si="0"/>
        <v>44.2</v>
      </c>
    </row>
    <row r="160" spans="1:1" x14ac:dyDescent="0.25">
      <c r="A160">
        <f t="shared" si="0"/>
        <v>45.3</v>
      </c>
    </row>
    <row r="161" spans="1:1" x14ac:dyDescent="0.25">
      <c r="A161">
        <f t="shared" si="0"/>
        <v>46.4</v>
      </c>
    </row>
    <row r="162" spans="1:1" x14ac:dyDescent="0.25">
      <c r="A162">
        <f t="shared" ref="A162:A225" si="1">A66*10</f>
        <v>47.5</v>
      </c>
    </row>
    <row r="163" spans="1:1" x14ac:dyDescent="0.25">
      <c r="A163">
        <f t="shared" si="1"/>
        <v>48.7</v>
      </c>
    </row>
    <row r="164" spans="1:1" x14ac:dyDescent="0.25">
      <c r="A164">
        <f t="shared" si="1"/>
        <v>49.900000000000006</v>
      </c>
    </row>
    <row r="165" spans="1:1" x14ac:dyDescent="0.25">
      <c r="A165">
        <f t="shared" si="1"/>
        <v>51.1</v>
      </c>
    </row>
    <row r="166" spans="1:1" x14ac:dyDescent="0.25">
      <c r="A166">
        <f t="shared" si="1"/>
        <v>52.3</v>
      </c>
    </row>
    <row r="167" spans="1:1" x14ac:dyDescent="0.25">
      <c r="A167">
        <f t="shared" si="1"/>
        <v>53.6</v>
      </c>
    </row>
    <row r="168" spans="1:1" x14ac:dyDescent="0.25">
      <c r="A168">
        <f t="shared" si="1"/>
        <v>54.900000000000006</v>
      </c>
    </row>
    <row r="169" spans="1:1" x14ac:dyDescent="0.25">
      <c r="A169">
        <f t="shared" si="1"/>
        <v>56.2</v>
      </c>
    </row>
    <row r="170" spans="1:1" x14ac:dyDescent="0.25">
      <c r="A170">
        <f t="shared" si="1"/>
        <v>57.599999999999994</v>
      </c>
    </row>
    <row r="171" spans="1:1" x14ac:dyDescent="0.25">
      <c r="A171">
        <f t="shared" si="1"/>
        <v>59</v>
      </c>
    </row>
    <row r="172" spans="1:1" x14ac:dyDescent="0.25">
      <c r="A172">
        <f t="shared" si="1"/>
        <v>60.4</v>
      </c>
    </row>
    <row r="173" spans="1:1" x14ac:dyDescent="0.25">
      <c r="A173">
        <f t="shared" si="1"/>
        <v>61.899999999999991</v>
      </c>
    </row>
    <row r="174" spans="1:1" x14ac:dyDescent="0.25">
      <c r="A174">
        <f t="shared" si="1"/>
        <v>63.4</v>
      </c>
    </row>
    <row r="175" spans="1:1" x14ac:dyDescent="0.25">
      <c r="A175">
        <f t="shared" si="1"/>
        <v>64.900000000000006</v>
      </c>
    </row>
    <row r="176" spans="1:1" x14ac:dyDescent="0.25">
      <c r="A176">
        <f t="shared" si="1"/>
        <v>66.5</v>
      </c>
    </row>
    <row r="177" spans="1:1" x14ac:dyDescent="0.25">
      <c r="A177">
        <f t="shared" si="1"/>
        <v>68.099999999999994</v>
      </c>
    </row>
    <row r="178" spans="1:1" x14ac:dyDescent="0.25">
      <c r="A178">
        <f t="shared" si="1"/>
        <v>69.8</v>
      </c>
    </row>
    <row r="179" spans="1:1" x14ac:dyDescent="0.25">
      <c r="A179">
        <f t="shared" si="1"/>
        <v>71.5</v>
      </c>
    </row>
    <row r="180" spans="1:1" x14ac:dyDescent="0.25">
      <c r="A180">
        <f t="shared" si="1"/>
        <v>73.2</v>
      </c>
    </row>
    <row r="181" spans="1:1" x14ac:dyDescent="0.25">
      <c r="A181">
        <f t="shared" si="1"/>
        <v>75</v>
      </c>
    </row>
    <row r="182" spans="1:1" x14ac:dyDescent="0.25">
      <c r="A182">
        <f t="shared" si="1"/>
        <v>76.8</v>
      </c>
    </row>
    <row r="183" spans="1:1" x14ac:dyDescent="0.25">
      <c r="A183">
        <f t="shared" si="1"/>
        <v>78.7</v>
      </c>
    </row>
    <row r="184" spans="1:1" x14ac:dyDescent="0.25">
      <c r="A184">
        <f t="shared" si="1"/>
        <v>80.599999999999994</v>
      </c>
    </row>
    <row r="185" spans="1:1" x14ac:dyDescent="0.25">
      <c r="A185">
        <f t="shared" si="1"/>
        <v>82.5</v>
      </c>
    </row>
    <row r="186" spans="1:1" x14ac:dyDescent="0.25">
      <c r="A186">
        <f t="shared" si="1"/>
        <v>84.5</v>
      </c>
    </row>
    <row r="187" spans="1:1" x14ac:dyDescent="0.25">
      <c r="A187">
        <f t="shared" si="1"/>
        <v>86.6</v>
      </c>
    </row>
    <row r="188" spans="1:1" x14ac:dyDescent="0.25">
      <c r="A188">
        <f t="shared" si="1"/>
        <v>88.700000000000017</v>
      </c>
    </row>
    <row r="189" spans="1:1" x14ac:dyDescent="0.25">
      <c r="A189">
        <f t="shared" si="1"/>
        <v>90.9</v>
      </c>
    </row>
    <row r="190" spans="1:1" x14ac:dyDescent="0.25">
      <c r="A190">
        <f t="shared" si="1"/>
        <v>93.1</v>
      </c>
    </row>
    <row r="191" spans="1:1" x14ac:dyDescent="0.25">
      <c r="A191">
        <f t="shared" si="1"/>
        <v>95.3</v>
      </c>
    </row>
    <row r="192" spans="1:1" x14ac:dyDescent="0.25">
      <c r="A192">
        <f t="shared" si="1"/>
        <v>97.6</v>
      </c>
    </row>
    <row r="193" spans="1:1" x14ac:dyDescent="0.25">
      <c r="A193">
        <f t="shared" si="1"/>
        <v>100</v>
      </c>
    </row>
    <row r="194" spans="1:1" x14ac:dyDescent="0.25">
      <c r="A194">
        <f t="shared" si="1"/>
        <v>102</v>
      </c>
    </row>
    <row r="195" spans="1:1" x14ac:dyDescent="0.25">
      <c r="A195">
        <f t="shared" si="1"/>
        <v>105</v>
      </c>
    </row>
    <row r="196" spans="1:1" x14ac:dyDescent="0.25">
      <c r="A196">
        <f t="shared" si="1"/>
        <v>107</v>
      </c>
    </row>
    <row r="197" spans="1:1" x14ac:dyDescent="0.25">
      <c r="A197">
        <f t="shared" si="1"/>
        <v>110</v>
      </c>
    </row>
    <row r="198" spans="1:1" x14ac:dyDescent="0.25">
      <c r="A198">
        <f t="shared" si="1"/>
        <v>113</v>
      </c>
    </row>
    <row r="199" spans="1:1" x14ac:dyDescent="0.25">
      <c r="A199">
        <f t="shared" si="1"/>
        <v>115</v>
      </c>
    </row>
    <row r="200" spans="1:1" x14ac:dyDescent="0.25">
      <c r="A200">
        <f t="shared" si="1"/>
        <v>118</v>
      </c>
    </row>
    <row r="201" spans="1:1" x14ac:dyDescent="0.25">
      <c r="A201">
        <f t="shared" si="1"/>
        <v>121</v>
      </c>
    </row>
    <row r="202" spans="1:1" x14ac:dyDescent="0.25">
      <c r="A202">
        <f t="shared" si="1"/>
        <v>124</v>
      </c>
    </row>
    <row r="203" spans="1:1" x14ac:dyDescent="0.25">
      <c r="A203">
        <f t="shared" si="1"/>
        <v>127</v>
      </c>
    </row>
    <row r="204" spans="1:1" x14ac:dyDescent="0.25">
      <c r="A204">
        <f t="shared" si="1"/>
        <v>130</v>
      </c>
    </row>
    <row r="205" spans="1:1" x14ac:dyDescent="0.25">
      <c r="A205">
        <f t="shared" si="1"/>
        <v>133</v>
      </c>
    </row>
    <row r="206" spans="1:1" x14ac:dyDescent="0.25">
      <c r="A206">
        <f t="shared" si="1"/>
        <v>137</v>
      </c>
    </row>
    <row r="207" spans="1:1" x14ac:dyDescent="0.25">
      <c r="A207">
        <f t="shared" si="1"/>
        <v>140</v>
      </c>
    </row>
    <row r="208" spans="1:1" x14ac:dyDescent="0.25">
      <c r="A208">
        <f t="shared" si="1"/>
        <v>143</v>
      </c>
    </row>
    <row r="209" spans="1:1" x14ac:dyDescent="0.25">
      <c r="A209">
        <f t="shared" si="1"/>
        <v>147</v>
      </c>
    </row>
    <row r="210" spans="1:1" x14ac:dyDescent="0.25">
      <c r="A210">
        <f t="shared" si="1"/>
        <v>150</v>
      </c>
    </row>
    <row r="211" spans="1:1" x14ac:dyDescent="0.25">
      <c r="A211">
        <f t="shared" si="1"/>
        <v>154</v>
      </c>
    </row>
    <row r="212" spans="1:1" x14ac:dyDescent="0.25">
      <c r="A212">
        <f t="shared" si="1"/>
        <v>158</v>
      </c>
    </row>
    <row r="213" spans="1:1" x14ac:dyDescent="0.25">
      <c r="A213">
        <f t="shared" si="1"/>
        <v>162</v>
      </c>
    </row>
    <row r="214" spans="1:1" x14ac:dyDescent="0.25">
      <c r="A214">
        <f t="shared" si="1"/>
        <v>165</v>
      </c>
    </row>
    <row r="215" spans="1:1" x14ac:dyDescent="0.25">
      <c r="A215">
        <f t="shared" si="1"/>
        <v>169</v>
      </c>
    </row>
    <row r="216" spans="1:1" x14ac:dyDescent="0.25">
      <c r="A216">
        <f t="shared" si="1"/>
        <v>174</v>
      </c>
    </row>
    <row r="217" spans="1:1" x14ac:dyDescent="0.25">
      <c r="A217">
        <f t="shared" si="1"/>
        <v>178</v>
      </c>
    </row>
    <row r="218" spans="1:1" x14ac:dyDescent="0.25">
      <c r="A218">
        <f t="shared" si="1"/>
        <v>182</v>
      </c>
    </row>
    <row r="219" spans="1:1" x14ac:dyDescent="0.25">
      <c r="A219">
        <f t="shared" si="1"/>
        <v>187</v>
      </c>
    </row>
    <row r="220" spans="1:1" x14ac:dyDescent="0.25">
      <c r="A220">
        <f t="shared" si="1"/>
        <v>191</v>
      </c>
    </row>
    <row r="221" spans="1:1" x14ac:dyDescent="0.25">
      <c r="A221">
        <f t="shared" si="1"/>
        <v>196</v>
      </c>
    </row>
    <row r="222" spans="1:1" x14ac:dyDescent="0.25">
      <c r="A222">
        <f t="shared" si="1"/>
        <v>200</v>
      </c>
    </row>
    <row r="223" spans="1:1" x14ac:dyDescent="0.25">
      <c r="A223">
        <f t="shared" si="1"/>
        <v>205</v>
      </c>
    </row>
    <row r="224" spans="1:1" x14ac:dyDescent="0.25">
      <c r="A224">
        <f t="shared" si="1"/>
        <v>210</v>
      </c>
    </row>
    <row r="225" spans="1:1" x14ac:dyDescent="0.25">
      <c r="A225">
        <f t="shared" si="1"/>
        <v>215</v>
      </c>
    </row>
    <row r="226" spans="1:1" x14ac:dyDescent="0.25">
      <c r="A226">
        <f t="shared" ref="A226:A289" si="2">A130*10</f>
        <v>221</v>
      </c>
    </row>
    <row r="227" spans="1:1" x14ac:dyDescent="0.25">
      <c r="A227">
        <f t="shared" si="2"/>
        <v>226</v>
      </c>
    </row>
    <row r="228" spans="1:1" x14ac:dyDescent="0.25">
      <c r="A228">
        <f t="shared" si="2"/>
        <v>232</v>
      </c>
    </row>
    <row r="229" spans="1:1" x14ac:dyDescent="0.25">
      <c r="A229">
        <f t="shared" si="2"/>
        <v>237.00000000000003</v>
      </c>
    </row>
    <row r="230" spans="1:1" x14ac:dyDescent="0.25">
      <c r="A230">
        <f t="shared" si="2"/>
        <v>243</v>
      </c>
    </row>
    <row r="231" spans="1:1" x14ac:dyDescent="0.25">
      <c r="A231">
        <f t="shared" si="2"/>
        <v>249</v>
      </c>
    </row>
    <row r="232" spans="1:1" x14ac:dyDescent="0.25">
      <c r="A232">
        <f t="shared" si="2"/>
        <v>255</v>
      </c>
    </row>
    <row r="233" spans="1:1" x14ac:dyDescent="0.25">
      <c r="A233">
        <f t="shared" si="2"/>
        <v>261</v>
      </c>
    </row>
    <row r="234" spans="1:1" x14ac:dyDescent="0.25">
      <c r="A234">
        <f t="shared" si="2"/>
        <v>267</v>
      </c>
    </row>
    <row r="235" spans="1:1" x14ac:dyDescent="0.25">
      <c r="A235">
        <f t="shared" si="2"/>
        <v>274</v>
      </c>
    </row>
    <row r="236" spans="1:1" x14ac:dyDescent="0.25">
      <c r="A236">
        <f t="shared" si="2"/>
        <v>280</v>
      </c>
    </row>
    <row r="237" spans="1:1" x14ac:dyDescent="0.25">
      <c r="A237">
        <f t="shared" si="2"/>
        <v>287</v>
      </c>
    </row>
    <row r="238" spans="1:1" x14ac:dyDescent="0.25">
      <c r="A238">
        <f t="shared" si="2"/>
        <v>294</v>
      </c>
    </row>
    <row r="239" spans="1:1" x14ac:dyDescent="0.25">
      <c r="A239">
        <f t="shared" si="2"/>
        <v>301</v>
      </c>
    </row>
    <row r="240" spans="1:1" x14ac:dyDescent="0.25">
      <c r="A240">
        <f t="shared" si="2"/>
        <v>309</v>
      </c>
    </row>
    <row r="241" spans="1:1" x14ac:dyDescent="0.25">
      <c r="A241">
        <f t="shared" si="2"/>
        <v>316</v>
      </c>
    </row>
    <row r="242" spans="1:1" x14ac:dyDescent="0.25">
      <c r="A242">
        <f t="shared" si="2"/>
        <v>324</v>
      </c>
    </row>
    <row r="243" spans="1:1" x14ac:dyDescent="0.25">
      <c r="A243">
        <f t="shared" si="2"/>
        <v>332</v>
      </c>
    </row>
    <row r="244" spans="1:1" x14ac:dyDescent="0.25">
      <c r="A244">
        <f t="shared" si="2"/>
        <v>340</v>
      </c>
    </row>
    <row r="245" spans="1:1" x14ac:dyDescent="0.25">
      <c r="A245">
        <f t="shared" si="2"/>
        <v>348</v>
      </c>
    </row>
    <row r="246" spans="1:1" x14ac:dyDescent="0.25">
      <c r="A246">
        <f t="shared" si="2"/>
        <v>357</v>
      </c>
    </row>
    <row r="247" spans="1:1" x14ac:dyDescent="0.25">
      <c r="A247">
        <f t="shared" si="2"/>
        <v>365</v>
      </c>
    </row>
    <row r="248" spans="1:1" x14ac:dyDescent="0.25">
      <c r="A248">
        <f t="shared" si="2"/>
        <v>374</v>
      </c>
    </row>
    <row r="249" spans="1:1" x14ac:dyDescent="0.25">
      <c r="A249">
        <f t="shared" si="2"/>
        <v>383</v>
      </c>
    </row>
    <row r="250" spans="1:1" x14ac:dyDescent="0.25">
      <c r="A250">
        <f t="shared" si="2"/>
        <v>392</v>
      </c>
    </row>
    <row r="251" spans="1:1" x14ac:dyDescent="0.25">
      <c r="A251">
        <f t="shared" si="2"/>
        <v>402</v>
      </c>
    </row>
    <row r="252" spans="1:1" x14ac:dyDescent="0.25">
      <c r="A252">
        <f t="shared" si="2"/>
        <v>412</v>
      </c>
    </row>
    <row r="253" spans="1:1" x14ac:dyDescent="0.25">
      <c r="A253">
        <f t="shared" si="2"/>
        <v>422</v>
      </c>
    </row>
    <row r="254" spans="1:1" x14ac:dyDescent="0.25">
      <c r="A254">
        <f t="shared" si="2"/>
        <v>432</v>
      </c>
    </row>
    <row r="255" spans="1:1" x14ac:dyDescent="0.25">
      <c r="A255">
        <f t="shared" si="2"/>
        <v>442</v>
      </c>
    </row>
    <row r="256" spans="1:1" x14ac:dyDescent="0.25">
      <c r="A256">
        <f t="shared" si="2"/>
        <v>453</v>
      </c>
    </row>
    <row r="257" spans="1:1" x14ac:dyDescent="0.25">
      <c r="A257">
        <f t="shared" si="2"/>
        <v>464</v>
      </c>
    </row>
    <row r="258" spans="1:1" x14ac:dyDescent="0.25">
      <c r="A258">
        <f t="shared" si="2"/>
        <v>475</v>
      </c>
    </row>
    <row r="259" spans="1:1" x14ac:dyDescent="0.25">
      <c r="A259">
        <f t="shared" si="2"/>
        <v>487</v>
      </c>
    </row>
    <row r="260" spans="1:1" x14ac:dyDescent="0.25">
      <c r="A260">
        <f t="shared" si="2"/>
        <v>499.00000000000006</v>
      </c>
    </row>
    <row r="261" spans="1:1" x14ac:dyDescent="0.25">
      <c r="A261">
        <f t="shared" si="2"/>
        <v>511</v>
      </c>
    </row>
    <row r="262" spans="1:1" x14ac:dyDescent="0.25">
      <c r="A262">
        <f t="shared" si="2"/>
        <v>523</v>
      </c>
    </row>
    <row r="263" spans="1:1" x14ac:dyDescent="0.25">
      <c r="A263">
        <f t="shared" si="2"/>
        <v>536</v>
      </c>
    </row>
    <row r="264" spans="1:1" x14ac:dyDescent="0.25">
      <c r="A264">
        <f t="shared" si="2"/>
        <v>549</v>
      </c>
    </row>
    <row r="265" spans="1:1" x14ac:dyDescent="0.25">
      <c r="A265">
        <f t="shared" si="2"/>
        <v>562</v>
      </c>
    </row>
    <row r="266" spans="1:1" x14ac:dyDescent="0.25">
      <c r="A266">
        <f t="shared" si="2"/>
        <v>576</v>
      </c>
    </row>
    <row r="267" spans="1:1" x14ac:dyDescent="0.25">
      <c r="A267">
        <f t="shared" si="2"/>
        <v>590</v>
      </c>
    </row>
    <row r="268" spans="1:1" x14ac:dyDescent="0.25">
      <c r="A268">
        <f t="shared" si="2"/>
        <v>604</v>
      </c>
    </row>
    <row r="269" spans="1:1" x14ac:dyDescent="0.25">
      <c r="A269">
        <f t="shared" si="2"/>
        <v>618.99999999999989</v>
      </c>
    </row>
    <row r="270" spans="1:1" x14ac:dyDescent="0.25">
      <c r="A270">
        <f t="shared" si="2"/>
        <v>634</v>
      </c>
    </row>
    <row r="271" spans="1:1" x14ac:dyDescent="0.25">
      <c r="A271">
        <f t="shared" si="2"/>
        <v>649</v>
      </c>
    </row>
    <row r="272" spans="1:1" x14ac:dyDescent="0.25">
      <c r="A272">
        <f t="shared" si="2"/>
        <v>665</v>
      </c>
    </row>
    <row r="273" spans="1:1" x14ac:dyDescent="0.25">
      <c r="A273">
        <f t="shared" si="2"/>
        <v>681</v>
      </c>
    </row>
    <row r="274" spans="1:1" x14ac:dyDescent="0.25">
      <c r="A274">
        <f t="shared" si="2"/>
        <v>698</v>
      </c>
    </row>
    <row r="275" spans="1:1" x14ac:dyDescent="0.25">
      <c r="A275">
        <f t="shared" si="2"/>
        <v>715</v>
      </c>
    </row>
    <row r="276" spans="1:1" x14ac:dyDescent="0.25">
      <c r="A276">
        <f t="shared" si="2"/>
        <v>732</v>
      </c>
    </row>
    <row r="277" spans="1:1" x14ac:dyDescent="0.25">
      <c r="A277">
        <f t="shared" si="2"/>
        <v>750</v>
      </c>
    </row>
    <row r="278" spans="1:1" x14ac:dyDescent="0.25">
      <c r="A278">
        <f t="shared" si="2"/>
        <v>768</v>
      </c>
    </row>
    <row r="279" spans="1:1" x14ac:dyDescent="0.25">
      <c r="A279">
        <f t="shared" si="2"/>
        <v>787</v>
      </c>
    </row>
    <row r="280" spans="1:1" x14ac:dyDescent="0.25">
      <c r="A280">
        <f t="shared" si="2"/>
        <v>806</v>
      </c>
    </row>
    <row r="281" spans="1:1" x14ac:dyDescent="0.25">
      <c r="A281">
        <f t="shared" si="2"/>
        <v>825</v>
      </c>
    </row>
    <row r="282" spans="1:1" x14ac:dyDescent="0.25">
      <c r="A282">
        <f t="shared" si="2"/>
        <v>845</v>
      </c>
    </row>
    <row r="283" spans="1:1" x14ac:dyDescent="0.25">
      <c r="A283">
        <f t="shared" si="2"/>
        <v>866</v>
      </c>
    </row>
    <row r="284" spans="1:1" x14ac:dyDescent="0.25">
      <c r="A284">
        <f t="shared" si="2"/>
        <v>887.00000000000023</v>
      </c>
    </row>
    <row r="285" spans="1:1" x14ac:dyDescent="0.25">
      <c r="A285">
        <f t="shared" si="2"/>
        <v>909</v>
      </c>
    </row>
    <row r="286" spans="1:1" x14ac:dyDescent="0.25">
      <c r="A286">
        <f t="shared" si="2"/>
        <v>931</v>
      </c>
    </row>
    <row r="287" spans="1:1" x14ac:dyDescent="0.25">
      <c r="A287">
        <f t="shared" si="2"/>
        <v>953</v>
      </c>
    </row>
    <row r="288" spans="1:1" x14ac:dyDescent="0.25">
      <c r="A288">
        <f t="shared" si="2"/>
        <v>976</v>
      </c>
    </row>
    <row r="289" spans="1:1" x14ac:dyDescent="0.25">
      <c r="A289">
        <f t="shared" si="2"/>
        <v>1000</v>
      </c>
    </row>
    <row r="290" spans="1:1" x14ac:dyDescent="0.25">
      <c r="A290">
        <f t="shared" ref="A290:A353" si="3">A194*10</f>
        <v>1020</v>
      </c>
    </row>
    <row r="291" spans="1:1" x14ac:dyDescent="0.25">
      <c r="A291">
        <f t="shared" si="3"/>
        <v>1050</v>
      </c>
    </row>
    <row r="292" spans="1:1" x14ac:dyDescent="0.25">
      <c r="A292">
        <f t="shared" si="3"/>
        <v>1070</v>
      </c>
    </row>
    <row r="293" spans="1:1" x14ac:dyDescent="0.25">
      <c r="A293">
        <f t="shared" si="3"/>
        <v>1100</v>
      </c>
    </row>
    <row r="294" spans="1:1" x14ac:dyDescent="0.25">
      <c r="A294">
        <f t="shared" si="3"/>
        <v>1130</v>
      </c>
    </row>
    <row r="295" spans="1:1" x14ac:dyDescent="0.25">
      <c r="A295">
        <f t="shared" si="3"/>
        <v>1150</v>
      </c>
    </row>
    <row r="296" spans="1:1" x14ac:dyDescent="0.25">
      <c r="A296">
        <f t="shared" si="3"/>
        <v>1180</v>
      </c>
    </row>
    <row r="297" spans="1:1" x14ac:dyDescent="0.25">
      <c r="A297">
        <f t="shared" si="3"/>
        <v>1210</v>
      </c>
    </row>
    <row r="298" spans="1:1" x14ac:dyDescent="0.25">
      <c r="A298">
        <f t="shared" si="3"/>
        <v>1240</v>
      </c>
    </row>
    <row r="299" spans="1:1" x14ac:dyDescent="0.25">
      <c r="A299">
        <f t="shared" si="3"/>
        <v>1270</v>
      </c>
    </row>
    <row r="300" spans="1:1" x14ac:dyDescent="0.25">
      <c r="A300">
        <f t="shared" si="3"/>
        <v>1300</v>
      </c>
    </row>
    <row r="301" spans="1:1" x14ac:dyDescent="0.25">
      <c r="A301">
        <f t="shared" si="3"/>
        <v>1330</v>
      </c>
    </row>
    <row r="302" spans="1:1" x14ac:dyDescent="0.25">
      <c r="A302">
        <f t="shared" si="3"/>
        <v>1370</v>
      </c>
    </row>
    <row r="303" spans="1:1" x14ac:dyDescent="0.25">
      <c r="A303">
        <f t="shared" si="3"/>
        <v>1400</v>
      </c>
    </row>
    <row r="304" spans="1:1" x14ac:dyDescent="0.25">
      <c r="A304">
        <f t="shared" si="3"/>
        <v>1430</v>
      </c>
    </row>
    <row r="305" spans="1:1" x14ac:dyDescent="0.25">
      <c r="A305">
        <f t="shared" si="3"/>
        <v>1470</v>
      </c>
    </row>
    <row r="306" spans="1:1" x14ac:dyDescent="0.25">
      <c r="A306">
        <f t="shared" si="3"/>
        <v>1500</v>
      </c>
    </row>
    <row r="307" spans="1:1" x14ac:dyDescent="0.25">
      <c r="A307">
        <f t="shared" si="3"/>
        <v>1540</v>
      </c>
    </row>
    <row r="308" spans="1:1" x14ac:dyDescent="0.25">
      <c r="A308">
        <f t="shared" si="3"/>
        <v>1580</v>
      </c>
    </row>
    <row r="309" spans="1:1" x14ac:dyDescent="0.25">
      <c r="A309">
        <f t="shared" si="3"/>
        <v>1620</v>
      </c>
    </row>
    <row r="310" spans="1:1" x14ac:dyDescent="0.25">
      <c r="A310">
        <f t="shared" si="3"/>
        <v>1650</v>
      </c>
    </row>
    <row r="311" spans="1:1" x14ac:dyDescent="0.25">
      <c r="A311">
        <f t="shared" si="3"/>
        <v>1690</v>
      </c>
    </row>
    <row r="312" spans="1:1" x14ac:dyDescent="0.25">
      <c r="A312">
        <f t="shared" si="3"/>
        <v>1740</v>
      </c>
    </row>
    <row r="313" spans="1:1" x14ac:dyDescent="0.25">
      <c r="A313">
        <f t="shared" si="3"/>
        <v>1780</v>
      </c>
    </row>
    <row r="314" spans="1:1" x14ac:dyDescent="0.25">
      <c r="A314">
        <f t="shared" si="3"/>
        <v>1820</v>
      </c>
    </row>
    <row r="315" spans="1:1" x14ac:dyDescent="0.25">
      <c r="A315">
        <f t="shared" si="3"/>
        <v>1870</v>
      </c>
    </row>
    <row r="316" spans="1:1" x14ac:dyDescent="0.25">
      <c r="A316">
        <f t="shared" si="3"/>
        <v>1910</v>
      </c>
    </row>
    <row r="317" spans="1:1" x14ac:dyDescent="0.25">
      <c r="A317">
        <f t="shared" si="3"/>
        <v>1960</v>
      </c>
    </row>
    <row r="318" spans="1:1" x14ac:dyDescent="0.25">
      <c r="A318">
        <f t="shared" si="3"/>
        <v>2000</v>
      </c>
    </row>
    <row r="319" spans="1:1" x14ac:dyDescent="0.25">
      <c r="A319">
        <f t="shared" si="3"/>
        <v>2050</v>
      </c>
    </row>
    <row r="320" spans="1:1" x14ac:dyDescent="0.25">
      <c r="A320">
        <f t="shared" si="3"/>
        <v>2100</v>
      </c>
    </row>
    <row r="321" spans="1:1" x14ac:dyDescent="0.25">
      <c r="A321">
        <f t="shared" si="3"/>
        <v>2150</v>
      </c>
    </row>
    <row r="322" spans="1:1" x14ac:dyDescent="0.25">
      <c r="A322">
        <f t="shared" si="3"/>
        <v>2210</v>
      </c>
    </row>
    <row r="323" spans="1:1" x14ac:dyDescent="0.25">
      <c r="A323">
        <f t="shared" si="3"/>
        <v>2260</v>
      </c>
    </row>
    <row r="324" spans="1:1" x14ac:dyDescent="0.25">
      <c r="A324">
        <f t="shared" si="3"/>
        <v>2320</v>
      </c>
    </row>
    <row r="325" spans="1:1" x14ac:dyDescent="0.25">
      <c r="A325">
        <f t="shared" si="3"/>
        <v>2370.0000000000005</v>
      </c>
    </row>
    <row r="326" spans="1:1" x14ac:dyDescent="0.25">
      <c r="A326">
        <f t="shared" si="3"/>
        <v>2430</v>
      </c>
    </row>
    <row r="327" spans="1:1" x14ac:dyDescent="0.25">
      <c r="A327">
        <f t="shared" si="3"/>
        <v>2490</v>
      </c>
    </row>
    <row r="328" spans="1:1" x14ac:dyDescent="0.25">
      <c r="A328">
        <f t="shared" si="3"/>
        <v>2550</v>
      </c>
    </row>
    <row r="329" spans="1:1" x14ac:dyDescent="0.25">
      <c r="A329">
        <f t="shared" si="3"/>
        <v>2610</v>
      </c>
    </row>
    <row r="330" spans="1:1" x14ac:dyDescent="0.25">
      <c r="A330">
        <f t="shared" si="3"/>
        <v>2670</v>
      </c>
    </row>
    <row r="331" spans="1:1" x14ac:dyDescent="0.25">
      <c r="A331">
        <f t="shared" si="3"/>
        <v>2740</v>
      </c>
    </row>
    <row r="332" spans="1:1" x14ac:dyDescent="0.25">
      <c r="A332">
        <f t="shared" si="3"/>
        <v>2800</v>
      </c>
    </row>
    <row r="333" spans="1:1" x14ac:dyDescent="0.25">
      <c r="A333">
        <f t="shared" si="3"/>
        <v>2870</v>
      </c>
    </row>
    <row r="334" spans="1:1" x14ac:dyDescent="0.25">
      <c r="A334">
        <f t="shared" si="3"/>
        <v>2940</v>
      </c>
    </row>
    <row r="335" spans="1:1" x14ac:dyDescent="0.25">
      <c r="A335">
        <f t="shared" si="3"/>
        <v>3010</v>
      </c>
    </row>
    <row r="336" spans="1:1" x14ac:dyDescent="0.25">
      <c r="A336">
        <f t="shared" si="3"/>
        <v>3090</v>
      </c>
    </row>
    <row r="337" spans="1:1" x14ac:dyDescent="0.25">
      <c r="A337">
        <f t="shared" si="3"/>
        <v>3160</v>
      </c>
    </row>
    <row r="338" spans="1:1" x14ac:dyDescent="0.25">
      <c r="A338">
        <f t="shared" si="3"/>
        <v>3240</v>
      </c>
    </row>
    <row r="339" spans="1:1" x14ac:dyDescent="0.25">
      <c r="A339">
        <f t="shared" si="3"/>
        <v>3320</v>
      </c>
    </row>
    <row r="340" spans="1:1" x14ac:dyDescent="0.25">
      <c r="A340">
        <f t="shared" si="3"/>
        <v>3400</v>
      </c>
    </row>
    <row r="341" spans="1:1" x14ac:dyDescent="0.25">
      <c r="A341">
        <f t="shared" si="3"/>
        <v>3480</v>
      </c>
    </row>
    <row r="342" spans="1:1" x14ac:dyDescent="0.25">
      <c r="A342">
        <f t="shared" si="3"/>
        <v>3570</v>
      </c>
    </row>
    <row r="343" spans="1:1" x14ac:dyDescent="0.25">
      <c r="A343">
        <f t="shared" si="3"/>
        <v>3650</v>
      </c>
    </row>
    <row r="344" spans="1:1" x14ac:dyDescent="0.25">
      <c r="A344">
        <f t="shared" si="3"/>
        <v>3740</v>
      </c>
    </row>
    <row r="345" spans="1:1" x14ac:dyDescent="0.25">
      <c r="A345">
        <f t="shared" si="3"/>
        <v>3830</v>
      </c>
    </row>
    <row r="346" spans="1:1" x14ac:dyDescent="0.25">
      <c r="A346">
        <f t="shared" si="3"/>
        <v>3920</v>
      </c>
    </row>
    <row r="347" spans="1:1" x14ac:dyDescent="0.25">
      <c r="A347">
        <f t="shared" si="3"/>
        <v>4020</v>
      </c>
    </row>
    <row r="348" spans="1:1" x14ac:dyDescent="0.25">
      <c r="A348">
        <f t="shared" si="3"/>
        <v>4120</v>
      </c>
    </row>
    <row r="349" spans="1:1" x14ac:dyDescent="0.25">
      <c r="A349">
        <f t="shared" si="3"/>
        <v>4220</v>
      </c>
    </row>
    <row r="350" spans="1:1" x14ac:dyDescent="0.25">
      <c r="A350">
        <f t="shared" si="3"/>
        <v>4320</v>
      </c>
    </row>
    <row r="351" spans="1:1" x14ac:dyDescent="0.25">
      <c r="A351">
        <f t="shared" si="3"/>
        <v>4420</v>
      </c>
    </row>
    <row r="352" spans="1:1" x14ac:dyDescent="0.25">
      <c r="A352">
        <f t="shared" si="3"/>
        <v>4530</v>
      </c>
    </row>
    <row r="353" spans="1:1" x14ac:dyDescent="0.25">
      <c r="A353">
        <f t="shared" si="3"/>
        <v>4640</v>
      </c>
    </row>
    <row r="354" spans="1:1" x14ac:dyDescent="0.25">
      <c r="A354">
        <f t="shared" ref="A354:A417" si="4">A258*10</f>
        <v>4750</v>
      </c>
    </row>
    <row r="355" spans="1:1" x14ac:dyDescent="0.25">
      <c r="A355">
        <f t="shared" si="4"/>
        <v>4870</v>
      </c>
    </row>
    <row r="356" spans="1:1" x14ac:dyDescent="0.25">
      <c r="A356">
        <f t="shared" si="4"/>
        <v>4990.0000000000009</v>
      </c>
    </row>
    <row r="357" spans="1:1" x14ac:dyDescent="0.25">
      <c r="A357">
        <f t="shared" si="4"/>
        <v>5110</v>
      </c>
    </row>
    <row r="358" spans="1:1" x14ac:dyDescent="0.25">
      <c r="A358">
        <f t="shared" si="4"/>
        <v>5230</v>
      </c>
    </row>
    <row r="359" spans="1:1" x14ac:dyDescent="0.25">
      <c r="A359">
        <f t="shared" si="4"/>
        <v>5360</v>
      </c>
    </row>
    <row r="360" spans="1:1" x14ac:dyDescent="0.25">
      <c r="A360">
        <f t="shared" si="4"/>
        <v>5490</v>
      </c>
    </row>
    <row r="361" spans="1:1" x14ac:dyDescent="0.25">
      <c r="A361">
        <f t="shared" si="4"/>
        <v>5620</v>
      </c>
    </row>
    <row r="362" spans="1:1" x14ac:dyDescent="0.25">
      <c r="A362">
        <f t="shared" si="4"/>
        <v>5760</v>
      </c>
    </row>
    <row r="363" spans="1:1" x14ac:dyDescent="0.25">
      <c r="A363">
        <f t="shared" si="4"/>
        <v>5900</v>
      </c>
    </row>
    <row r="364" spans="1:1" x14ac:dyDescent="0.25">
      <c r="A364">
        <f t="shared" si="4"/>
        <v>6040</v>
      </c>
    </row>
    <row r="365" spans="1:1" x14ac:dyDescent="0.25">
      <c r="A365">
        <f t="shared" si="4"/>
        <v>6189.9999999999991</v>
      </c>
    </row>
    <row r="366" spans="1:1" x14ac:dyDescent="0.25">
      <c r="A366">
        <f t="shared" si="4"/>
        <v>6340</v>
      </c>
    </row>
    <row r="367" spans="1:1" x14ac:dyDescent="0.25">
      <c r="A367">
        <f t="shared" si="4"/>
        <v>6490</v>
      </c>
    </row>
    <row r="368" spans="1:1" x14ac:dyDescent="0.25">
      <c r="A368">
        <f t="shared" si="4"/>
        <v>6650</v>
      </c>
    </row>
    <row r="369" spans="1:1" x14ac:dyDescent="0.25">
      <c r="A369">
        <f t="shared" si="4"/>
        <v>6810</v>
      </c>
    </row>
    <row r="370" spans="1:1" x14ac:dyDescent="0.25">
      <c r="A370">
        <f t="shared" si="4"/>
        <v>6980</v>
      </c>
    </row>
    <row r="371" spans="1:1" x14ac:dyDescent="0.25">
      <c r="A371">
        <f t="shared" si="4"/>
        <v>7150</v>
      </c>
    </row>
    <row r="372" spans="1:1" x14ac:dyDescent="0.25">
      <c r="A372">
        <f t="shared" si="4"/>
        <v>7320</v>
      </c>
    </row>
    <row r="373" spans="1:1" x14ac:dyDescent="0.25">
      <c r="A373">
        <f t="shared" si="4"/>
        <v>7500</v>
      </c>
    </row>
    <row r="374" spans="1:1" x14ac:dyDescent="0.25">
      <c r="A374">
        <f t="shared" si="4"/>
        <v>7680</v>
      </c>
    </row>
    <row r="375" spans="1:1" x14ac:dyDescent="0.25">
      <c r="A375">
        <f t="shared" si="4"/>
        <v>7870</v>
      </c>
    </row>
    <row r="376" spans="1:1" x14ac:dyDescent="0.25">
      <c r="A376">
        <f t="shared" si="4"/>
        <v>8060</v>
      </c>
    </row>
    <row r="377" spans="1:1" x14ac:dyDescent="0.25">
      <c r="A377">
        <f t="shared" si="4"/>
        <v>8250</v>
      </c>
    </row>
    <row r="378" spans="1:1" x14ac:dyDescent="0.25">
      <c r="A378">
        <f t="shared" si="4"/>
        <v>8450</v>
      </c>
    </row>
    <row r="379" spans="1:1" x14ac:dyDescent="0.25">
      <c r="A379">
        <f t="shared" si="4"/>
        <v>8660</v>
      </c>
    </row>
    <row r="380" spans="1:1" x14ac:dyDescent="0.25">
      <c r="A380">
        <f t="shared" si="4"/>
        <v>8870.0000000000018</v>
      </c>
    </row>
    <row r="381" spans="1:1" x14ac:dyDescent="0.25">
      <c r="A381">
        <f t="shared" si="4"/>
        <v>9090</v>
      </c>
    </row>
    <row r="382" spans="1:1" x14ac:dyDescent="0.25">
      <c r="A382">
        <f t="shared" si="4"/>
        <v>9310</v>
      </c>
    </row>
    <row r="383" spans="1:1" x14ac:dyDescent="0.25">
      <c r="A383">
        <f t="shared" si="4"/>
        <v>9530</v>
      </c>
    </row>
    <row r="384" spans="1:1" x14ac:dyDescent="0.25">
      <c r="A384">
        <f t="shared" si="4"/>
        <v>9760</v>
      </c>
    </row>
    <row r="385" spans="1:1" x14ac:dyDescent="0.25">
      <c r="A385">
        <f t="shared" si="4"/>
        <v>10000</v>
      </c>
    </row>
    <row r="386" spans="1:1" x14ac:dyDescent="0.25">
      <c r="A386">
        <f t="shared" si="4"/>
        <v>10200</v>
      </c>
    </row>
    <row r="387" spans="1:1" x14ac:dyDescent="0.25">
      <c r="A387">
        <f t="shared" si="4"/>
        <v>10500</v>
      </c>
    </row>
    <row r="388" spans="1:1" x14ac:dyDescent="0.25">
      <c r="A388">
        <f t="shared" si="4"/>
        <v>10700</v>
      </c>
    </row>
    <row r="389" spans="1:1" x14ac:dyDescent="0.25">
      <c r="A389">
        <f t="shared" si="4"/>
        <v>11000</v>
      </c>
    </row>
    <row r="390" spans="1:1" x14ac:dyDescent="0.25">
      <c r="A390">
        <f t="shared" si="4"/>
        <v>11300</v>
      </c>
    </row>
    <row r="391" spans="1:1" x14ac:dyDescent="0.25">
      <c r="A391">
        <f t="shared" si="4"/>
        <v>11500</v>
      </c>
    </row>
    <row r="392" spans="1:1" x14ac:dyDescent="0.25">
      <c r="A392">
        <f t="shared" si="4"/>
        <v>11800</v>
      </c>
    </row>
    <row r="393" spans="1:1" x14ac:dyDescent="0.25">
      <c r="A393">
        <f t="shared" si="4"/>
        <v>12100</v>
      </c>
    </row>
    <row r="394" spans="1:1" x14ac:dyDescent="0.25">
      <c r="A394">
        <f t="shared" si="4"/>
        <v>12400</v>
      </c>
    </row>
    <row r="395" spans="1:1" x14ac:dyDescent="0.25">
      <c r="A395">
        <f t="shared" si="4"/>
        <v>12700</v>
      </c>
    </row>
    <row r="396" spans="1:1" x14ac:dyDescent="0.25">
      <c r="A396">
        <f t="shared" si="4"/>
        <v>13000</v>
      </c>
    </row>
    <row r="397" spans="1:1" x14ac:dyDescent="0.25">
      <c r="A397">
        <f t="shared" si="4"/>
        <v>13300</v>
      </c>
    </row>
    <row r="398" spans="1:1" x14ac:dyDescent="0.25">
      <c r="A398">
        <f t="shared" si="4"/>
        <v>13700</v>
      </c>
    </row>
    <row r="399" spans="1:1" x14ac:dyDescent="0.25">
      <c r="A399">
        <f t="shared" si="4"/>
        <v>14000</v>
      </c>
    </row>
    <row r="400" spans="1:1" x14ac:dyDescent="0.25">
      <c r="A400">
        <f t="shared" si="4"/>
        <v>14300</v>
      </c>
    </row>
    <row r="401" spans="1:1" x14ac:dyDescent="0.25">
      <c r="A401">
        <f t="shared" si="4"/>
        <v>14700</v>
      </c>
    </row>
    <row r="402" spans="1:1" x14ac:dyDescent="0.25">
      <c r="A402">
        <f t="shared" si="4"/>
        <v>15000</v>
      </c>
    </row>
    <row r="403" spans="1:1" x14ac:dyDescent="0.25">
      <c r="A403">
        <f t="shared" si="4"/>
        <v>15400</v>
      </c>
    </row>
    <row r="404" spans="1:1" x14ac:dyDescent="0.25">
      <c r="A404">
        <f t="shared" si="4"/>
        <v>15800</v>
      </c>
    </row>
    <row r="405" spans="1:1" x14ac:dyDescent="0.25">
      <c r="A405">
        <f t="shared" si="4"/>
        <v>16200</v>
      </c>
    </row>
    <row r="406" spans="1:1" x14ac:dyDescent="0.25">
      <c r="A406">
        <f t="shared" si="4"/>
        <v>16500</v>
      </c>
    </row>
    <row r="407" spans="1:1" x14ac:dyDescent="0.25">
      <c r="A407">
        <f t="shared" si="4"/>
        <v>16900</v>
      </c>
    </row>
    <row r="408" spans="1:1" x14ac:dyDescent="0.25">
      <c r="A408">
        <f t="shared" si="4"/>
        <v>17400</v>
      </c>
    </row>
    <row r="409" spans="1:1" x14ac:dyDescent="0.25">
      <c r="A409">
        <f t="shared" si="4"/>
        <v>17800</v>
      </c>
    </row>
    <row r="410" spans="1:1" x14ac:dyDescent="0.25">
      <c r="A410">
        <f t="shared" si="4"/>
        <v>18200</v>
      </c>
    </row>
    <row r="411" spans="1:1" x14ac:dyDescent="0.25">
      <c r="A411">
        <f t="shared" si="4"/>
        <v>18700</v>
      </c>
    </row>
    <row r="412" spans="1:1" x14ac:dyDescent="0.25">
      <c r="A412">
        <f t="shared" si="4"/>
        <v>19100</v>
      </c>
    </row>
    <row r="413" spans="1:1" x14ac:dyDescent="0.25">
      <c r="A413">
        <f t="shared" si="4"/>
        <v>19600</v>
      </c>
    </row>
    <row r="414" spans="1:1" x14ac:dyDescent="0.25">
      <c r="A414">
        <f t="shared" si="4"/>
        <v>20000</v>
      </c>
    </row>
    <row r="415" spans="1:1" x14ac:dyDescent="0.25">
      <c r="A415">
        <f t="shared" si="4"/>
        <v>20500</v>
      </c>
    </row>
    <row r="416" spans="1:1" x14ac:dyDescent="0.25">
      <c r="A416">
        <f t="shared" si="4"/>
        <v>21000</v>
      </c>
    </row>
    <row r="417" spans="1:1" x14ac:dyDescent="0.25">
      <c r="A417">
        <f t="shared" si="4"/>
        <v>21500</v>
      </c>
    </row>
    <row r="418" spans="1:1" x14ac:dyDescent="0.25">
      <c r="A418">
        <f t="shared" ref="A418:A481" si="5">A322*10</f>
        <v>22100</v>
      </c>
    </row>
    <row r="419" spans="1:1" x14ac:dyDescent="0.25">
      <c r="A419">
        <f t="shared" si="5"/>
        <v>22600</v>
      </c>
    </row>
    <row r="420" spans="1:1" x14ac:dyDescent="0.25">
      <c r="A420">
        <f t="shared" si="5"/>
        <v>23200</v>
      </c>
    </row>
    <row r="421" spans="1:1" x14ac:dyDescent="0.25">
      <c r="A421">
        <f t="shared" si="5"/>
        <v>23700.000000000004</v>
      </c>
    </row>
    <row r="422" spans="1:1" x14ac:dyDescent="0.25">
      <c r="A422">
        <f t="shared" si="5"/>
        <v>24300</v>
      </c>
    </row>
    <row r="423" spans="1:1" x14ac:dyDescent="0.25">
      <c r="A423">
        <f t="shared" si="5"/>
        <v>24900</v>
      </c>
    </row>
    <row r="424" spans="1:1" x14ac:dyDescent="0.25">
      <c r="A424">
        <f t="shared" si="5"/>
        <v>25500</v>
      </c>
    </row>
    <row r="425" spans="1:1" x14ac:dyDescent="0.25">
      <c r="A425">
        <f t="shared" si="5"/>
        <v>26100</v>
      </c>
    </row>
    <row r="426" spans="1:1" x14ac:dyDescent="0.25">
      <c r="A426">
        <f t="shared" si="5"/>
        <v>26700</v>
      </c>
    </row>
    <row r="427" spans="1:1" x14ac:dyDescent="0.25">
      <c r="A427">
        <f t="shared" si="5"/>
        <v>27400</v>
      </c>
    </row>
    <row r="428" spans="1:1" x14ac:dyDescent="0.25">
      <c r="A428">
        <f t="shared" si="5"/>
        <v>28000</v>
      </c>
    </row>
    <row r="429" spans="1:1" x14ac:dyDescent="0.25">
      <c r="A429">
        <f t="shared" si="5"/>
        <v>28700</v>
      </c>
    </row>
    <row r="430" spans="1:1" x14ac:dyDescent="0.25">
      <c r="A430">
        <f t="shared" si="5"/>
        <v>29400</v>
      </c>
    </row>
    <row r="431" spans="1:1" x14ac:dyDescent="0.25">
      <c r="A431">
        <f t="shared" si="5"/>
        <v>30100</v>
      </c>
    </row>
    <row r="432" spans="1:1" x14ac:dyDescent="0.25">
      <c r="A432">
        <f t="shared" si="5"/>
        <v>30900</v>
      </c>
    </row>
    <row r="433" spans="1:1" x14ac:dyDescent="0.25">
      <c r="A433">
        <f t="shared" si="5"/>
        <v>31600</v>
      </c>
    </row>
    <row r="434" spans="1:1" x14ac:dyDescent="0.25">
      <c r="A434">
        <f t="shared" si="5"/>
        <v>32400</v>
      </c>
    </row>
    <row r="435" spans="1:1" x14ac:dyDescent="0.25">
      <c r="A435">
        <f t="shared" si="5"/>
        <v>33200</v>
      </c>
    </row>
    <row r="436" spans="1:1" x14ac:dyDescent="0.25">
      <c r="A436">
        <f t="shared" si="5"/>
        <v>34000</v>
      </c>
    </row>
    <row r="437" spans="1:1" x14ac:dyDescent="0.25">
      <c r="A437">
        <f t="shared" si="5"/>
        <v>34800</v>
      </c>
    </row>
    <row r="438" spans="1:1" x14ac:dyDescent="0.25">
      <c r="A438">
        <f t="shared" si="5"/>
        <v>35700</v>
      </c>
    </row>
    <row r="439" spans="1:1" x14ac:dyDescent="0.25">
      <c r="A439">
        <f t="shared" si="5"/>
        <v>36500</v>
      </c>
    </row>
    <row r="440" spans="1:1" x14ac:dyDescent="0.25">
      <c r="A440">
        <f t="shared" si="5"/>
        <v>37400</v>
      </c>
    </row>
    <row r="441" spans="1:1" x14ac:dyDescent="0.25">
      <c r="A441">
        <f t="shared" si="5"/>
        <v>38300</v>
      </c>
    </row>
    <row r="442" spans="1:1" x14ac:dyDescent="0.25">
      <c r="A442">
        <f t="shared" si="5"/>
        <v>39200</v>
      </c>
    </row>
    <row r="443" spans="1:1" x14ac:dyDescent="0.25">
      <c r="A443">
        <f t="shared" si="5"/>
        <v>40200</v>
      </c>
    </row>
    <row r="444" spans="1:1" x14ac:dyDescent="0.25">
      <c r="A444">
        <f t="shared" si="5"/>
        <v>41200</v>
      </c>
    </row>
    <row r="445" spans="1:1" x14ac:dyDescent="0.25">
      <c r="A445">
        <f t="shared" si="5"/>
        <v>42200</v>
      </c>
    </row>
    <row r="446" spans="1:1" x14ac:dyDescent="0.25">
      <c r="A446">
        <f t="shared" si="5"/>
        <v>43200</v>
      </c>
    </row>
    <row r="447" spans="1:1" x14ac:dyDescent="0.25">
      <c r="A447">
        <f t="shared" si="5"/>
        <v>44200</v>
      </c>
    </row>
    <row r="448" spans="1:1" x14ac:dyDescent="0.25">
      <c r="A448">
        <f t="shared" si="5"/>
        <v>45300</v>
      </c>
    </row>
    <row r="449" spans="1:1" x14ac:dyDescent="0.25">
      <c r="A449">
        <f t="shared" si="5"/>
        <v>46400</v>
      </c>
    </row>
    <row r="450" spans="1:1" x14ac:dyDescent="0.25">
      <c r="A450">
        <f t="shared" si="5"/>
        <v>47500</v>
      </c>
    </row>
    <row r="451" spans="1:1" x14ac:dyDescent="0.25">
      <c r="A451">
        <f t="shared" si="5"/>
        <v>48700</v>
      </c>
    </row>
    <row r="452" spans="1:1" x14ac:dyDescent="0.25">
      <c r="A452">
        <f t="shared" si="5"/>
        <v>49900.000000000007</v>
      </c>
    </row>
    <row r="453" spans="1:1" x14ac:dyDescent="0.25">
      <c r="A453">
        <f t="shared" si="5"/>
        <v>51100</v>
      </c>
    </row>
    <row r="454" spans="1:1" x14ac:dyDescent="0.25">
      <c r="A454">
        <f t="shared" si="5"/>
        <v>52300</v>
      </c>
    </row>
    <row r="455" spans="1:1" x14ac:dyDescent="0.25">
      <c r="A455">
        <f t="shared" si="5"/>
        <v>53600</v>
      </c>
    </row>
    <row r="456" spans="1:1" x14ac:dyDescent="0.25">
      <c r="A456">
        <f t="shared" si="5"/>
        <v>54900</v>
      </c>
    </row>
    <row r="457" spans="1:1" x14ac:dyDescent="0.25">
      <c r="A457">
        <f t="shared" si="5"/>
        <v>56200</v>
      </c>
    </row>
    <row r="458" spans="1:1" x14ac:dyDescent="0.25">
      <c r="A458">
        <f t="shared" si="5"/>
        <v>57600</v>
      </c>
    </row>
    <row r="459" spans="1:1" x14ac:dyDescent="0.25">
      <c r="A459">
        <f t="shared" si="5"/>
        <v>59000</v>
      </c>
    </row>
    <row r="460" spans="1:1" x14ac:dyDescent="0.25">
      <c r="A460">
        <f t="shared" si="5"/>
        <v>60400</v>
      </c>
    </row>
    <row r="461" spans="1:1" x14ac:dyDescent="0.25">
      <c r="A461">
        <f t="shared" si="5"/>
        <v>61899.999999999993</v>
      </c>
    </row>
    <row r="462" spans="1:1" x14ac:dyDescent="0.25">
      <c r="A462">
        <f t="shared" si="5"/>
        <v>63400</v>
      </c>
    </row>
    <row r="463" spans="1:1" x14ac:dyDescent="0.25">
      <c r="A463">
        <f t="shared" si="5"/>
        <v>64900</v>
      </c>
    </row>
    <row r="464" spans="1:1" x14ac:dyDescent="0.25">
      <c r="A464">
        <f t="shared" si="5"/>
        <v>66500</v>
      </c>
    </row>
    <row r="465" spans="1:1" x14ac:dyDescent="0.25">
      <c r="A465">
        <f t="shared" si="5"/>
        <v>68100</v>
      </c>
    </row>
    <row r="466" spans="1:1" x14ac:dyDescent="0.25">
      <c r="A466">
        <f t="shared" si="5"/>
        <v>69800</v>
      </c>
    </row>
    <row r="467" spans="1:1" x14ac:dyDescent="0.25">
      <c r="A467">
        <f t="shared" si="5"/>
        <v>71500</v>
      </c>
    </row>
    <row r="468" spans="1:1" x14ac:dyDescent="0.25">
      <c r="A468">
        <f t="shared" si="5"/>
        <v>73200</v>
      </c>
    </row>
    <row r="469" spans="1:1" x14ac:dyDescent="0.25">
      <c r="A469">
        <f t="shared" si="5"/>
        <v>75000</v>
      </c>
    </row>
    <row r="470" spans="1:1" x14ac:dyDescent="0.25">
      <c r="A470">
        <f t="shared" si="5"/>
        <v>76800</v>
      </c>
    </row>
    <row r="471" spans="1:1" x14ac:dyDescent="0.25">
      <c r="A471">
        <f t="shared" si="5"/>
        <v>78700</v>
      </c>
    </row>
    <row r="472" spans="1:1" x14ac:dyDescent="0.25">
      <c r="A472">
        <f t="shared" si="5"/>
        <v>80600</v>
      </c>
    </row>
    <row r="473" spans="1:1" x14ac:dyDescent="0.25">
      <c r="A473">
        <f t="shared" si="5"/>
        <v>82500</v>
      </c>
    </row>
    <row r="474" spans="1:1" x14ac:dyDescent="0.25">
      <c r="A474">
        <f t="shared" si="5"/>
        <v>84500</v>
      </c>
    </row>
    <row r="475" spans="1:1" x14ac:dyDescent="0.25">
      <c r="A475">
        <f t="shared" si="5"/>
        <v>86600</v>
      </c>
    </row>
    <row r="476" spans="1:1" x14ac:dyDescent="0.25">
      <c r="A476">
        <f t="shared" si="5"/>
        <v>88700.000000000015</v>
      </c>
    </row>
    <row r="477" spans="1:1" x14ac:dyDescent="0.25">
      <c r="A477">
        <f t="shared" si="5"/>
        <v>90900</v>
      </c>
    </row>
    <row r="478" spans="1:1" x14ac:dyDescent="0.25">
      <c r="A478">
        <f t="shared" si="5"/>
        <v>93100</v>
      </c>
    </row>
    <row r="479" spans="1:1" x14ac:dyDescent="0.25">
      <c r="A479">
        <f t="shared" si="5"/>
        <v>95300</v>
      </c>
    </row>
    <row r="480" spans="1:1" x14ac:dyDescent="0.25">
      <c r="A480">
        <f t="shared" si="5"/>
        <v>97600</v>
      </c>
    </row>
    <row r="481" spans="1:1" x14ac:dyDescent="0.25">
      <c r="A481">
        <f t="shared" si="5"/>
        <v>100000</v>
      </c>
    </row>
    <row r="482" spans="1:1" x14ac:dyDescent="0.25">
      <c r="A482">
        <f t="shared" ref="A482:A545" si="6">A386*10</f>
        <v>102000</v>
      </c>
    </row>
    <row r="483" spans="1:1" x14ac:dyDescent="0.25">
      <c r="A483">
        <f t="shared" si="6"/>
        <v>105000</v>
      </c>
    </row>
    <row r="484" spans="1:1" x14ac:dyDescent="0.25">
      <c r="A484">
        <f t="shared" si="6"/>
        <v>107000</v>
      </c>
    </row>
    <row r="485" spans="1:1" x14ac:dyDescent="0.25">
      <c r="A485">
        <f t="shared" si="6"/>
        <v>110000</v>
      </c>
    </row>
    <row r="486" spans="1:1" x14ac:dyDescent="0.25">
      <c r="A486">
        <f t="shared" si="6"/>
        <v>113000</v>
      </c>
    </row>
    <row r="487" spans="1:1" x14ac:dyDescent="0.25">
      <c r="A487">
        <f t="shared" si="6"/>
        <v>115000</v>
      </c>
    </row>
    <row r="488" spans="1:1" x14ac:dyDescent="0.25">
      <c r="A488">
        <f t="shared" si="6"/>
        <v>118000</v>
      </c>
    </row>
    <row r="489" spans="1:1" x14ac:dyDescent="0.25">
      <c r="A489">
        <f t="shared" si="6"/>
        <v>121000</v>
      </c>
    </row>
    <row r="490" spans="1:1" x14ac:dyDescent="0.25">
      <c r="A490">
        <f t="shared" si="6"/>
        <v>124000</v>
      </c>
    </row>
    <row r="491" spans="1:1" x14ac:dyDescent="0.25">
      <c r="A491">
        <f t="shared" si="6"/>
        <v>127000</v>
      </c>
    </row>
    <row r="492" spans="1:1" x14ac:dyDescent="0.25">
      <c r="A492">
        <f t="shared" si="6"/>
        <v>130000</v>
      </c>
    </row>
    <row r="493" spans="1:1" x14ac:dyDescent="0.25">
      <c r="A493">
        <f t="shared" si="6"/>
        <v>133000</v>
      </c>
    </row>
    <row r="494" spans="1:1" x14ac:dyDescent="0.25">
      <c r="A494">
        <f t="shared" si="6"/>
        <v>137000</v>
      </c>
    </row>
    <row r="495" spans="1:1" x14ac:dyDescent="0.25">
      <c r="A495">
        <f t="shared" si="6"/>
        <v>140000</v>
      </c>
    </row>
    <row r="496" spans="1:1" x14ac:dyDescent="0.25">
      <c r="A496">
        <f t="shared" si="6"/>
        <v>143000</v>
      </c>
    </row>
    <row r="497" spans="1:1" x14ac:dyDescent="0.25">
      <c r="A497">
        <f t="shared" si="6"/>
        <v>147000</v>
      </c>
    </row>
    <row r="498" spans="1:1" x14ac:dyDescent="0.25">
      <c r="A498">
        <f t="shared" si="6"/>
        <v>150000</v>
      </c>
    </row>
    <row r="499" spans="1:1" x14ac:dyDescent="0.25">
      <c r="A499">
        <f t="shared" si="6"/>
        <v>154000</v>
      </c>
    </row>
    <row r="500" spans="1:1" x14ac:dyDescent="0.25">
      <c r="A500">
        <f t="shared" si="6"/>
        <v>158000</v>
      </c>
    </row>
    <row r="501" spans="1:1" x14ac:dyDescent="0.25">
      <c r="A501">
        <f t="shared" si="6"/>
        <v>162000</v>
      </c>
    </row>
    <row r="502" spans="1:1" x14ac:dyDescent="0.25">
      <c r="A502">
        <f t="shared" si="6"/>
        <v>165000</v>
      </c>
    </row>
    <row r="503" spans="1:1" x14ac:dyDescent="0.25">
      <c r="A503">
        <f t="shared" si="6"/>
        <v>169000</v>
      </c>
    </row>
    <row r="504" spans="1:1" x14ac:dyDescent="0.25">
      <c r="A504">
        <f t="shared" si="6"/>
        <v>174000</v>
      </c>
    </row>
    <row r="505" spans="1:1" x14ac:dyDescent="0.25">
      <c r="A505">
        <f t="shared" si="6"/>
        <v>178000</v>
      </c>
    </row>
    <row r="506" spans="1:1" x14ac:dyDescent="0.25">
      <c r="A506">
        <f t="shared" si="6"/>
        <v>182000</v>
      </c>
    </row>
    <row r="507" spans="1:1" x14ac:dyDescent="0.25">
      <c r="A507">
        <f t="shared" si="6"/>
        <v>187000</v>
      </c>
    </row>
    <row r="508" spans="1:1" x14ac:dyDescent="0.25">
      <c r="A508">
        <f t="shared" si="6"/>
        <v>191000</v>
      </c>
    </row>
    <row r="509" spans="1:1" x14ac:dyDescent="0.25">
      <c r="A509">
        <f t="shared" si="6"/>
        <v>196000</v>
      </c>
    </row>
    <row r="510" spans="1:1" x14ac:dyDescent="0.25">
      <c r="A510">
        <f t="shared" si="6"/>
        <v>200000</v>
      </c>
    </row>
    <row r="511" spans="1:1" x14ac:dyDescent="0.25">
      <c r="A511">
        <f t="shared" si="6"/>
        <v>205000</v>
      </c>
    </row>
    <row r="512" spans="1:1" x14ac:dyDescent="0.25">
      <c r="A512">
        <f t="shared" si="6"/>
        <v>210000</v>
      </c>
    </row>
    <row r="513" spans="1:1" x14ac:dyDescent="0.25">
      <c r="A513">
        <f t="shared" si="6"/>
        <v>215000</v>
      </c>
    </row>
    <row r="514" spans="1:1" x14ac:dyDescent="0.25">
      <c r="A514">
        <f t="shared" si="6"/>
        <v>221000</v>
      </c>
    </row>
    <row r="515" spans="1:1" x14ac:dyDescent="0.25">
      <c r="A515">
        <f t="shared" si="6"/>
        <v>226000</v>
      </c>
    </row>
    <row r="516" spans="1:1" x14ac:dyDescent="0.25">
      <c r="A516">
        <f t="shared" si="6"/>
        <v>232000</v>
      </c>
    </row>
    <row r="517" spans="1:1" x14ac:dyDescent="0.25">
      <c r="A517">
        <f t="shared" si="6"/>
        <v>237000.00000000003</v>
      </c>
    </row>
    <row r="518" spans="1:1" x14ac:dyDescent="0.25">
      <c r="A518">
        <f t="shared" si="6"/>
        <v>243000</v>
      </c>
    </row>
    <row r="519" spans="1:1" x14ac:dyDescent="0.25">
      <c r="A519">
        <f t="shared" si="6"/>
        <v>249000</v>
      </c>
    </row>
    <row r="520" spans="1:1" x14ac:dyDescent="0.25">
      <c r="A520">
        <f t="shared" si="6"/>
        <v>255000</v>
      </c>
    </row>
    <row r="521" spans="1:1" x14ac:dyDescent="0.25">
      <c r="A521">
        <f t="shared" si="6"/>
        <v>261000</v>
      </c>
    </row>
    <row r="522" spans="1:1" x14ac:dyDescent="0.25">
      <c r="A522">
        <f t="shared" si="6"/>
        <v>267000</v>
      </c>
    </row>
    <row r="523" spans="1:1" x14ac:dyDescent="0.25">
      <c r="A523">
        <f t="shared" si="6"/>
        <v>274000</v>
      </c>
    </row>
    <row r="524" spans="1:1" x14ac:dyDescent="0.25">
      <c r="A524">
        <f t="shared" si="6"/>
        <v>280000</v>
      </c>
    </row>
    <row r="525" spans="1:1" x14ac:dyDescent="0.25">
      <c r="A525">
        <f t="shared" si="6"/>
        <v>287000</v>
      </c>
    </row>
    <row r="526" spans="1:1" x14ac:dyDescent="0.25">
      <c r="A526">
        <f t="shared" si="6"/>
        <v>294000</v>
      </c>
    </row>
    <row r="527" spans="1:1" x14ac:dyDescent="0.25">
      <c r="A527">
        <f t="shared" si="6"/>
        <v>301000</v>
      </c>
    </row>
    <row r="528" spans="1:1" x14ac:dyDescent="0.25">
      <c r="A528">
        <f t="shared" si="6"/>
        <v>309000</v>
      </c>
    </row>
    <row r="529" spans="1:1" x14ac:dyDescent="0.25">
      <c r="A529">
        <f t="shared" si="6"/>
        <v>316000</v>
      </c>
    </row>
    <row r="530" spans="1:1" x14ac:dyDescent="0.25">
      <c r="A530">
        <f t="shared" si="6"/>
        <v>324000</v>
      </c>
    </row>
    <row r="531" spans="1:1" x14ac:dyDescent="0.25">
      <c r="A531">
        <f t="shared" si="6"/>
        <v>332000</v>
      </c>
    </row>
    <row r="532" spans="1:1" x14ac:dyDescent="0.25">
      <c r="A532">
        <f t="shared" si="6"/>
        <v>340000</v>
      </c>
    </row>
    <row r="533" spans="1:1" x14ac:dyDescent="0.25">
      <c r="A533">
        <f t="shared" si="6"/>
        <v>348000</v>
      </c>
    </row>
    <row r="534" spans="1:1" x14ac:dyDescent="0.25">
      <c r="A534">
        <f t="shared" si="6"/>
        <v>357000</v>
      </c>
    </row>
    <row r="535" spans="1:1" x14ac:dyDescent="0.25">
      <c r="A535">
        <f t="shared" si="6"/>
        <v>365000</v>
      </c>
    </row>
    <row r="536" spans="1:1" x14ac:dyDescent="0.25">
      <c r="A536">
        <f t="shared" si="6"/>
        <v>374000</v>
      </c>
    </row>
    <row r="537" spans="1:1" x14ac:dyDescent="0.25">
      <c r="A537">
        <f t="shared" si="6"/>
        <v>383000</v>
      </c>
    </row>
    <row r="538" spans="1:1" x14ac:dyDescent="0.25">
      <c r="A538">
        <f t="shared" si="6"/>
        <v>392000</v>
      </c>
    </row>
    <row r="539" spans="1:1" x14ac:dyDescent="0.25">
      <c r="A539">
        <f t="shared" si="6"/>
        <v>402000</v>
      </c>
    </row>
    <row r="540" spans="1:1" x14ac:dyDescent="0.25">
      <c r="A540">
        <f t="shared" si="6"/>
        <v>412000</v>
      </c>
    </row>
    <row r="541" spans="1:1" x14ac:dyDescent="0.25">
      <c r="A541">
        <f t="shared" si="6"/>
        <v>422000</v>
      </c>
    </row>
    <row r="542" spans="1:1" x14ac:dyDescent="0.25">
      <c r="A542">
        <f t="shared" si="6"/>
        <v>432000</v>
      </c>
    </row>
    <row r="543" spans="1:1" x14ac:dyDescent="0.25">
      <c r="A543">
        <f t="shared" si="6"/>
        <v>442000</v>
      </c>
    </row>
    <row r="544" spans="1:1" x14ac:dyDescent="0.25">
      <c r="A544">
        <f t="shared" si="6"/>
        <v>453000</v>
      </c>
    </row>
    <row r="545" spans="1:1" x14ac:dyDescent="0.25">
      <c r="A545">
        <f t="shared" si="6"/>
        <v>464000</v>
      </c>
    </row>
    <row r="546" spans="1:1" x14ac:dyDescent="0.25">
      <c r="A546">
        <f t="shared" ref="A546:A609" si="7">A450*10</f>
        <v>475000</v>
      </c>
    </row>
    <row r="547" spans="1:1" x14ac:dyDescent="0.25">
      <c r="A547">
        <f t="shared" si="7"/>
        <v>487000</v>
      </c>
    </row>
    <row r="548" spans="1:1" x14ac:dyDescent="0.25">
      <c r="A548">
        <f t="shared" si="7"/>
        <v>499000.00000000006</v>
      </c>
    </row>
    <row r="549" spans="1:1" x14ac:dyDescent="0.25">
      <c r="A549">
        <f t="shared" si="7"/>
        <v>511000</v>
      </c>
    </row>
    <row r="550" spans="1:1" x14ac:dyDescent="0.25">
      <c r="A550">
        <f t="shared" si="7"/>
        <v>523000</v>
      </c>
    </row>
    <row r="551" spans="1:1" x14ac:dyDescent="0.25">
      <c r="A551">
        <f t="shared" si="7"/>
        <v>536000</v>
      </c>
    </row>
    <row r="552" spans="1:1" x14ac:dyDescent="0.25">
      <c r="A552">
        <f t="shared" si="7"/>
        <v>549000</v>
      </c>
    </row>
    <row r="553" spans="1:1" x14ac:dyDescent="0.25">
      <c r="A553">
        <f t="shared" si="7"/>
        <v>562000</v>
      </c>
    </row>
    <row r="554" spans="1:1" x14ac:dyDescent="0.25">
      <c r="A554">
        <f t="shared" si="7"/>
        <v>576000</v>
      </c>
    </row>
    <row r="555" spans="1:1" x14ac:dyDescent="0.25">
      <c r="A555">
        <f t="shared" si="7"/>
        <v>590000</v>
      </c>
    </row>
    <row r="556" spans="1:1" x14ac:dyDescent="0.25">
      <c r="A556">
        <f t="shared" si="7"/>
        <v>604000</v>
      </c>
    </row>
    <row r="557" spans="1:1" x14ac:dyDescent="0.25">
      <c r="A557">
        <f t="shared" si="7"/>
        <v>618999.99999999988</v>
      </c>
    </row>
    <row r="558" spans="1:1" x14ac:dyDescent="0.25">
      <c r="A558">
        <f t="shared" si="7"/>
        <v>634000</v>
      </c>
    </row>
    <row r="559" spans="1:1" x14ac:dyDescent="0.25">
      <c r="A559">
        <f t="shared" si="7"/>
        <v>649000</v>
      </c>
    </row>
    <row r="560" spans="1:1" x14ac:dyDescent="0.25">
      <c r="A560">
        <f t="shared" si="7"/>
        <v>665000</v>
      </c>
    </row>
    <row r="561" spans="1:1" x14ac:dyDescent="0.25">
      <c r="A561">
        <f t="shared" si="7"/>
        <v>681000</v>
      </c>
    </row>
    <row r="562" spans="1:1" x14ac:dyDescent="0.25">
      <c r="A562">
        <f t="shared" si="7"/>
        <v>698000</v>
      </c>
    </row>
    <row r="563" spans="1:1" x14ac:dyDescent="0.25">
      <c r="A563">
        <f t="shared" si="7"/>
        <v>715000</v>
      </c>
    </row>
    <row r="564" spans="1:1" x14ac:dyDescent="0.25">
      <c r="A564">
        <f t="shared" si="7"/>
        <v>732000</v>
      </c>
    </row>
    <row r="565" spans="1:1" x14ac:dyDescent="0.25">
      <c r="A565">
        <f t="shared" si="7"/>
        <v>750000</v>
      </c>
    </row>
    <row r="566" spans="1:1" x14ac:dyDescent="0.25">
      <c r="A566">
        <f t="shared" si="7"/>
        <v>768000</v>
      </c>
    </row>
    <row r="567" spans="1:1" x14ac:dyDescent="0.25">
      <c r="A567">
        <f t="shared" si="7"/>
        <v>787000</v>
      </c>
    </row>
    <row r="568" spans="1:1" x14ac:dyDescent="0.25">
      <c r="A568">
        <f t="shared" si="7"/>
        <v>806000</v>
      </c>
    </row>
    <row r="569" spans="1:1" x14ac:dyDescent="0.25">
      <c r="A569">
        <f t="shared" si="7"/>
        <v>825000</v>
      </c>
    </row>
    <row r="570" spans="1:1" x14ac:dyDescent="0.25">
      <c r="A570">
        <f t="shared" si="7"/>
        <v>845000</v>
      </c>
    </row>
    <row r="571" spans="1:1" x14ac:dyDescent="0.25">
      <c r="A571">
        <f t="shared" si="7"/>
        <v>866000</v>
      </c>
    </row>
    <row r="572" spans="1:1" x14ac:dyDescent="0.25">
      <c r="A572">
        <f t="shared" si="7"/>
        <v>887000.00000000012</v>
      </c>
    </row>
    <row r="573" spans="1:1" x14ac:dyDescent="0.25">
      <c r="A573">
        <f t="shared" si="7"/>
        <v>909000</v>
      </c>
    </row>
    <row r="574" spans="1:1" x14ac:dyDescent="0.25">
      <c r="A574">
        <f t="shared" si="7"/>
        <v>931000</v>
      </c>
    </row>
    <row r="575" spans="1:1" x14ac:dyDescent="0.25">
      <c r="A575">
        <f t="shared" si="7"/>
        <v>953000</v>
      </c>
    </row>
    <row r="576" spans="1:1" x14ac:dyDescent="0.25">
      <c r="A576">
        <f t="shared" si="7"/>
        <v>976000</v>
      </c>
    </row>
    <row r="577" spans="1:1" x14ac:dyDescent="0.25">
      <c r="A577">
        <f t="shared" si="7"/>
        <v>1000000</v>
      </c>
    </row>
    <row r="578" spans="1:1" x14ac:dyDescent="0.25">
      <c r="A578">
        <f t="shared" si="7"/>
        <v>1020000</v>
      </c>
    </row>
    <row r="579" spans="1:1" x14ac:dyDescent="0.25">
      <c r="A579">
        <f t="shared" si="7"/>
        <v>1050000</v>
      </c>
    </row>
    <row r="580" spans="1:1" x14ac:dyDescent="0.25">
      <c r="A580">
        <f t="shared" si="7"/>
        <v>1070000</v>
      </c>
    </row>
    <row r="581" spans="1:1" x14ac:dyDescent="0.25">
      <c r="A581">
        <f t="shared" si="7"/>
        <v>1100000</v>
      </c>
    </row>
    <row r="582" spans="1:1" x14ac:dyDescent="0.25">
      <c r="A582">
        <f t="shared" si="7"/>
        <v>1130000</v>
      </c>
    </row>
    <row r="583" spans="1:1" x14ac:dyDescent="0.25">
      <c r="A583">
        <f t="shared" si="7"/>
        <v>1150000</v>
      </c>
    </row>
    <row r="584" spans="1:1" x14ac:dyDescent="0.25">
      <c r="A584">
        <f t="shared" si="7"/>
        <v>1180000</v>
      </c>
    </row>
    <row r="585" spans="1:1" x14ac:dyDescent="0.25">
      <c r="A585">
        <f t="shared" si="7"/>
        <v>1210000</v>
      </c>
    </row>
    <row r="586" spans="1:1" x14ac:dyDescent="0.25">
      <c r="A586">
        <f t="shared" si="7"/>
        <v>1240000</v>
      </c>
    </row>
    <row r="587" spans="1:1" x14ac:dyDescent="0.25">
      <c r="A587">
        <f t="shared" si="7"/>
        <v>1270000</v>
      </c>
    </row>
    <row r="588" spans="1:1" x14ac:dyDescent="0.25">
      <c r="A588">
        <f t="shared" si="7"/>
        <v>1300000</v>
      </c>
    </row>
    <row r="589" spans="1:1" x14ac:dyDescent="0.25">
      <c r="A589">
        <f t="shared" si="7"/>
        <v>1330000</v>
      </c>
    </row>
    <row r="590" spans="1:1" x14ac:dyDescent="0.25">
      <c r="A590">
        <f t="shared" si="7"/>
        <v>1370000</v>
      </c>
    </row>
    <row r="591" spans="1:1" x14ac:dyDescent="0.25">
      <c r="A591">
        <f t="shared" si="7"/>
        <v>1400000</v>
      </c>
    </row>
    <row r="592" spans="1:1" x14ac:dyDescent="0.25">
      <c r="A592">
        <f t="shared" si="7"/>
        <v>1430000</v>
      </c>
    </row>
    <row r="593" spans="1:1" x14ac:dyDescent="0.25">
      <c r="A593">
        <f t="shared" si="7"/>
        <v>1470000</v>
      </c>
    </row>
    <row r="594" spans="1:1" x14ac:dyDescent="0.25">
      <c r="A594">
        <f t="shared" si="7"/>
        <v>1500000</v>
      </c>
    </row>
    <row r="595" spans="1:1" x14ac:dyDescent="0.25">
      <c r="A595">
        <f t="shared" si="7"/>
        <v>1540000</v>
      </c>
    </row>
    <row r="596" spans="1:1" x14ac:dyDescent="0.25">
      <c r="A596">
        <f t="shared" si="7"/>
        <v>1580000</v>
      </c>
    </row>
    <row r="597" spans="1:1" x14ac:dyDescent="0.25">
      <c r="A597">
        <f t="shared" si="7"/>
        <v>1620000</v>
      </c>
    </row>
    <row r="598" spans="1:1" x14ac:dyDescent="0.25">
      <c r="A598">
        <f t="shared" si="7"/>
        <v>1650000</v>
      </c>
    </row>
    <row r="599" spans="1:1" x14ac:dyDescent="0.25">
      <c r="A599">
        <f t="shared" si="7"/>
        <v>1690000</v>
      </c>
    </row>
    <row r="600" spans="1:1" x14ac:dyDescent="0.25">
      <c r="A600">
        <f t="shared" si="7"/>
        <v>1740000</v>
      </c>
    </row>
    <row r="601" spans="1:1" x14ac:dyDescent="0.25">
      <c r="A601">
        <f t="shared" si="7"/>
        <v>1780000</v>
      </c>
    </row>
    <row r="602" spans="1:1" x14ac:dyDescent="0.25">
      <c r="A602">
        <f t="shared" si="7"/>
        <v>1820000</v>
      </c>
    </row>
    <row r="603" spans="1:1" x14ac:dyDescent="0.25">
      <c r="A603">
        <f t="shared" si="7"/>
        <v>1870000</v>
      </c>
    </row>
    <row r="604" spans="1:1" x14ac:dyDescent="0.25">
      <c r="A604">
        <f t="shared" si="7"/>
        <v>1910000</v>
      </c>
    </row>
    <row r="605" spans="1:1" x14ac:dyDescent="0.25">
      <c r="A605">
        <f t="shared" si="7"/>
        <v>1960000</v>
      </c>
    </row>
    <row r="606" spans="1:1" x14ac:dyDescent="0.25">
      <c r="A606">
        <f t="shared" si="7"/>
        <v>2000000</v>
      </c>
    </row>
    <row r="607" spans="1:1" x14ac:dyDescent="0.25">
      <c r="A607">
        <f t="shared" si="7"/>
        <v>2050000</v>
      </c>
    </row>
    <row r="608" spans="1:1" x14ac:dyDescent="0.25">
      <c r="A608">
        <f t="shared" si="7"/>
        <v>2100000</v>
      </c>
    </row>
    <row r="609" spans="1:1" x14ac:dyDescent="0.25">
      <c r="A609">
        <f t="shared" si="7"/>
        <v>2150000</v>
      </c>
    </row>
    <row r="610" spans="1:1" x14ac:dyDescent="0.25">
      <c r="A610">
        <f t="shared" ref="A610:A673" si="8">A514*10</f>
        <v>2210000</v>
      </c>
    </row>
    <row r="611" spans="1:1" x14ac:dyDescent="0.25">
      <c r="A611">
        <f t="shared" si="8"/>
        <v>2260000</v>
      </c>
    </row>
    <row r="612" spans="1:1" x14ac:dyDescent="0.25">
      <c r="A612">
        <f t="shared" si="8"/>
        <v>2320000</v>
      </c>
    </row>
    <row r="613" spans="1:1" x14ac:dyDescent="0.25">
      <c r="A613">
        <f t="shared" si="8"/>
        <v>2370000.0000000005</v>
      </c>
    </row>
    <row r="614" spans="1:1" x14ac:dyDescent="0.25">
      <c r="A614">
        <f t="shared" si="8"/>
        <v>2430000</v>
      </c>
    </row>
    <row r="615" spans="1:1" x14ac:dyDescent="0.25">
      <c r="A615">
        <f t="shared" si="8"/>
        <v>2490000</v>
      </c>
    </row>
    <row r="616" spans="1:1" x14ac:dyDescent="0.25">
      <c r="A616">
        <f t="shared" si="8"/>
        <v>2550000</v>
      </c>
    </row>
    <row r="617" spans="1:1" x14ac:dyDescent="0.25">
      <c r="A617">
        <f t="shared" si="8"/>
        <v>2610000</v>
      </c>
    </row>
    <row r="618" spans="1:1" x14ac:dyDescent="0.25">
      <c r="A618">
        <f t="shared" si="8"/>
        <v>2670000</v>
      </c>
    </row>
    <row r="619" spans="1:1" x14ac:dyDescent="0.25">
      <c r="A619">
        <f t="shared" si="8"/>
        <v>2740000</v>
      </c>
    </row>
    <row r="620" spans="1:1" x14ac:dyDescent="0.25">
      <c r="A620">
        <f t="shared" si="8"/>
        <v>2800000</v>
      </c>
    </row>
    <row r="621" spans="1:1" x14ac:dyDescent="0.25">
      <c r="A621">
        <f t="shared" si="8"/>
        <v>2870000</v>
      </c>
    </row>
    <row r="622" spans="1:1" x14ac:dyDescent="0.25">
      <c r="A622">
        <f t="shared" si="8"/>
        <v>2940000</v>
      </c>
    </row>
    <row r="623" spans="1:1" x14ac:dyDescent="0.25">
      <c r="A623">
        <f t="shared" si="8"/>
        <v>3010000</v>
      </c>
    </row>
    <row r="624" spans="1:1" x14ac:dyDescent="0.25">
      <c r="A624">
        <f t="shared" si="8"/>
        <v>3090000</v>
      </c>
    </row>
    <row r="625" spans="1:1" x14ac:dyDescent="0.25">
      <c r="A625">
        <f t="shared" si="8"/>
        <v>3160000</v>
      </c>
    </row>
    <row r="626" spans="1:1" x14ac:dyDescent="0.25">
      <c r="A626">
        <f t="shared" si="8"/>
        <v>3240000</v>
      </c>
    </row>
    <row r="627" spans="1:1" x14ac:dyDescent="0.25">
      <c r="A627">
        <f t="shared" si="8"/>
        <v>3320000</v>
      </c>
    </row>
    <row r="628" spans="1:1" x14ac:dyDescent="0.25">
      <c r="A628">
        <f t="shared" si="8"/>
        <v>3400000</v>
      </c>
    </row>
    <row r="629" spans="1:1" x14ac:dyDescent="0.25">
      <c r="A629">
        <f t="shared" si="8"/>
        <v>3480000</v>
      </c>
    </row>
    <row r="630" spans="1:1" x14ac:dyDescent="0.25">
      <c r="A630">
        <f t="shared" si="8"/>
        <v>3570000</v>
      </c>
    </row>
    <row r="631" spans="1:1" x14ac:dyDescent="0.25">
      <c r="A631">
        <f t="shared" si="8"/>
        <v>3650000</v>
      </c>
    </row>
    <row r="632" spans="1:1" x14ac:dyDescent="0.25">
      <c r="A632">
        <f t="shared" si="8"/>
        <v>3740000</v>
      </c>
    </row>
    <row r="633" spans="1:1" x14ac:dyDescent="0.25">
      <c r="A633">
        <f t="shared" si="8"/>
        <v>3830000</v>
      </c>
    </row>
    <row r="634" spans="1:1" x14ac:dyDescent="0.25">
      <c r="A634">
        <f t="shared" si="8"/>
        <v>3920000</v>
      </c>
    </row>
    <row r="635" spans="1:1" x14ac:dyDescent="0.25">
      <c r="A635">
        <f t="shared" si="8"/>
        <v>4020000</v>
      </c>
    </row>
    <row r="636" spans="1:1" x14ac:dyDescent="0.25">
      <c r="A636">
        <f t="shared" si="8"/>
        <v>4120000</v>
      </c>
    </row>
    <row r="637" spans="1:1" x14ac:dyDescent="0.25">
      <c r="A637">
        <f t="shared" si="8"/>
        <v>4220000</v>
      </c>
    </row>
    <row r="638" spans="1:1" x14ac:dyDescent="0.25">
      <c r="A638">
        <f t="shared" si="8"/>
        <v>4320000</v>
      </c>
    </row>
    <row r="639" spans="1:1" x14ac:dyDescent="0.25">
      <c r="A639">
        <f t="shared" si="8"/>
        <v>4420000</v>
      </c>
    </row>
    <row r="640" spans="1:1" x14ac:dyDescent="0.25">
      <c r="A640">
        <f t="shared" si="8"/>
        <v>4530000</v>
      </c>
    </row>
    <row r="641" spans="1:1" x14ac:dyDescent="0.25">
      <c r="A641">
        <f t="shared" si="8"/>
        <v>4640000</v>
      </c>
    </row>
    <row r="642" spans="1:1" x14ac:dyDescent="0.25">
      <c r="A642">
        <f t="shared" si="8"/>
        <v>4750000</v>
      </c>
    </row>
    <row r="643" spans="1:1" x14ac:dyDescent="0.25">
      <c r="A643">
        <f t="shared" si="8"/>
        <v>4870000</v>
      </c>
    </row>
    <row r="644" spans="1:1" x14ac:dyDescent="0.25">
      <c r="A644">
        <f t="shared" si="8"/>
        <v>4990000.0000000009</v>
      </c>
    </row>
    <row r="645" spans="1:1" x14ac:dyDescent="0.25">
      <c r="A645">
        <f t="shared" si="8"/>
        <v>5110000</v>
      </c>
    </row>
    <row r="646" spans="1:1" x14ac:dyDescent="0.25">
      <c r="A646">
        <f t="shared" si="8"/>
        <v>5230000</v>
      </c>
    </row>
    <row r="647" spans="1:1" x14ac:dyDescent="0.25">
      <c r="A647">
        <f t="shared" si="8"/>
        <v>5360000</v>
      </c>
    </row>
    <row r="648" spans="1:1" x14ac:dyDescent="0.25">
      <c r="A648">
        <f t="shared" si="8"/>
        <v>5490000</v>
      </c>
    </row>
    <row r="649" spans="1:1" x14ac:dyDescent="0.25">
      <c r="A649">
        <f t="shared" si="8"/>
        <v>5620000</v>
      </c>
    </row>
    <row r="650" spans="1:1" x14ac:dyDescent="0.25">
      <c r="A650">
        <f t="shared" si="8"/>
        <v>5760000</v>
      </c>
    </row>
    <row r="651" spans="1:1" x14ac:dyDescent="0.25">
      <c r="A651">
        <f t="shared" si="8"/>
        <v>5900000</v>
      </c>
    </row>
    <row r="652" spans="1:1" x14ac:dyDescent="0.25">
      <c r="A652">
        <f t="shared" si="8"/>
        <v>6040000</v>
      </c>
    </row>
    <row r="653" spans="1:1" x14ac:dyDescent="0.25">
      <c r="A653">
        <f t="shared" si="8"/>
        <v>6189999.9999999991</v>
      </c>
    </row>
    <row r="654" spans="1:1" x14ac:dyDescent="0.25">
      <c r="A654">
        <f t="shared" si="8"/>
        <v>6340000</v>
      </c>
    </row>
    <row r="655" spans="1:1" x14ac:dyDescent="0.25">
      <c r="A655">
        <f t="shared" si="8"/>
        <v>6490000</v>
      </c>
    </row>
    <row r="656" spans="1:1" x14ac:dyDescent="0.25">
      <c r="A656">
        <f t="shared" si="8"/>
        <v>6650000</v>
      </c>
    </row>
    <row r="657" spans="1:1" x14ac:dyDescent="0.25">
      <c r="A657">
        <f t="shared" si="8"/>
        <v>6810000</v>
      </c>
    </row>
    <row r="658" spans="1:1" x14ac:dyDescent="0.25">
      <c r="A658">
        <f t="shared" si="8"/>
        <v>6980000</v>
      </c>
    </row>
    <row r="659" spans="1:1" x14ac:dyDescent="0.25">
      <c r="A659">
        <f t="shared" si="8"/>
        <v>7150000</v>
      </c>
    </row>
    <row r="660" spans="1:1" x14ac:dyDescent="0.25">
      <c r="A660">
        <f t="shared" si="8"/>
        <v>7320000</v>
      </c>
    </row>
    <row r="661" spans="1:1" x14ac:dyDescent="0.25">
      <c r="A661">
        <f t="shared" si="8"/>
        <v>7500000</v>
      </c>
    </row>
    <row r="662" spans="1:1" x14ac:dyDescent="0.25">
      <c r="A662">
        <f t="shared" si="8"/>
        <v>7680000</v>
      </c>
    </row>
    <row r="663" spans="1:1" x14ac:dyDescent="0.25">
      <c r="A663">
        <f t="shared" si="8"/>
        <v>7870000</v>
      </c>
    </row>
    <row r="664" spans="1:1" x14ac:dyDescent="0.25">
      <c r="A664">
        <f t="shared" si="8"/>
        <v>8060000</v>
      </c>
    </row>
    <row r="665" spans="1:1" x14ac:dyDescent="0.25">
      <c r="A665">
        <f t="shared" si="8"/>
        <v>8250000</v>
      </c>
    </row>
    <row r="666" spans="1:1" x14ac:dyDescent="0.25">
      <c r="A666">
        <f t="shared" si="8"/>
        <v>8450000</v>
      </c>
    </row>
    <row r="667" spans="1:1" x14ac:dyDescent="0.25">
      <c r="A667">
        <f t="shared" si="8"/>
        <v>8660000</v>
      </c>
    </row>
    <row r="668" spans="1:1" x14ac:dyDescent="0.25">
      <c r="A668">
        <f t="shared" si="8"/>
        <v>8870000.0000000019</v>
      </c>
    </row>
    <row r="669" spans="1:1" x14ac:dyDescent="0.25">
      <c r="A669">
        <f t="shared" si="8"/>
        <v>9090000</v>
      </c>
    </row>
    <row r="670" spans="1:1" x14ac:dyDescent="0.25">
      <c r="A670">
        <f t="shared" si="8"/>
        <v>9310000</v>
      </c>
    </row>
    <row r="671" spans="1:1" x14ac:dyDescent="0.25">
      <c r="A671">
        <f t="shared" si="8"/>
        <v>9530000</v>
      </c>
    </row>
    <row r="672" spans="1:1" x14ac:dyDescent="0.25">
      <c r="A672">
        <f t="shared" si="8"/>
        <v>9760000</v>
      </c>
    </row>
    <row r="673" spans="1:1" x14ac:dyDescent="0.25">
      <c r="A673">
        <f t="shared" si="8"/>
        <v>10000000</v>
      </c>
    </row>
    <row r="674" spans="1:1" x14ac:dyDescent="0.25">
      <c r="A674">
        <f t="shared" ref="A674:A737" si="9">A578*10</f>
        <v>10200000</v>
      </c>
    </row>
    <row r="675" spans="1:1" x14ac:dyDescent="0.25">
      <c r="A675">
        <f t="shared" si="9"/>
        <v>10500000</v>
      </c>
    </row>
    <row r="676" spans="1:1" x14ac:dyDescent="0.25">
      <c r="A676">
        <f t="shared" si="9"/>
        <v>10700000</v>
      </c>
    </row>
    <row r="677" spans="1:1" x14ac:dyDescent="0.25">
      <c r="A677">
        <f t="shared" si="9"/>
        <v>11000000</v>
      </c>
    </row>
    <row r="678" spans="1:1" x14ac:dyDescent="0.25">
      <c r="A678">
        <f t="shared" si="9"/>
        <v>11300000</v>
      </c>
    </row>
    <row r="679" spans="1:1" x14ac:dyDescent="0.25">
      <c r="A679">
        <f t="shared" si="9"/>
        <v>11500000</v>
      </c>
    </row>
    <row r="680" spans="1:1" x14ac:dyDescent="0.25">
      <c r="A680">
        <f t="shared" si="9"/>
        <v>11800000</v>
      </c>
    </row>
    <row r="681" spans="1:1" x14ac:dyDescent="0.25">
      <c r="A681">
        <f t="shared" si="9"/>
        <v>12100000</v>
      </c>
    </row>
    <row r="682" spans="1:1" x14ac:dyDescent="0.25">
      <c r="A682">
        <f t="shared" si="9"/>
        <v>12400000</v>
      </c>
    </row>
    <row r="683" spans="1:1" x14ac:dyDescent="0.25">
      <c r="A683">
        <f t="shared" si="9"/>
        <v>12700000</v>
      </c>
    </row>
    <row r="684" spans="1:1" x14ac:dyDescent="0.25">
      <c r="A684">
        <f t="shared" si="9"/>
        <v>13000000</v>
      </c>
    </row>
    <row r="685" spans="1:1" x14ac:dyDescent="0.25">
      <c r="A685">
        <f t="shared" si="9"/>
        <v>13300000</v>
      </c>
    </row>
    <row r="686" spans="1:1" x14ac:dyDescent="0.25">
      <c r="A686">
        <f t="shared" si="9"/>
        <v>13700000</v>
      </c>
    </row>
    <row r="687" spans="1:1" x14ac:dyDescent="0.25">
      <c r="A687">
        <f t="shared" si="9"/>
        <v>14000000</v>
      </c>
    </row>
    <row r="688" spans="1:1" x14ac:dyDescent="0.25">
      <c r="A688">
        <f t="shared" si="9"/>
        <v>14300000</v>
      </c>
    </row>
    <row r="689" spans="1:1" x14ac:dyDescent="0.25">
      <c r="A689">
        <f t="shared" si="9"/>
        <v>14700000</v>
      </c>
    </row>
    <row r="690" spans="1:1" x14ac:dyDescent="0.25">
      <c r="A690">
        <f t="shared" si="9"/>
        <v>15000000</v>
      </c>
    </row>
    <row r="691" spans="1:1" x14ac:dyDescent="0.25">
      <c r="A691">
        <f t="shared" si="9"/>
        <v>15400000</v>
      </c>
    </row>
    <row r="692" spans="1:1" x14ac:dyDescent="0.25">
      <c r="A692">
        <f t="shared" si="9"/>
        <v>15800000</v>
      </c>
    </row>
    <row r="693" spans="1:1" x14ac:dyDescent="0.25">
      <c r="A693">
        <f t="shared" si="9"/>
        <v>16200000</v>
      </c>
    </row>
    <row r="694" spans="1:1" x14ac:dyDescent="0.25">
      <c r="A694">
        <f t="shared" si="9"/>
        <v>16500000</v>
      </c>
    </row>
    <row r="695" spans="1:1" x14ac:dyDescent="0.25">
      <c r="A695">
        <f t="shared" si="9"/>
        <v>16900000</v>
      </c>
    </row>
    <row r="696" spans="1:1" x14ac:dyDescent="0.25">
      <c r="A696">
        <f t="shared" si="9"/>
        <v>17400000</v>
      </c>
    </row>
    <row r="697" spans="1:1" x14ac:dyDescent="0.25">
      <c r="A697">
        <f t="shared" si="9"/>
        <v>17800000</v>
      </c>
    </row>
    <row r="698" spans="1:1" x14ac:dyDescent="0.25">
      <c r="A698">
        <f t="shared" si="9"/>
        <v>18200000</v>
      </c>
    </row>
    <row r="699" spans="1:1" x14ac:dyDescent="0.25">
      <c r="A699">
        <f t="shared" si="9"/>
        <v>18700000</v>
      </c>
    </row>
    <row r="700" spans="1:1" x14ac:dyDescent="0.25">
      <c r="A700">
        <f t="shared" si="9"/>
        <v>19100000</v>
      </c>
    </row>
    <row r="701" spans="1:1" x14ac:dyDescent="0.25">
      <c r="A701">
        <f t="shared" si="9"/>
        <v>19600000</v>
      </c>
    </row>
    <row r="702" spans="1:1" x14ac:dyDescent="0.25">
      <c r="A702">
        <f t="shared" si="9"/>
        <v>20000000</v>
      </c>
    </row>
    <row r="703" spans="1:1" x14ac:dyDescent="0.25">
      <c r="A703">
        <f t="shared" si="9"/>
        <v>20500000</v>
      </c>
    </row>
    <row r="704" spans="1:1" x14ac:dyDescent="0.25">
      <c r="A704">
        <f t="shared" si="9"/>
        <v>21000000</v>
      </c>
    </row>
    <row r="705" spans="1:1" x14ac:dyDescent="0.25">
      <c r="A705">
        <f t="shared" si="9"/>
        <v>21500000</v>
      </c>
    </row>
    <row r="706" spans="1:1" x14ac:dyDescent="0.25">
      <c r="A706">
        <f t="shared" si="9"/>
        <v>22100000</v>
      </c>
    </row>
    <row r="707" spans="1:1" x14ac:dyDescent="0.25">
      <c r="A707">
        <f t="shared" si="9"/>
        <v>22600000</v>
      </c>
    </row>
    <row r="708" spans="1:1" x14ac:dyDescent="0.25">
      <c r="A708">
        <f t="shared" si="9"/>
        <v>23200000</v>
      </c>
    </row>
    <row r="709" spans="1:1" x14ac:dyDescent="0.25">
      <c r="A709">
        <f t="shared" si="9"/>
        <v>23700000.000000004</v>
      </c>
    </row>
    <row r="710" spans="1:1" x14ac:dyDescent="0.25">
      <c r="A710">
        <f t="shared" si="9"/>
        <v>24300000</v>
      </c>
    </row>
    <row r="711" spans="1:1" x14ac:dyDescent="0.25">
      <c r="A711">
        <f t="shared" si="9"/>
        <v>24900000</v>
      </c>
    </row>
    <row r="712" spans="1:1" x14ac:dyDescent="0.25">
      <c r="A712">
        <f t="shared" si="9"/>
        <v>25500000</v>
      </c>
    </row>
    <row r="713" spans="1:1" x14ac:dyDescent="0.25">
      <c r="A713">
        <f t="shared" si="9"/>
        <v>26100000</v>
      </c>
    </row>
    <row r="714" spans="1:1" x14ac:dyDescent="0.25">
      <c r="A714">
        <f t="shared" si="9"/>
        <v>26700000</v>
      </c>
    </row>
    <row r="715" spans="1:1" x14ac:dyDescent="0.25">
      <c r="A715">
        <f t="shared" si="9"/>
        <v>27400000</v>
      </c>
    </row>
    <row r="716" spans="1:1" x14ac:dyDescent="0.25">
      <c r="A716">
        <f t="shared" si="9"/>
        <v>28000000</v>
      </c>
    </row>
    <row r="717" spans="1:1" x14ac:dyDescent="0.25">
      <c r="A717">
        <f t="shared" si="9"/>
        <v>28700000</v>
      </c>
    </row>
    <row r="718" spans="1:1" x14ac:dyDescent="0.25">
      <c r="A718">
        <f t="shared" si="9"/>
        <v>29400000</v>
      </c>
    </row>
    <row r="719" spans="1:1" x14ac:dyDescent="0.25">
      <c r="A719">
        <f t="shared" si="9"/>
        <v>30100000</v>
      </c>
    </row>
    <row r="720" spans="1:1" x14ac:dyDescent="0.25">
      <c r="A720">
        <f t="shared" si="9"/>
        <v>30900000</v>
      </c>
    </row>
    <row r="721" spans="1:1" x14ac:dyDescent="0.25">
      <c r="A721">
        <f t="shared" si="9"/>
        <v>31600000</v>
      </c>
    </row>
    <row r="722" spans="1:1" x14ac:dyDescent="0.25">
      <c r="A722">
        <f t="shared" si="9"/>
        <v>32400000</v>
      </c>
    </row>
    <row r="723" spans="1:1" x14ac:dyDescent="0.25">
      <c r="A723">
        <f t="shared" si="9"/>
        <v>33200000</v>
      </c>
    </row>
    <row r="724" spans="1:1" x14ac:dyDescent="0.25">
      <c r="A724">
        <f t="shared" si="9"/>
        <v>34000000</v>
      </c>
    </row>
    <row r="725" spans="1:1" x14ac:dyDescent="0.25">
      <c r="A725">
        <f t="shared" si="9"/>
        <v>34800000</v>
      </c>
    </row>
    <row r="726" spans="1:1" x14ac:dyDescent="0.25">
      <c r="A726">
        <f t="shared" si="9"/>
        <v>35700000</v>
      </c>
    </row>
    <row r="727" spans="1:1" x14ac:dyDescent="0.25">
      <c r="A727">
        <f t="shared" si="9"/>
        <v>36500000</v>
      </c>
    </row>
    <row r="728" spans="1:1" x14ac:dyDescent="0.25">
      <c r="A728">
        <f t="shared" si="9"/>
        <v>37400000</v>
      </c>
    </row>
    <row r="729" spans="1:1" x14ac:dyDescent="0.25">
      <c r="A729">
        <f t="shared" si="9"/>
        <v>38300000</v>
      </c>
    </row>
    <row r="730" spans="1:1" x14ac:dyDescent="0.25">
      <c r="A730">
        <f t="shared" si="9"/>
        <v>39200000</v>
      </c>
    </row>
    <row r="731" spans="1:1" x14ac:dyDescent="0.25">
      <c r="A731">
        <f t="shared" si="9"/>
        <v>40200000</v>
      </c>
    </row>
    <row r="732" spans="1:1" x14ac:dyDescent="0.25">
      <c r="A732">
        <f t="shared" si="9"/>
        <v>41200000</v>
      </c>
    </row>
    <row r="733" spans="1:1" x14ac:dyDescent="0.25">
      <c r="A733">
        <f t="shared" si="9"/>
        <v>42200000</v>
      </c>
    </row>
    <row r="734" spans="1:1" x14ac:dyDescent="0.25">
      <c r="A734">
        <f t="shared" si="9"/>
        <v>43200000</v>
      </c>
    </row>
    <row r="735" spans="1:1" x14ac:dyDescent="0.25">
      <c r="A735">
        <f t="shared" si="9"/>
        <v>44200000</v>
      </c>
    </row>
    <row r="736" spans="1:1" x14ac:dyDescent="0.25">
      <c r="A736">
        <f t="shared" si="9"/>
        <v>45300000</v>
      </c>
    </row>
    <row r="737" spans="1:1" x14ac:dyDescent="0.25">
      <c r="A737">
        <f t="shared" si="9"/>
        <v>46400000</v>
      </c>
    </row>
    <row r="738" spans="1:1" x14ac:dyDescent="0.25">
      <c r="A738">
        <f t="shared" ref="A738:A769" si="10">A642*10</f>
        <v>47500000</v>
      </c>
    </row>
    <row r="739" spans="1:1" x14ac:dyDescent="0.25">
      <c r="A739">
        <f t="shared" si="10"/>
        <v>48700000</v>
      </c>
    </row>
    <row r="740" spans="1:1" x14ac:dyDescent="0.25">
      <c r="A740">
        <f t="shared" si="10"/>
        <v>49900000.000000007</v>
      </c>
    </row>
    <row r="741" spans="1:1" x14ac:dyDescent="0.25">
      <c r="A741">
        <f t="shared" si="10"/>
        <v>51100000</v>
      </c>
    </row>
    <row r="742" spans="1:1" x14ac:dyDescent="0.25">
      <c r="A742">
        <f t="shared" si="10"/>
        <v>52300000</v>
      </c>
    </row>
    <row r="743" spans="1:1" x14ac:dyDescent="0.25">
      <c r="A743">
        <f t="shared" si="10"/>
        <v>53600000</v>
      </c>
    </row>
    <row r="744" spans="1:1" x14ac:dyDescent="0.25">
      <c r="A744">
        <f t="shared" si="10"/>
        <v>54900000</v>
      </c>
    </row>
    <row r="745" spans="1:1" x14ac:dyDescent="0.25">
      <c r="A745">
        <f t="shared" si="10"/>
        <v>56200000</v>
      </c>
    </row>
    <row r="746" spans="1:1" x14ac:dyDescent="0.25">
      <c r="A746">
        <f t="shared" si="10"/>
        <v>57600000</v>
      </c>
    </row>
    <row r="747" spans="1:1" x14ac:dyDescent="0.25">
      <c r="A747">
        <f t="shared" si="10"/>
        <v>59000000</v>
      </c>
    </row>
    <row r="748" spans="1:1" x14ac:dyDescent="0.25">
      <c r="A748">
        <f t="shared" si="10"/>
        <v>60400000</v>
      </c>
    </row>
    <row r="749" spans="1:1" x14ac:dyDescent="0.25">
      <c r="A749">
        <f t="shared" si="10"/>
        <v>61899999.999999993</v>
      </c>
    </row>
    <row r="750" spans="1:1" x14ac:dyDescent="0.25">
      <c r="A750">
        <f t="shared" si="10"/>
        <v>63400000</v>
      </c>
    </row>
    <row r="751" spans="1:1" x14ac:dyDescent="0.25">
      <c r="A751">
        <f t="shared" si="10"/>
        <v>64900000</v>
      </c>
    </row>
    <row r="752" spans="1:1" x14ac:dyDescent="0.25">
      <c r="A752">
        <f t="shared" si="10"/>
        <v>66500000</v>
      </c>
    </row>
    <row r="753" spans="1:1" x14ac:dyDescent="0.25">
      <c r="A753">
        <f t="shared" si="10"/>
        <v>68100000</v>
      </c>
    </row>
    <row r="754" spans="1:1" x14ac:dyDescent="0.25">
      <c r="A754">
        <f t="shared" si="10"/>
        <v>69800000</v>
      </c>
    </row>
    <row r="755" spans="1:1" x14ac:dyDescent="0.25">
      <c r="A755">
        <f t="shared" si="10"/>
        <v>71500000</v>
      </c>
    </row>
    <row r="756" spans="1:1" x14ac:dyDescent="0.25">
      <c r="A756">
        <f t="shared" si="10"/>
        <v>73200000</v>
      </c>
    </row>
    <row r="757" spans="1:1" x14ac:dyDescent="0.25">
      <c r="A757">
        <f t="shared" si="10"/>
        <v>75000000</v>
      </c>
    </row>
    <row r="758" spans="1:1" x14ac:dyDescent="0.25">
      <c r="A758">
        <f t="shared" si="10"/>
        <v>76800000</v>
      </c>
    </row>
    <row r="759" spans="1:1" x14ac:dyDescent="0.25">
      <c r="A759">
        <f t="shared" si="10"/>
        <v>78700000</v>
      </c>
    </row>
    <row r="760" spans="1:1" x14ac:dyDescent="0.25">
      <c r="A760">
        <f t="shared" si="10"/>
        <v>80600000</v>
      </c>
    </row>
    <row r="761" spans="1:1" x14ac:dyDescent="0.25">
      <c r="A761">
        <f t="shared" si="10"/>
        <v>82500000</v>
      </c>
    </row>
    <row r="762" spans="1:1" x14ac:dyDescent="0.25">
      <c r="A762">
        <f t="shared" si="10"/>
        <v>84500000</v>
      </c>
    </row>
    <row r="763" spans="1:1" x14ac:dyDescent="0.25">
      <c r="A763">
        <f t="shared" si="10"/>
        <v>86600000</v>
      </c>
    </row>
    <row r="764" spans="1:1" x14ac:dyDescent="0.25">
      <c r="A764">
        <f t="shared" si="10"/>
        <v>88700000.000000015</v>
      </c>
    </row>
    <row r="765" spans="1:1" x14ac:dyDescent="0.25">
      <c r="A765">
        <f t="shared" si="10"/>
        <v>90900000</v>
      </c>
    </row>
    <row r="766" spans="1:1" x14ac:dyDescent="0.25">
      <c r="A766">
        <f t="shared" si="10"/>
        <v>93100000</v>
      </c>
    </row>
    <row r="767" spans="1:1" x14ac:dyDescent="0.25">
      <c r="A767">
        <f t="shared" si="10"/>
        <v>95300000</v>
      </c>
    </row>
    <row r="768" spans="1:1" x14ac:dyDescent="0.25">
      <c r="A768">
        <f t="shared" si="10"/>
        <v>97600000</v>
      </c>
    </row>
    <row r="769" spans="1:1" x14ac:dyDescent="0.25">
      <c r="A769">
        <f t="shared" si="10"/>
        <v>100000000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5B23-6B9C-4B9E-919D-870D0C3BD4D5}">
  <sheetPr codeName="Sheet5"/>
  <dimension ref="A1:C8"/>
  <sheetViews>
    <sheetView topLeftCell="A3" zoomScale="85" zoomScaleNormal="85" workbookViewId="0">
      <selection activeCell="A9" sqref="A9"/>
    </sheetView>
  </sheetViews>
  <sheetFormatPr defaultRowHeight="13.2" x14ac:dyDescent="0.25"/>
  <cols>
    <col min="1" max="1" width="106.44140625" customWidth="1"/>
    <col min="2" max="2" width="14.44140625" bestFit="1" customWidth="1"/>
  </cols>
  <sheetData>
    <row r="1" spans="1:3" ht="401.4" customHeight="1" x14ac:dyDescent="0.25">
      <c r="A1" s="1"/>
      <c r="B1" s="1" t="s">
        <v>385</v>
      </c>
      <c r="C1" s="1"/>
    </row>
    <row r="2" spans="1:3" ht="349.2" customHeight="1" x14ac:dyDescent="0.25">
      <c r="A2" s="1"/>
      <c r="B2" s="1" t="s">
        <v>440</v>
      </c>
      <c r="C2" s="1"/>
    </row>
    <row r="3" spans="1:3" ht="136.19999999999999" customHeight="1" x14ac:dyDescent="0.25">
      <c r="A3" s="158" t="s">
        <v>513</v>
      </c>
      <c r="B3" s="1" t="s">
        <v>512</v>
      </c>
      <c r="C3" s="1"/>
    </row>
    <row r="4" spans="1:3" x14ac:dyDescent="0.25">
      <c r="A4" s="1"/>
      <c r="B4" s="1"/>
      <c r="C4" s="1"/>
    </row>
    <row r="5" spans="1:3" x14ac:dyDescent="0.25">
      <c r="A5" s="1"/>
      <c r="B5" s="1"/>
      <c r="C5" s="1"/>
    </row>
    <row r="6" spans="1:3" x14ac:dyDescent="0.25">
      <c r="A6" s="1"/>
      <c r="B6" s="1"/>
      <c r="C6" s="1"/>
    </row>
    <row r="7" spans="1:3" x14ac:dyDescent="0.25">
      <c r="A7" s="1"/>
      <c r="B7" s="1"/>
      <c r="C7" s="1"/>
    </row>
    <row r="8" spans="1:3" x14ac:dyDescent="0.25">
      <c r="A8" s="1"/>
      <c r="B8" s="1"/>
      <c r="C8" s="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60960</xdr:colOff>
                <xdr:row>0</xdr:row>
                <xdr:rowOff>76200</xdr:rowOff>
              </from>
              <to>
                <xdr:col>0</xdr:col>
                <xdr:colOff>7200900</xdr:colOff>
                <xdr:row>0</xdr:row>
                <xdr:rowOff>4945380</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68580</xdr:colOff>
                <xdr:row>1</xdr:row>
                <xdr:rowOff>60960</xdr:rowOff>
              </from>
              <to>
                <xdr:col>0</xdr:col>
                <xdr:colOff>7185660</xdr:colOff>
                <xdr:row>1</xdr:row>
                <xdr:rowOff>4351020</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266-1C9E-4CB4-9BDB-66E0A9FBB5C9}">
  <sheetPr codeName="Sheet6"/>
  <dimension ref="A1:CF139"/>
  <sheetViews>
    <sheetView topLeftCell="R89" zoomScale="85" zoomScaleNormal="85" workbookViewId="0">
      <selection activeCell="V138" sqref="V138"/>
    </sheetView>
  </sheetViews>
  <sheetFormatPr defaultRowHeight="13.2" x14ac:dyDescent="0.25"/>
  <cols>
    <col min="1" max="1" width="113.33203125" customWidth="1"/>
    <col min="2" max="2" width="14.5546875" bestFit="1" customWidth="1"/>
    <col min="3" max="3" width="10" bestFit="1" customWidth="1"/>
    <col min="5" max="5" width="8.33203125" bestFit="1" customWidth="1"/>
    <col min="6" max="6" width="14.33203125" bestFit="1" customWidth="1"/>
    <col min="7" max="7" width="13.88671875" customWidth="1"/>
    <col min="8" max="8" width="14.109375" customWidth="1"/>
    <col min="9" max="9" width="20.44140625" bestFit="1" customWidth="1"/>
    <col min="10" max="10" width="22.44140625" bestFit="1" customWidth="1"/>
    <col min="11" max="11" width="19.5546875" customWidth="1"/>
    <col min="12" max="12" width="13" customWidth="1"/>
    <col min="13" max="13" width="19.5546875" customWidth="1"/>
    <col min="14" max="14" width="14.5546875" bestFit="1" customWidth="1"/>
    <col min="15" max="15" width="16.5546875" bestFit="1" customWidth="1"/>
    <col min="16" max="16" width="16.21875" customWidth="1"/>
    <col min="17" max="17" width="18" customWidth="1"/>
    <col min="18" max="18" width="15.33203125" customWidth="1"/>
    <col min="19" max="19" width="15" customWidth="1"/>
    <col min="20" max="20" width="17.109375" bestFit="1" customWidth="1"/>
    <col min="21" max="21" width="17.109375" customWidth="1"/>
    <col min="22" max="22" width="17.77734375" customWidth="1"/>
    <col min="23" max="25" width="16" customWidth="1"/>
    <col min="27" max="27" width="22" customWidth="1"/>
    <col min="28" max="28" width="22.77734375" bestFit="1" customWidth="1"/>
    <col min="29" max="29" width="19.109375" bestFit="1" customWidth="1"/>
    <col min="30" max="30" width="21.109375" bestFit="1" customWidth="1"/>
    <col min="31" max="31" width="19.88671875" customWidth="1"/>
    <col min="32" max="32" width="20.5546875" customWidth="1"/>
    <col min="35" max="35" width="11.44140625" bestFit="1" customWidth="1"/>
    <col min="36" max="36" width="9.5546875" bestFit="1" customWidth="1"/>
    <col min="37" max="37" width="11.33203125" customWidth="1"/>
    <col min="38" max="38" width="9.5546875" bestFit="1" customWidth="1"/>
    <col min="39" max="39" width="11.44140625" bestFit="1" customWidth="1"/>
    <col min="41" max="42" width="13.109375" bestFit="1" customWidth="1"/>
    <col min="44" max="44" width="11.44140625" bestFit="1" customWidth="1"/>
    <col min="49" max="49" width="15.77734375" bestFit="1" customWidth="1"/>
    <col min="50" max="50" width="15.44140625" customWidth="1"/>
    <col min="51" max="51" width="14.88671875" customWidth="1"/>
    <col min="52" max="52" width="15.5546875" bestFit="1" customWidth="1"/>
    <col min="53" max="54" width="17.109375" customWidth="1"/>
    <col min="55" max="55" width="18.77734375" customWidth="1"/>
    <col min="56" max="56" width="23.6640625" customWidth="1"/>
    <col min="57" max="57" width="20.88671875" customWidth="1"/>
    <col min="58" max="58" width="22" customWidth="1"/>
    <col min="59" max="59" width="22.6640625" customWidth="1"/>
    <col min="60" max="60" width="21.77734375" customWidth="1"/>
    <col min="61" max="61" width="19.21875" customWidth="1"/>
    <col min="64" max="64" width="10.77734375" bestFit="1" customWidth="1"/>
    <col min="66" max="66" width="14.88671875" bestFit="1" customWidth="1"/>
    <col min="68" max="68" width="10.44140625" bestFit="1" customWidth="1"/>
    <col min="73" max="73" width="12.21875" customWidth="1"/>
    <col min="83" max="83" width="112.77734375" customWidth="1"/>
  </cols>
  <sheetData>
    <row r="1" spans="1:84" ht="372.6" customHeight="1" x14ac:dyDescent="0.25">
      <c r="A1" s="1"/>
      <c r="B1" s="1"/>
      <c r="CD1" s="1"/>
      <c r="CE1" s="1"/>
      <c r="CF1" s="1"/>
    </row>
    <row r="2" spans="1:84" ht="16.2" customHeight="1" x14ac:dyDescent="0.25">
      <c r="A2" s="1" t="s">
        <v>433</v>
      </c>
      <c r="B2" s="1"/>
      <c r="CD2" s="1"/>
      <c r="CE2" s="1" t="s">
        <v>439</v>
      </c>
      <c r="CF2" s="1"/>
    </row>
    <row r="3" spans="1:84" ht="17.399999999999999" x14ac:dyDescent="0.3">
      <c r="AJ3" s="136" t="str">
        <f>"Phase Margin = "&amp;ROUND(AJ8,0)&amp;" °"</f>
        <v>Phase Margin = 61 °</v>
      </c>
      <c r="AK3" s="46"/>
      <c r="AM3" s="46"/>
      <c r="AO3" s="137" t="str">
        <f>"Gain Margin = "&amp;-1*ROUND(AL8,1)&amp;" dB"</f>
        <v>Gain Margin = 13.5 dB</v>
      </c>
      <c r="BM3" s="136" t="str">
        <f>"Phase Margin = "&amp;ROUND(BM8,0)&amp;" °"</f>
        <v>Phase Margin = 61 °</v>
      </c>
      <c r="BN3" s="46"/>
      <c r="BP3" s="46"/>
      <c r="BR3" s="137" t="str">
        <f>"Gain Margin = "&amp;-1*ROUND(BO8,1)&amp;" dB"</f>
        <v>Gain Margin = 16.3 dB</v>
      </c>
    </row>
    <row r="5" spans="1:84" ht="13.8" thickBot="1" x14ac:dyDescent="0.3"/>
    <row r="6" spans="1:84" ht="27.6" x14ac:dyDescent="0.35">
      <c r="AI6" s="135" t="s">
        <v>438</v>
      </c>
      <c r="AJ6" s="39" t="s">
        <v>430</v>
      </c>
      <c r="AK6" s="39" t="s">
        <v>431</v>
      </c>
      <c r="AL6" s="129" t="s">
        <v>224</v>
      </c>
      <c r="AM6" s="134" t="s">
        <v>434</v>
      </c>
      <c r="AN6" s="131"/>
      <c r="AO6" s="135" t="s">
        <v>435</v>
      </c>
      <c r="AP6" s="134" t="s">
        <v>437</v>
      </c>
      <c r="AQ6" s="131"/>
      <c r="AR6" s="134" t="s">
        <v>436</v>
      </c>
      <c r="AS6" s="131"/>
      <c r="BL6" s="135" t="s">
        <v>438</v>
      </c>
      <c r="BM6" s="39" t="s">
        <v>430</v>
      </c>
      <c r="BN6" s="39" t="s">
        <v>431</v>
      </c>
      <c r="BO6" s="129" t="s">
        <v>224</v>
      </c>
      <c r="BP6" s="134" t="s">
        <v>456</v>
      </c>
      <c r="BQ6" s="131"/>
      <c r="BR6" s="135" t="s">
        <v>435</v>
      </c>
      <c r="BS6" s="134" t="s">
        <v>437</v>
      </c>
      <c r="BT6" s="131"/>
      <c r="BU6" s="134" t="s">
        <v>436</v>
      </c>
      <c r="BV6" s="131"/>
      <c r="BX6" s="155" t="s">
        <v>490</v>
      </c>
    </row>
    <row r="7" spans="1:84" ht="13.8" thickBot="1" x14ac:dyDescent="0.3">
      <c r="D7" s="56"/>
      <c r="E7" s="56"/>
      <c r="F7" s="56"/>
      <c r="G7" s="58"/>
      <c r="H7" s="59"/>
      <c r="I7" s="56"/>
      <c r="AH7" t="s">
        <v>428</v>
      </c>
      <c r="AI7">
        <v>0</v>
      </c>
      <c r="AJ7" s="125">
        <f>AI8</f>
        <v>25891.295953325782</v>
      </c>
      <c r="AK7">
        <v>-180</v>
      </c>
      <c r="AL7" s="47">
        <f>AK8</f>
        <v>80807.738179967491</v>
      </c>
      <c r="AM7" s="132">
        <v>-45</v>
      </c>
      <c r="AN7" s="133">
        <v>-45</v>
      </c>
      <c r="AO7">
        <v>-45</v>
      </c>
      <c r="AP7" s="132">
        <v>-45</v>
      </c>
      <c r="AQ7" s="133">
        <v>-45</v>
      </c>
      <c r="AR7" s="132">
        <v>-45</v>
      </c>
      <c r="AS7" s="133">
        <v>-45</v>
      </c>
      <c r="BK7" t="s">
        <v>428</v>
      </c>
      <c r="BL7">
        <v>0</v>
      </c>
      <c r="BM7" s="125">
        <f>BL8</f>
        <v>29402.030194656581</v>
      </c>
      <c r="BN7">
        <v>-180</v>
      </c>
      <c r="BO7" s="47">
        <f>BN8</f>
        <v>108503.97522266197</v>
      </c>
      <c r="BP7" s="132">
        <v>-45</v>
      </c>
      <c r="BQ7" s="133">
        <v>-45</v>
      </c>
      <c r="BR7">
        <v>-45</v>
      </c>
      <c r="BS7" s="132">
        <v>-45</v>
      </c>
      <c r="BT7" s="133">
        <v>-45</v>
      </c>
      <c r="BU7" s="132">
        <v>-45</v>
      </c>
      <c r="BV7" s="133">
        <v>-45</v>
      </c>
      <c r="BX7">
        <f>f.p_imon</f>
        <v>1495.2637482280802</v>
      </c>
    </row>
    <row r="8" spans="1:84" x14ac:dyDescent="0.25">
      <c r="D8" s="39"/>
      <c r="E8" s="39"/>
      <c r="F8" s="39"/>
      <c r="G8" s="58"/>
      <c r="H8" s="60"/>
      <c r="I8" s="39"/>
      <c r="AH8" t="s">
        <v>429</v>
      </c>
      <c r="AI8" s="126">
        <f>SUM(AI12:AI138)</f>
        <v>25891.295953325782</v>
      </c>
      <c r="AJ8" s="126">
        <f>180+SUM(AJ12:AJ138)</f>
        <v>60.745283597640181</v>
      </c>
      <c r="AK8" s="127">
        <f t="shared" ref="AK8:AQ8" si="0">SUM(AK12:AK138)</f>
        <v>80807.738179967491</v>
      </c>
      <c r="AL8" s="128">
        <f t="shared" si="0"/>
        <v>-13.461920612560803</v>
      </c>
      <c r="AM8" s="126">
        <f t="shared" si="0"/>
        <v>63217.330125159235</v>
      </c>
      <c r="AN8" s="126">
        <f t="shared" si="0"/>
        <v>-9.9560794252596736</v>
      </c>
      <c r="AO8" s="126">
        <f t="shared" si="0"/>
        <v>0</v>
      </c>
      <c r="AP8" s="126">
        <f>f.z_err</f>
        <v>2787.4978317771465</v>
      </c>
      <c r="AQ8" s="126">
        <f t="shared" si="0"/>
        <v>17.512720302165306</v>
      </c>
      <c r="AR8" s="126">
        <f>MAX(AR12:AR138)</f>
        <v>0</v>
      </c>
      <c r="AS8" s="126">
        <f>MIN(AS12:AS138)</f>
        <v>0</v>
      </c>
      <c r="BK8" t="s">
        <v>429</v>
      </c>
      <c r="BL8" s="126">
        <f>SUM(BL12:BL138)</f>
        <v>29402.030194656581</v>
      </c>
      <c r="BM8" s="126">
        <f>180+SUM(BM12:BM138)</f>
        <v>61.338236924243546</v>
      </c>
      <c r="BN8" s="127">
        <f>SUM(BN12:BN138)</f>
        <v>108503.97522266197</v>
      </c>
      <c r="BO8" s="128">
        <f>SUM(BO12:BO138)</f>
        <v>-16.342288357015313</v>
      </c>
      <c r="BP8" s="126">
        <f>SUM(BP12:BP138)</f>
        <v>65841.190028259007</v>
      </c>
      <c r="BQ8" s="126">
        <f>SUM(BQ12:BQ138)</f>
        <v>-9.0679441217128876</v>
      </c>
      <c r="BR8" s="126">
        <f>SUM(BR12:BR138)</f>
        <v>0</v>
      </c>
      <c r="BS8" s="126">
        <f>f.z_err</f>
        <v>2787.4978317771465</v>
      </c>
      <c r="BT8" s="126">
        <f>AQ8</f>
        <v>17.512720302165306</v>
      </c>
      <c r="BU8" s="126">
        <f>MAX(BU12:BU138)</f>
        <v>0</v>
      </c>
      <c r="BV8" s="126">
        <f>SUM(BV12:BV138)</f>
        <v>0</v>
      </c>
      <c r="BX8" s="128">
        <f>SUM(BX12:BX138)</f>
        <v>25.348077532123263</v>
      </c>
    </row>
    <row r="9" spans="1:84" x14ac:dyDescent="0.25">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5">
      <c r="G10" s="58"/>
      <c r="H10" s="58"/>
      <c r="AA10" s="140" t="s">
        <v>447</v>
      </c>
      <c r="AB10" s="46"/>
      <c r="AC10" s="46"/>
      <c r="AD10" s="46"/>
      <c r="AE10" s="46"/>
      <c r="AF10" s="46"/>
      <c r="BD10" s="140" t="s">
        <v>450</v>
      </c>
      <c r="BE10" s="46"/>
      <c r="BF10" s="46"/>
      <c r="BG10" s="46"/>
      <c r="BH10" s="46"/>
      <c r="BI10" s="46"/>
    </row>
    <row r="11" spans="1:84" x14ac:dyDescent="0.25">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8" t="s">
        <v>543</v>
      </c>
      <c r="V11" s="97" t="s">
        <v>412</v>
      </c>
      <c r="W11" s="98" t="s">
        <v>413</v>
      </c>
      <c r="X11" s="156" t="s">
        <v>492</v>
      </c>
      <c r="Y11" s="156"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2" t="s">
        <v>454</v>
      </c>
      <c r="BC11" s="98" t="s">
        <v>455</v>
      </c>
      <c r="BD11" s="121" t="s">
        <v>422</v>
      </c>
      <c r="BE11" s="122" t="s">
        <v>423</v>
      </c>
      <c r="BF11" s="121" t="s">
        <v>451</v>
      </c>
      <c r="BG11" s="122" t="s">
        <v>452</v>
      </c>
      <c r="BH11" s="124" t="s">
        <v>426</v>
      </c>
      <c r="BI11" s="122" t="s">
        <v>427</v>
      </c>
    </row>
    <row r="12" spans="1:84" x14ac:dyDescent="0.25">
      <c r="C12" t="s">
        <v>391</v>
      </c>
      <c r="D12" s="57">
        <f>V.slope_typ*f.sw</f>
        <v>211500</v>
      </c>
      <c r="E12">
        <v>1</v>
      </c>
      <c r="F12">
        <v>1</v>
      </c>
      <c r="G12" s="58">
        <f t="shared" ref="G12:G43" si="1">20*LOG(IMABS(IMDIV(1,IMSUM(0,IMSUM(COMPLEX(0,2*PI*F12/Wsh),COMPLEX(1-(F12/fsw_sh)^2,0))))))</f>
        <v>-7.1540561764134892E-10</v>
      </c>
      <c r="H12" s="58">
        <f t="shared" ref="H12:H43" si="2">180/PI*IMARGUMENT(IMDIV(1,IMSUM(0,IMSUM(COMPLEX(0,2*PI*F12/Wsh),COMPLEX(1-(F12/fsw_sh)^2,0)))))</f>
        <v>-8.1219414889647373E-4</v>
      </c>
      <c r="I12">
        <f>20*LOG(IMABS(IMPRODUCT(A_COMP2VOUT,IMDIV(COMPLEX(1, 2*PI*F12/Wesr_zero),COMPLEX(1, 2*PI*F12/Wload_pole)))))</f>
        <v>17.900251898638878</v>
      </c>
      <c r="J12">
        <f t="shared" ref="J12:J43" si="3">180/PI*(IMARGUMENT(IMPRODUCT(A_COMP2VOUT,IMDIV(COMPLEX(1, 2*PI*F12/Wesr_zero),COMPLEX(1, 2*PI*F12/Wload_pole)))))</f>
        <v>-1.1070538463900496E-2</v>
      </c>
      <c r="K12" t="str">
        <f t="shared" ref="K12:K43" si="4">IMDIV(IMPRODUCT(COMPLEX(R.fbb,0),IMDIV(COMPLEX(1,0),COMPLEX(0,2*PI*F12*C.fbb))),IMSUM(COMPLEX(R.fbb,0),IMDIV(COMPLEX(1,0),COMPLEX(0,2*PI*F12*C.fbb))) )</f>
        <v>37499.9999991673-0.176714549996076i</v>
      </c>
      <c r="L12" t="str">
        <f t="shared" ref="L12:L43" si="5">IMSUM(COMPLEX(R.ff,0),IMDIV(COMPLEX(1,0),COMPLEX(0,2*PI*F12*C.ff)))</f>
        <v>1000000000-318309952406.296i</v>
      </c>
      <c r="M12" t="str">
        <f t="shared" ref="M12:M43" si="6">IMDIV(IMPRODUCT(COMPLEX(R.fbt,0),L12),IMSUM(COMPLEX(R.fbt,0),L12))</f>
        <v>149999.999777903-0.0706851221567917i</v>
      </c>
      <c r="N12">
        <f>20*LOG(IMABS(IMDIV(K12,IMSUM(K12,M12))))</f>
        <v>-13.979400076497209</v>
      </c>
      <c r="O12">
        <f t="shared" ref="O12:O43" si="7">180/PI*IMARGUMENT((IMDIV(K12,IMSUM(K12,M12))))</f>
        <v>-1.9440021315458023E-4</v>
      </c>
      <c r="P12" t="str">
        <f t="shared" ref="P12:P43" si="8">IMDIV(COMPLEX(1,0),COMPLEX(0,2*PI*F12*C.hf))</f>
        <v>-28213964.9358532i</v>
      </c>
      <c r="Q12" t="str">
        <f t="shared" ref="Q12:Q43" si="9">IMSUM(R.comp,0,IMDIV(COMPLEX(1,0),COMPLEX(0,2*PI*F12*C.comp)))</f>
        <v>9360-26090979.7054341i</v>
      </c>
      <c r="R12" t="str">
        <f>IMDIV(IMPRODUCT(P12,Q12),IMSUM(P12,Q12))</f>
        <v>2526.53506324802-13555487.7196187i</v>
      </c>
      <c r="S12" t="str">
        <f t="shared" ref="S12:S43" si="10">IMDIV(IMPRODUCT(COMPLEX(R.eaout,0),IMDIV(1,COMPLEX(0,2*PI*F12*C.eaout))),IMSUM(COMPLEX(R.eaout,0),IMDIV(1,COMPLEX(0,2*PI*F12*C.eaout))))</f>
        <v>99999842.0866447-125663.481560266i</v>
      </c>
      <c r="T12" t="str">
        <f>IMDIV(IMPRODUCT(R12,S12),IMSUM(R12,S12))</f>
        <v>1806144.29705458-13308052.9390028i</v>
      </c>
      <c r="U12" t="str">
        <f>IMDIV(COMPLEX(1,0),IMSUM(COMPLEX(1,0),COMPLEX(0,F12/200000)))</f>
        <v>0.999999999975-0.000004999999999875i</v>
      </c>
      <c r="V12">
        <f t="shared" ref="V12:V43" si="11">20*LOG(IMABS(IMPRODUCT(IMPRODUCT(COMPLEX(GM,0),T12),U12)))</f>
        <v>82.561557099454433</v>
      </c>
      <c r="W12">
        <f t="shared" ref="W12:W43" si="12">180/PI*IMARGUMENT((IMPRODUCT(IMPRODUCT(COMPLEX(GM,0),T12),U12)))</f>
        <v>-82.271449314162993</v>
      </c>
      <c r="X12">
        <f>20*LOG(IMABS(U12))</f>
        <v>-1.0857362945991318E-10</v>
      </c>
      <c r="Y12">
        <f t="shared" ref="Y12:Y43" si="13">180/PI*IMARGUMENT((U12))</f>
        <v>-2.8647895716327903E-4</v>
      </c>
      <c r="AA12" s="123">
        <f>G12+I12</f>
        <v>17.900251897923471</v>
      </c>
      <c r="AB12" s="123">
        <f>H12+J12</f>
        <v>-1.1882732612796969E-2</v>
      </c>
      <c r="AC12">
        <f>N12+V12</f>
        <v>68.582157022957219</v>
      </c>
      <c r="AD12">
        <f>O12+W12</f>
        <v>-82.271643714376154</v>
      </c>
      <c r="AE12" s="123">
        <f>AA12+AC12</f>
        <v>86.482408920880687</v>
      </c>
      <c r="AF12" s="123">
        <f>AB12+AD12</f>
        <v>-82.283526446988944</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4">COMPLEX(R.imon,0)</f>
        <v>17140</v>
      </c>
      <c r="AX12" t="str">
        <f t="shared" ref="AX12:AX43" si="15">IMSUM(R.imonhf,0,IMDIV(COMPLEX(1,0),COMPLEX(0,2*PI*F12*C.imon)))</f>
        <v>8506-25628820.6446293i</v>
      </c>
      <c r="AY12" t="str">
        <f>IMDIV(IMPRODUCT(AW12,AX12),IMSUM(AW12,AX12))</f>
        <v>17139.9885294671-11.4628491845284i</v>
      </c>
      <c r="AZ12">
        <f t="shared" ref="AZ12:AZ43" si="16">20*LOG(IMABS(IMDIV(IMPRODUCT(IMPRODUCT(COMPLEX(-1,0),COMPLEX(GM.imon,0)),AY12),COMPLEX(A.s_typ,0))))</f>
        <v>10.700812394641613</v>
      </c>
      <c r="BA12">
        <f t="shared" ref="BA12:BA43" si="17">180/PI*(IMARGUMENT(IMDIV(IMPRODUCT(IMPRODUCT(COMPLEX(1,0),COMPLEX(GM.imon,0)),AY12),COMPLEX(A.s_typ,0))))</f>
        <v>-3.8318165561201545E-2</v>
      </c>
      <c r="BB12">
        <f t="shared" ref="BB12:BB43" si="18">20*LOG(IMABS(IMPRODUCT(A_COMP2CS,IMPRODUCT(IMDIV(COMPLEX(1, 2*PI*F12/Wesr_zero),COMPLEX(1, 2*PI*F12/Wload_pole)),IMDIV(COMPLEX(1, 2*PI*F12/WloadZ),COMPLEX(1, 2*PI*F12/Wesr_zero))))))</f>
        <v>-2.0997466383365953</v>
      </c>
      <c r="BC12">
        <f t="shared" ref="BC12:BC43" si="19">180/PI*(IMARGUMENT(IMPRODUCT(A_COMP2CS,IMPRODUCT(IMDIV(COMPLEX(1, 2*PI*F12/Wesr_zero),COMPLEX(1, 2*PI*F12/Wload_pole)),IMDIV(COMPLEX(1, 2*PI*F12/WloadZ),COMPLEX(1, 2*PI*F12/Wesr_zero))))))</f>
        <v>8.2254565269920827E-3</v>
      </c>
      <c r="BD12" s="123">
        <f>G12+BB12</f>
        <v>-2.0997466390520008</v>
      </c>
      <c r="BE12" s="123">
        <f>H12+BC12</f>
        <v>7.413262378095609E-3</v>
      </c>
      <c r="BF12">
        <f>AZ12+V12</f>
        <v>93.262369494096049</v>
      </c>
      <c r="BG12">
        <f>BA12+W12</f>
        <v>-82.309767479724201</v>
      </c>
      <c r="BH12" s="123">
        <f>BD12+BF12</f>
        <v>91.162622855044049</v>
      </c>
      <c r="BI12" s="123">
        <f>BE12+BG12</f>
        <v>-82.302354217346107</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c r="BU12" s="123">
        <f>IF(AND(AD13&lt;$BU$7,AD12&gt;=$BU$7),(($BU$7-AD12)/(AD13-AD12)*(F13-F12)+F12),0)</f>
        <v>0</v>
      </c>
      <c r="BV12" s="123">
        <f>IF(BU12=0,0,BH12)</f>
        <v>0</v>
      </c>
      <c r="BX12" s="123">
        <f>IF(AND(F13&gt;$BX$7,F12&lt;=$BX$7),(($BX$7-F12)/(F13-F12)*(BH13-BH12)+BH12),0)</f>
        <v>0</v>
      </c>
      <c r="BY12" s="123"/>
    </row>
    <row r="13" spans="1:84" x14ac:dyDescent="0.25">
      <c r="C13" t="s">
        <v>392</v>
      </c>
      <c r="D13" s="57">
        <f>(V.supply_typ-V.load)/L.out*R.s*A.s_typ</f>
        <v>242424.24242424249</v>
      </c>
      <c r="E13">
        <v>2</v>
      </c>
      <c r="F13">
        <v>1.5</v>
      </c>
      <c r="G13" s="58">
        <f t="shared" si="1"/>
        <v>-1.6096640862670967E-9</v>
      </c>
      <c r="H13" s="58">
        <f t="shared" si="2"/>
        <v>-1.2182912232702808E-3</v>
      </c>
      <c r="I13">
        <f t="shared" ref="I13:I43" si="20">20*LOG(IMABS(IMPRODUCT(A_COMP2VOUT,IMDIV(COMPLEX(1, 2*PI*F13/Wesr_zero),COMPLEX(1, 2*PI*F13/Wload_pole)))))</f>
        <v>17.900251000011057</v>
      </c>
      <c r="J13">
        <f t="shared" si="3"/>
        <v>-1.6605803822464089E-2</v>
      </c>
      <c r="K13" t="str">
        <f t="shared" si="4"/>
        <v>37499.9999981263-0.265071824986755i</v>
      </c>
      <c r="L13" t="str">
        <f t="shared" si="5"/>
        <v>1000000000-212206634937.531i</v>
      </c>
      <c r="M13" t="str">
        <f t="shared" si="6"/>
        <v>149999.999500288-0.106026374809267i</v>
      </c>
      <c r="N13">
        <f t="shared" ref="N13:N76" si="21">20*LOG(IMABS(IMDIV(K13,IMSUM(K13,M13))))</f>
        <v>-13.979400063718526</v>
      </c>
      <c r="O13">
        <f t="shared" si="7"/>
        <v>-2.9160071938751455E-4</v>
      </c>
      <c r="P13" t="str">
        <f t="shared" si="8"/>
        <v>-18809309.9572355i</v>
      </c>
      <c r="Q13" t="str">
        <f t="shared" si="9"/>
        <v>9360-17393986.4702894i</v>
      </c>
      <c r="R13" t="str">
        <f t="shared" ref="R13:R76" si="22">IMDIV(IMPRODUCT(P13,Q13),IMSUM(P13,Q13))</f>
        <v>2526.53496942524-9036992.17597376i</v>
      </c>
      <c r="S13" t="str">
        <f t="shared" si="10"/>
        <v>99999644.6956518-188494.850267221i</v>
      </c>
      <c r="T13" t="str">
        <f t="shared" ref="T13:T76" si="23">IMDIV(IMPRODUCT(R13,S13),IMSUM(R13,S13))</f>
        <v>812247.683687358-8961836.44271935i</v>
      </c>
      <c r="U13" t="str">
        <f t="shared" ref="U13:U76" si="24">IMDIV(COMPLEX(1,0),IMSUM(COMPLEX(1,0),COMPLEX(0,F13/200000)))</f>
        <v>0.99999999994375-7.49999999957813E-06i</v>
      </c>
      <c r="V13">
        <f t="shared" si="11"/>
        <v>79.083469809516032</v>
      </c>
      <c r="W13">
        <f t="shared" si="12"/>
        <v>-84.821647397865306</v>
      </c>
      <c r="X13">
        <f t="shared" ref="X13:X76" si="25">20*LOG(IMABS(U13))</f>
        <v>-2.4429018412297988E-10</v>
      </c>
      <c r="Y13">
        <f t="shared" si="13"/>
        <v>-4.2971843574044253E-4</v>
      </c>
      <c r="AA13" s="123">
        <f t="shared" ref="AA13:AA76" si="26">G13+I13</f>
        <v>17.900250998401393</v>
      </c>
      <c r="AB13" s="123">
        <f t="shared" ref="AB13:AB76" si="27">H13+J13</f>
        <v>-1.7824095045734369E-2</v>
      </c>
      <c r="AC13">
        <f t="shared" ref="AC13:AC76" si="28">N13+V13</f>
        <v>65.104069745797503</v>
      </c>
      <c r="AD13">
        <f t="shared" ref="AD13:AD76" si="29">O13+W13</f>
        <v>-84.821938998584699</v>
      </c>
      <c r="AE13" s="123">
        <f t="shared" ref="AE13:AE76" si="30">AA13+AC13</f>
        <v>83.004320744198893</v>
      </c>
      <c r="AF13" s="123">
        <f t="shared" ref="AF13:AF76" si="31">AB13+AD13</f>
        <v>-84.839763093630438</v>
      </c>
      <c r="AI13" s="123">
        <f t="shared" ref="AI13:AI76" si="32">IF(AND(AE14&lt;$AI$7,AE13&gt;=$AI$7),(($AI$7-AE13)/(AE14-AE13)*(F14-F13)+F13),0)</f>
        <v>0</v>
      </c>
      <c r="AJ13" s="123">
        <f t="shared" ref="AJ13:AJ76" si="33">IF(AND(F14&gt;$AJ$7,F13&lt;=$AJ$7),(($AJ$7-F13)/(F14-F13)*(AF14-AF13)+AF13),0)</f>
        <v>0</v>
      </c>
      <c r="AK13" s="123">
        <f t="shared" ref="AK13:AK76" si="34">IF(AND(AF14&lt;$AK$7,AF13&gt;=$AK$7),(($AK$7-AF13)/(AF14-AF13)*(F14-F13)+F13),0)</f>
        <v>0</v>
      </c>
      <c r="AL13" s="123">
        <f t="shared" ref="AL13:AL76" si="35">IF(AND(F14&gt;$AL$7,F13&lt;=$AL$7),(($AL$7-F13)/(F14-F13)*(AE14-AE13)+AE13),0)</f>
        <v>0</v>
      </c>
      <c r="AM13" s="123">
        <f t="shared" ref="AM13:AM76" si="36">IF(AND(AB14&lt;$AM$7,AB13&gt;=$AM$7),(($AM$7-AB13)/(AB14-AB13)*(F14-F13)+F13),0)</f>
        <v>0</v>
      </c>
      <c r="AN13" s="123">
        <f t="shared" ref="AN13:AN76" si="37">IF(AND(AB14&lt;$AN$7,AB13&gt;=$AN$7),(($AN$7-AB13)/(AB14-AB13)*(AE14-AE13)+AE13),0)</f>
        <v>0</v>
      </c>
      <c r="AO13" s="123">
        <f t="shared" ref="AO13:AO76" si="38">IF(AND(J14&gt;$AO$7,J13&lt;=$AO$7),(($AO$7-J13)/(J14-J13)*(F14-F13)+F13),0)</f>
        <v>0</v>
      </c>
      <c r="AP13" s="123"/>
      <c r="AQ13" s="123">
        <f t="shared" ref="AQ13:AQ76" si="39">IF(AND(F13&lt;$AP$8,F14&gt;=$AP$8),($AP$8-F13)/(F14-F13)*(AE14-AE13)+AE13,0)</f>
        <v>0</v>
      </c>
      <c r="AR13" s="123">
        <f t="shared" ref="AR13:AR76" si="40">IF(AND(AD14&lt;$AR$7,AD13&gt;=$AR$7),(($AR$7-AD13)/(AD14-AD13)*(F14-F13)+F13),0)</f>
        <v>0</v>
      </c>
      <c r="AS13" s="123">
        <f t="shared" ref="AS13:AS76" si="41">IF(AND(AD14&lt;$AS$7,AD13&gt;=$AS$7),(($AS$7-AD13)/(AD14-AD13)*(AE14-AE13)+AE13),0)</f>
        <v>0</v>
      </c>
      <c r="AW13" t="str">
        <f t="shared" si="14"/>
        <v>17140</v>
      </c>
      <c r="AX13" t="str">
        <f t="shared" si="15"/>
        <v>8506-17085880.4297529i</v>
      </c>
      <c r="AY13" t="str">
        <f t="shared" ref="AY13:AY76" si="42">IMDIV(IMPRODUCT(AW13,AX13),IMSUM(AW13,AX13))</f>
        <v>17139.9741913333-17.1942522551753i</v>
      </c>
      <c r="AZ13">
        <f t="shared" si="16"/>
        <v>10.700807556670675</v>
      </c>
      <c r="BA13">
        <f t="shared" si="17"/>
        <v>-5.7477213769103398E-2</v>
      </c>
      <c r="BB13">
        <f t="shared" si="18"/>
        <v>-2.0997457081849493</v>
      </c>
      <c r="BC13">
        <f t="shared" si="19"/>
        <v>1.2338179271804729E-2</v>
      </c>
      <c r="BD13" s="123">
        <f t="shared" ref="BD13:BD76" si="43">G13+BB13</f>
        <v>-2.0997457097946133</v>
      </c>
      <c r="BE13" s="123">
        <f t="shared" ref="BE13:BE76" si="44">H13+BC13</f>
        <v>1.1119888048534449E-2</v>
      </c>
      <c r="BF13">
        <f t="shared" ref="BF13:BF76" si="45">AZ13+V13</f>
        <v>89.7842773661867</v>
      </c>
      <c r="BG13">
        <f t="shared" ref="BG13:BG76" si="46">BA13+W13</f>
        <v>-84.87912461163441</v>
      </c>
      <c r="BH13" s="123">
        <f t="shared" ref="BH13:BH76" si="47">BD13+BF13</f>
        <v>87.684531656392082</v>
      </c>
      <c r="BI13" s="123">
        <f t="shared" ref="BI13:BI76" si="48">BE13+BG13</f>
        <v>-84.868004723585869</v>
      </c>
      <c r="BL13" s="123">
        <f t="shared" ref="BL13:BL76" si="49">IF(AND(BH14&lt;$BL$7,BH13&gt;=$BL$7),(($BL$7-BH13)/(BH14-BH13)*(F14-F13)+F13),0)</f>
        <v>0</v>
      </c>
      <c r="BM13" s="123">
        <f t="shared" ref="BM13:BM76" si="50">IF(AND(F14&gt;$BM$7,F13&lt;=$BM$7),(($BM$7-F13)/(F14-F13)*(BI14-BI13)+BI13),0)</f>
        <v>0</v>
      </c>
      <c r="BN13" s="123">
        <f t="shared" ref="BN13:BN76" si="51">IF(AND(BI14&lt;$BN$7,BI13&gt;=$BN$7),(($BN$7-BI13)/(BI14-BI13)*(F14-F13)+F13),0)</f>
        <v>0</v>
      </c>
      <c r="BO13" s="123">
        <f t="shared" ref="BO13:BO76" si="52">IF(AND(F14&gt;$BO$7,F13&lt;=$BO$7),(($BO$7-F13)/(F14-F13)*(BH14-BH13)+BH13),0)</f>
        <v>0</v>
      </c>
      <c r="BP13" s="123">
        <f t="shared" ref="BP13:BP76" si="53">IF(AND(BE14&lt;$BP$7,BE13&gt;=$BP$7),(($BP$7-BE13)/(BE14-BE13)*(F14-F13)+F13),0)</f>
        <v>0</v>
      </c>
      <c r="BQ13" s="123">
        <f t="shared" ref="BQ13:BQ76" si="54">IF(AND(BE14&lt;$BQ$7,BE13&gt;=$BQ$7),(($BQ$7-BE13)/(BE14-BE13)*(BH14-BH13)+BH13),0)</f>
        <v>0</v>
      </c>
      <c r="BR13" s="123">
        <f t="shared" ref="BR13:BR76" si="55">IF(AND(AO14&gt;$BR$7,AO13&lt;=$BR$7),(($BR$7-AO13)/(AO14-AO13)*(F14-F13)+F13),0)</f>
        <v>0</v>
      </c>
      <c r="BS13" s="123"/>
      <c r="BT13" s="123"/>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5">
      <c r="C14" t="s">
        <v>393</v>
      </c>
      <c r="D14" s="57">
        <f>(V.load)/L.out*R.s*A.s_typ</f>
        <v>48484.848484848488</v>
      </c>
      <c r="E14">
        <v>3</v>
      </c>
      <c r="F14">
        <v>2</v>
      </c>
      <c r="G14" s="58">
        <f t="shared" si="1"/>
        <v>-2.8616253639013388E-9</v>
      </c>
      <c r="H14" s="58">
        <f t="shared" si="2"/>
        <v>-1.624388297554784E-3</v>
      </c>
      <c r="I14">
        <f t="shared" si="20"/>
        <v>17.900249741932846</v>
      </c>
      <c r="J14">
        <f t="shared" si="3"/>
        <v>-2.2141064532967568E-2</v>
      </c>
      <c r="K14" t="str">
        <f t="shared" si="4"/>
        <v>37499.9999966689-0.353429099968605i</v>
      </c>
      <c r="L14" t="str">
        <f t="shared" si="5"/>
        <v>1000000000-159154976203.148i</v>
      </c>
      <c r="M14" t="str">
        <f t="shared" si="6"/>
        <v>149999.999111638-0.141366057419675i</v>
      </c>
      <c r="N14">
        <f t="shared" si="21"/>
        <v>-13.979400045828953</v>
      </c>
      <c r="O14">
        <f t="shared" si="7"/>
        <v>-3.8880170518614356E-4</v>
      </c>
      <c r="P14" t="str">
        <f t="shared" si="8"/>
        <v>-14106982.4679266i</v>
      </c>
      <c r="Q14" t="str">
        <f t="shared" si="9"/>
        <v>9360-13045489.852717i</v>
      </c>
      <c r="R14" t="str">
        <f t="shared" si="22"/>
        <v>2526.53483807339-6777744.51301961i</v>
      </c>
      <c r="S14" t="str">
        <f t="shared" si="10"/>
        <v>99999368.349571-251325.772489652i</v>
      </c>
      <c r="T14" t="str">
        <f t="shared" si="23"/>
        <v>459613.618317622-6745273.67178805i</v>
      </c>
      <c r="U14" t="str">
        <f t="shared" si="24"/>
        <v>0.9999999999-0.000009999999999i</v>
      </c>
      <c r="V14">
        <f t="shared" si="11"/>
        <v>76.600108562660353</v>
      </c>
      <c r="W14">
        <f t="shared" si="12"/>
        <v>-86.102560935730054</v>
      </c>
      <c r="X14">
        <f t="shared" si="25"/>
        <v>-4.3429451784779571E-10</v>
      </c>
      <c r="Y14">
        <f t="shared" si="13"/>
        <v>-5.7295791431223413E-4</v>
      </c>
      <c r="AA14" s="123">
        <f t="shared" si="26"/>
        <v>17.900249739071221</v>
      </c>
      <c r="AB14" s="123">
        <f t="shared" si="27"/>
        <v>-2.3765452830522352E-2</v>
      </c>
      <c r="AC14">
        <f t="shared" si="28"/>
        <v>62.620708516831399</v>
      </c>
      <c r="AD14">
        <f t="shared" si="29"/>
        <v>-86.102949737435239</v>
      </c>
      <c r="AE14" s="123">
        <f t="shared" si="30"/>
        <v>80.520958255902627</v>
      </c>
      <c r="AF14" s="123">
        <f t="shared" si="31"/>
        <v>-86.126715190265756</v>
      </c>
      <c r="AI14" s="123">
        <f t="shared" si="32"/>
        <v>0</v>
      </c>
      <c r="AJ14" s="123">
        <f t="shared" si="33"/>
        <v>0</v>
      </c>
      <c r="AK14" s="123">
        <f t="shared" si="34"/>
        <v>0</v>
      </c>
      <c r="AL14" s="123">
        <f t="shared" si="35"/>
        <v>0</v>
      </c>
      <c r="AM14" s="123">
        <f t="shared" si="36"/>
        <v>0</v>
      </c>
      <c r="AN14" s="123">
        <f t="shared" si="37"/>
        <v>0</v>
      </c>
      <c r="AO14" s="123">
        <f t="shared" si="38"/>
        <v>0</v>
      </c>
      <c r="AP14" s="123"/>
      <c r="AQ14" s="123">
        <f t="shared" si="39"/>
        <v>0</v>
      </c>
      <c r="AR14" s="123">
        <f t="shared" si="40"/>
        <v>0</v>
      </c>
      <c r="AS14" s="123">
        <f t="shared" si="41"/>
        <v>0</v>
      </c>
      <c r="AW14" t="str">
        <f t="shared" si="14"/>
        <v>17140</v>
      </c>
      <c r="AX14" t="str">
        <f t="shared" si="15"/>
        <v>8506-12814410.3223147i</v>
      </c>
      <c r="AY14" t="str">
        <f t="shared" si="42"/>
        <v>17139.9541180063-22.9256295000021i</v>
      </c>
      <c r="AZ14">
        <f t="shared" si="16"/>
        <v>10.700800783522663</v>
      </c>
      <c r="BA14">
        <f t="shared" si="17"/>
        <v>-7.6636220489886636E-2</v>
      </c>
      <c r="BB14">
        <f t="shared" si="18"/>
        <v>-2.0997444059740507</v>
      </c>
      <c r="BC14">
        <f t="shared" si="19"/>
        <v>1.6450895394208898E-2</v>
      </c>
      <c r="BD14" s="123">
        <f t="shared" si="43"/>
        <v>-2.0997444088356758</v>
      </c>
      <c r="BE14" s="123">
        <f t="shared" si="44"/>
        <v>1.4826507096654114E-2</v>
      </c>
      <c r="BF14">
        <f t="shared" si="45"/>
        <v>87.300909346183019</v>
      </c>
      <c r="BG14">
        <f t="shared" si="46"/>
        <v>-86.179197156219942</v>
      </c>
      <c r="BH14" s="123">
        <f t="shared" si="47"/>
        <v>85.201164937347343</v>
      </c>
      <c r="BI14" s="123">
        <f t="shared" si="48"/>
        <v>-86.164370649123285</v>
      </c>
      <c r="BL14" s="123">
        <f t="shared" si="49"/>
        <v>0</v>
      </c>
      <c r="BM14" s="123">
        <f t="shared" si="50"/>
        <v>0</v>
      </c>
      <c r="BN14" s="123">
        <f t="shared" si="51"/>
        <v>0</v>
      </c>
      <c r="BO14" s="123">
        <f t="shared" si="52"/>
        <v>0</v>
      </c>
      <c r="BP14" s="123">
        <f t="shared" si="53"/>
        <v>0</v>
      </c>
      <c r="BQ14" s="123">
        <f t="shared" si="54"/>
        <v>0</v>
      </c>
      <c r="BR14" s="123">
        <f t="shared" si="55"/>
        <v>0</v>
      </c>
      <c r="BS14" s="123"/>
      <c r="BT14" s="123"/>
      <c r="BU14" s="123">
        <f t="shared" si="56"/>
        <v>0</v>
      </c>
      <c r="BV14" s="123">
        <f t="shared" si="57"/>
        <v>0</v>
      </c>
      <c r="BX14" s="123">
        <f t="shared" si="58"/>
        <v>0</v>
      </c>
      <c r="BY14" s="123"/>
    </row>
    <row r="15" spans="1:84" x14ac:dyDescent="0.25">
      <c r="C15" t="s">
        <v>394</v>
      </c>
      <c r="D15" s="99">
        <f>1+S.slope/S.rise</f>
        <v>1.8724374999999998</v>
      </c>
      <c r="E15">
        <v>4</v>
      </c>
      <c r="F15">
        <v>2.5</v>
      </c>
      <c r="G15" s="58">
        <f t="shared" si="1"/>
        <v>-4.4712894506987505E-9</v>
      </c>
      <c r="H15" s="58">
        <f t="shared" si="2"/>
        <v>-2.0304853717201979E-3</v>
      </c>
      <c r="I15">
        <f t="shared" si="20"/>
        <v>17.900248124404957</v>
      </c>
      <c r="J15">
        <f t="shared" si="3"/>
        <v>-2.7676319046065264E-2</v>
      </c>
      <c r="K15" t="str">
        <f t="shared" si="4"/>
        <v>37499.9999947953-0.441786374938684i</v>
      </c>
      <c r="L15" t="str">
        <f t="shared" si="5"/>
        <v>1000000000-127323980962.518i</v>
      </c>
      <c r="M15" t="str">
        <f t="shared" si="6"/>
        <v>149999.998611965-0.17670364676499i</v>
      </c>
      <c r="N15">
        <f t="shared" si="21"/>
        <v>-13.979400022828925</v>
      </c>
      <c r="O15">
        <f t="shared" si="7"/>
        <v>-4.8600333036772205E-4</v>
      </c>
      <c r="P15" t="str">
        <f t="shared" si="8"/>
        <v>-11285585.9743413i</v>
      </c>
      <c r="Q15" t="str">
        <f t="shared" si="9"/>
        <v>9360-10436391.8821736i</v>
      </c>
      <c r="R15" t="str">
        <f t="shared" si="22"/>
        <v>2526.53466919245-5422196.00234181i</v>
      </c>
      <c r="S15" t="str">
        <f t="shared" si="10"/>
        <v>99999013.0497114-314156.099404869i</v>
      </c>
      <c r="T15" t="str">
        <f t="shared" si="23"/>
        <v>295544.156634122-5405113.75549765i</v>
      </c>
      <c r="U15" t="str">
        <f t="shared" si="24"/>
        <v>0.99999999984375-0.0000124999999980469i</v>
      </c>
      <c r="V15">
        <f t="shared" si="11"/>
        <v>74.669061723397931</v>
      </c>
      <c r="W15">
        <f t="shared" si="12"/>
        <v>-86.87099672481915</v>
      </c>
      <c r="X15">
        <f t="shared" si="25"/>
        <v>-6.7858470198299015E-10</v>
      </c>
      <c r="Y15">
        <f t="shared" si="13"/>
        <v>-7.1619739287686528E-4</v>
      </c>
      <c r="AA15" s="123">
        <f t="shared" si="26"/>
        <v>17.900248119933668</v>
      </c>
      <c r="AB15" s="123">
        <f t="shared" si="27"/>
        <v>-2.9706804417785462E-2</v>
      </c>
      <c r="AC15">
        <f t="shared" si="28"/>
        <v>60.689661700569005</v>
      </c>
      <c r="AD15">
        <f t="shared" si="29"/>
        <v>-86.871482728149516</v>
      </c>
      <c r="AE15" s="123">
        <f t="shared" si="30"/>
        <v>78.589909820502669</v>
      </c>
      <c r="AF15" s="123">
        <f t="shared" si="31"/>
        <v>-86.901189532567301</v>
      </c>
      <c r="AI15" s="123">
        <f t="shared" si="32"/>
        <v>0</v>
      </c>
      <c r="AJ15" s="123">
        <f t="shared" si="33"/>
        <v>0</v>
      </c>
      <c r="AK15" s="123">
        <f t="shared" si="34"/>
        <v>0</v>
      </c>
      <c r="AL15" s="123">
        <f t="shared" si="35"/>
        <v>0</v>
      </c>
      <c r="AM15" s="123">
        <f t="shared" si="36"/>
        <v>0</v>
      </c>
      <c r="AN15" s="123">
        <f t="shared" si="37"/>
        <v>0</v>
      </c>
      <c r="AO15" s="123">
        <f t="shared" si="38"/>
        <v>0</v>
      </c>
      <c r="AP15" s="123"/>
      <c r="AQ15" s="123">
        <f t="shared" si="39"/>
        <v>0</v>
      </c>
      <c r="AR15" s="123">
        <f t="shared" si="40"/>
        <v>0</v>
      </c>
      <c r="AS15" s="123">
        <f t="shared" si="41"/>
        <v>0</v>
      </c>
      <c r="AW15" t="str">
        <f t="shared" si="14"/>
        <v>17140</v>
      </c>
      <c r="AX15" t="str">
        <f t="shared" si="15"/>
        <v>8506-10251528.2578517i</v>
      </c>
      <c r="AY15" t="str">
        <f t="shared" si="42"/>
        <v>17139.9283095463-28.6569723106034i</v>
      </c>
      <c r="AZ15">
        <f t="shared" si="16"/>
        <v>10.700792075208822</v>
      </c>
      <c r="BA15">
        <f t="shared" si="17"/>
        <v>-9.5795171894713177E-2</v>
      </c>
      <c r="BB15">
        <f t="shared" si="18"/>
        <v>-2.0997427317052413</v>
      </c>
      <c r="BC15">
        <f t="shared" si="19"/>
        <v>2.0563602686753231E-2</v>
      </c>
      <c r="BD15" s="123">
        <f t="shared" si="43"/>
        <v>-2.0997427361765308</v>
      </c>
      <c r="BE15" s="123">
        <f t="shared" si="44"/>
        <v>1.8533117315033033E-2</v>
      </c>
      <c r="BF15">
        <f t="shared" si="45"/>
        <v>85.369853798606755</v>
      </c>
      <c r="BG15">
        <f t="shared" si="46"/>
        <v>-86.966791896713858</v>
      </c>
      <c r="BH15" s="123">
        <f t="shared" si="47"/>
        <v>83.270111062430217</v>
      </c>
      <c r="BI15" s="123">
        <f t="shared" si="48"/>
        <v>-86.948258779398827</v>
      </c>
      <c r="BL15" s="123">
        <f t="shared" si="49"/>
        <v>0</v>
      </c>
      <c r="BM15" s="123">
        <f t="shared" si="50"/>
        <v>0</v>
      </c>
      <c r="BN15" s="123">
        <f t="shared" si="51"/>
        <v>0</v>
      </c>
      <c r="BO15" s="123">
        <f t="shared" si="52"/>
        <v>0</v>
      </c>
      <c r="BP15" s="123">
        <f t="shared" si="53"/>
        <v>0</v>
      </c>
      <c r="BQ15" s="123">
        <f t="shared" si="54"/>
        <v>0</v>
      </c>
      <c r="BR15" s="123">
        <f t="shared" si="55"/>
        <v>0</v>
      </c>
      <c r="BS15" s="123"/>
      <c r="BT15" s="123"/>
      <c r="BU15" s="123">
        <f t="shared" si="56"/>
        <v>0</v>
      </c>
      <c r="BV15" s="123">
        <f t="shared" si="57"/>
        <v>0</v>
      </c>
      <c r="BX15" s="123">
        <f t="shared" si="58"/>
        <v>0</v>
      </c>
      <c r="BY15" s="123"/>
    </row>
    <row r="16" spans="1:84" x14ac:dyDescent="0.25">
      <c r="C16" t="s">
        <v>395</v>
      </c>
      <c r="D16" s="99">
        <f>mc*(1-V.load/V.supply_typ)</f>
        <v>1.5603645833333333</v>
      </c>
      <c r="E16">
        <v>5</v>
      </c>
      <c r="F16">
        <v>3</v>
      </c>
      <c r="G16" s="58">
        <f t="shared" si="1"/>
        <v>-6.4386486322384605E-9</v>
      </c>
      <c r="H16" s="58">
        <f t="shared" si="2"/>
        <v>-2.4365824457367549E-3</v>
      </c>
      <c r="I16">
        <f t="shared" si="20"/>
        <v>17.900246147428337</v>
      </c>
      <c r="J16">
        <f t="shared" si="3"/>
        <v>-3.3211565812417847E-2</v>
      </c>
      <c r="K16" t="str">
        <f t="shared" si="4"/>
        <v>37499.9999925053-0.530143649894046i</v>
      </c>
      <c r="L16" t="str">
        <f t="shared" si="5"/>
        <v>1000000000-106103317468.765i</v>
      </c>
      <c r="M16" t="str">
        <f t="shared" si="6"/>
        <v>149999.998001284-0.212038619725793i</v>
      </c>
      <c r="N16">
        <f t="shared" si="21"/>
        <v>-13.979399994719177</v>
      </c>
      <c r="O16">
        <f t="shared" si="7"/>
        <v>-5.8320575471786367E-4</v>
      </c>
      <c r="P16" t="str">
        <f t="shared" si="8"/>
        <v>-9404654.97861774i</v>
      </c>
      <c r="Q16" t="str">
        <f t="shared" si="9"/>
        <v>9360-8696993.2351447i</v>
      </c>
      <c r="R16" t="str">
        <f t="shared" si="22"/>
        <v>2526.5344627824-4518497.06780213i</v>
      </c>
      <c r="S16" t="str">
        <f t="shared" si="10"/>
        <v>99998578.797756-376985.68219488i</v>
      </c>
      <c r="T16" t="str">
        <f t="shared" si="23"/>
        <v>206193.102737472-4508298.39604269i</v>
      </c>
      <c r="U16" t="str">
        <f t="shared" si="24"/>
        <v>0.999999999775-0.000014999999996625i</v>
      </c>
      <c r="V16">
        <f t="shared" si="11"/>
        <v>73.089328210851875</v>
      </c>
      <c r="W16">
        <f t="shared" si="12"/>
        <v>-87.382202834530403</v>
      </c>
      <c r="X16">
        <f t="shared" si="25"/>
        <v>-9.7716266518807683E-10</v>
      </c>
      <c r="Y16">
        <f t="shared" si="13"/>
        <v>-8.5943687143254113E-4</v>
      </c>
      <c r="AA16" s="123">
        <f t="shared" si="26"/>
        <v>17.90024614098969</v>
      </c>
      <c r="AB16" s="123">
        <f t="shared" si="27"/>
        <v>-3.5648148258154599E-2</v>
      </c>
      <c r="AC16">
        <f t="shared" si="28"/>
        <v>59.109928216132701</v>
      </c>
      <c r="AD16">
        <f t="shared" si="29"/>
        <v>-87.382786040285126</v>
      </c>
      <c r="AE16" s="123">
        <f t="shared" si="30"/>
        <v>77.010174357122395</v>
      </c>
      <c r="AF16" s="123">
        <f t="shared" si="31"/>
        <v>-87.418434188543287</v>
      </c>
      <c r="AI16" s="123">
        <f t="shared" si="32"/>
        <v>0</v>
      </c>
      <c r="AJ16" s="123">
        <f t="shared" si="33"/>
        <v>0</v>
      </c>
      <c r="AK16" s="123">
        <f t="shared" si="34"/>
        <v>0</v>
      </c>
      <c r="AL16" s="123">
        <f t="shared" si="35"/>
        <v>0</v>
      </c>
      <c r="AM16" s="123">
        <f t="shared" si="36"/>
        <v>0</v>
      </c>
      <c r="AN16" s="123">
        <f t="shared" si="37"/>
        <v>0</v>
      </c>
      <c r="AO16" s="123">
        <f t="shared" si="38"/>
        <v>0</v>
      </c>
      <c r="AP16" s="123"/>
      <c r="AQ16" s="123">
        <f t="shared" si="39"/>
        <v>0</v>
      </c>
      <c r="AR16" s="123">
        <f t="shared" si="40"/>
        <v>0</v>
      </c>
      <c r="AS16" s="123">
        <f t="shared" si="41"/>
        <v>0</v>
      </c>
      <c r="AW16" t="str">
        <f t="shared" si="14"/>
        <v>17140</v>
      </c>
      <c r="AX16" t="str">
        <f t="shared" si="15"/>
        <v>8506-8542940.21487643i</v>
      </c>
      <c r="AY16" t="str">
        <f t="shared" si="42"/>
        <v>17139.8967660309-34.3882720787458i</v>
      </c>
      <c r="AZ16">
        <f t="shared" si="16"/>
        <v>10.700781431743707</v>
      </c>
      <c r="BA16">
        <f t="shared" si="17"/>
        <v>-0.11495405415491469</v>
      </c>
      <c r="BB16">
        <f t="shared" si="18"/>
        <v>-2.0997406853804303</v>
      </c>
      <c r="BC16">
        <f t="shared" si="19"/>
        <v>2.4676298942002788E-2</v>
      </c>
      <c r="BD16" s="123">
        <f t="shared" si="43"/>
        <v>-2.0997406918190791</v>
      </c>
      <c r="BE16" s="123">
        <f t="shared" si="44"/>
        <v>2.2239716496266031E-2</v>
      </c>
      <c r="BF16">
        <f t="shared" si="45"/>
        <v>83.790109642595581</v>
      </c>
      <c r="BG16">
        <f t="shared" si="46"/>
        <v>-87.497156888685325</v>
      </c>
      <c r="BH16" s="123">
        <f t="shared" si="47"/>
        <v>81.690368950776502</v>
      </c>
      <c r="BI16" s="123">
        <f t="shared" si="48"/>
        <v>-87.474917172189052</v>
      </c>
      <c r="BL16" s="123">
        <f t="shared" si="49"/>
        <v>0</v>
      </c>
      <c r="BM16" s="123">
        <f t="shared" si="50"/>
        <v>0</v>
      </c>
      <c r="BN16" s="123">
        <f t="shared" si="51"/>
        <v>0</v>
      </c>
      <c r="BO16" s="123">
        <f t="shared" si="52"/>
        <v>0</v>
      </c>
      <c r="BP16" s="123">
        <f t="shared" si="53"/>
        <v>0</v>
      </c>
      <c r="BQ16" s="123">
        <f t="shared" si="54"/>
        <v>0</v>
      </c>
      <c r="BR16" s="123">
        <f t="shared" si="55"/>
        <v>0</v>
      </c>
      <c r="BS16" s="123"/>
      <c r="BT16" s="123"/>
      <c r="BU16" s="123">
        <f t="shared" si="56"/>
        <v>0</v>
      </c>
      <c r="BV16" s="123">
        <f t="shared" si="57"/>
        <v>0</v>
      </c>
      <c r="BX16" s="123">
        <f t="shared" si="58"/>
        <v>0</v>
      </c>
      <c r="BY16" s="123"/>
    </row>
    <row r="17" spans="2:77" x14ac:dyDescent="0.25">
      <c r="C17" t="s">
        <v>396</v>
      </c>
      <c r="D17" s="99">
        <f>1/PI/(kfactor-0.5)</f>
        <v>0.30018915890765174</v>
      </c>
      <c r="E17">
        <v>6</v>
      </c>
      <c r="F17">
        <v>3.5</v>
      </c>
      <c r="G17" s="58">
        <f t="shared" si="1"/>
        <v>-8.7637173736755387E-9</v>
      </c>
      <c r="H17" s="58">
        <f t="shared" si="2"/>
        <v>-2.8426795195746839E-3</v>
      </c>
      <c r="I17">
        <f t="shared" si="20"/>
        <v>17.90024381100411</v>
      </c>
      <c r="J17">
        <f t="shared" si="3"/>
        <v>-3.8746803282691956E-2</v>
      </c>
      <c r="K17" t="str">
        <f t="shared" si="4"/>
        <v>37499.9999897988-0.618500924831748i</v>
      </c>
      <c r="L17" t="str">
        <f t="shared" si="5"/>
        <v>1000000000-90945700687.5131i</v>
      </c>
      <c r="M17" t="str">
        <f t="shared" si="6"/>
        <v>149999.997279613-0.247370453299272i</v>
      </c>
      <c r="N17">
        <f t="shared" si="21"/>
        <v>-13.97939996150062</v>
      </c>
      <c r="O17">
        <f t="shared" si="7"/>
        <v>-6.8040913798657462E-4</v>
      </c>
      <c r="P17" t="str">
        <f t="shared" si="8"/>
        <v>-8061132.8388152i</v>
      </c>
      <c r="Q17" t="str">
        <f t="shared" si="9"/>
        <v>9360-7454565.63012403i</v>
      </c>
      <c r="R17" t="str">
        <f t="shared" si="22"/>
        <v>2526.53421884332-3872997.8910556i</v>
      </c>
      <c r="S17" t="str">
        <f t="shared" si="10"/>
        <v>99998065.5957622-439814.37204757i</v>
      </c>
      <c r="T17" t="str">
        <f t="shared" si="23"/>
        <v>152239.799920291-3866345.37313046i</v>
      </c>
      <c r="U17" t="str">
        <f t="shared" si="24"/>
        <v>0.99999999969375-0.0000174999999946406i</v>
      </c>
      <c r="V17">
        <f t="shared" si="11"/>
        <v>71.752741184036694</v>
      </c>
      <c r="W17">
        <f t="shared" si="12"/>
        <v>-87.746128171049634</v>
      </c>
      <c r="X17">
        <f t="shared" si="25"/>
        <v>-1.3300264788137207E-9</v>
      </c>
      <c r="Y17">
        <f t="shared" si="13"/>
        <v>-1.0026763499774742E-3</v>
      </c>
      <c r="AA17" s="123">
        <f t="shared" si="26"/>
        <v>17.900243802240393</v>
      </c>
      <c r="AB17" s="123">
        <f t="shared" si="27"/>
        <v>-4.1589482802266639E-2</v>
      </c>
      <c r="AC17">
        <f t="shared" si="28"/>
        <v>57.773341222536075</v>
      </c>
      <c r="AD17">
        <f t="shared" si="29"/>
        <v>-87.746808580187619</v>
      </c>
      <c r="AE17" s="123">
        <f t="shared" si="30"/>
        <v>75.673585024776472</v>
      </c>
      <c r="AF17" s="123">
        <f t="shared" si="31"/>
        <v>-87.788398062989884</v>
      </c>
      <c r="AI17" s="123">
        <f t="shared" si="32"/>
        <v>0</v>
      </c>
      <c r="AJ17" s="123">
        <f t="shared" si="33"/>
        <v>0</v>
      </c>
      <c r="AK17" s="123">
        <f t="shared" si="34"/>
        <v>0</v>
      </c>
      <c r="AL17" s="123">
        <f t="shared" si="35"/>
        <v>0</v>
      </c>
      <c r="AM17" s="123">
        <f t="shared" si="36"/>
        <v>0</v>
      </c>
      <c r="AN17" s="123">
        <f t="shared" si="37"/>
        <v>0</v>
      </c>
      <c r="AO17" s="123">
        <f t="shared" si="38"/>
        <v>0</v>
      </c>
      <c r="AP17" s="123"/>
      <c r="AQ17" s="123">
        <f t="shared" si="39"/>
        <v>0</v>
      </c>
      <c r="AR17" s="123">
        <f t="shared" si="40"/>
        <v>0</v>
      </c>
      <c r="AS17" s="123">
        <f t="shared" si="41"/>
        <v>0</v>
      </c>
      <c r="AW17" t="str">
        <f t="shared" si="14"/>
        <v>17140</v>
      </c>
      <c r="AX17" t="str">
        <f t="shared" si="15"/>
        <v>8506-7322520.1841798i</v>
      </c>
      <c r="AY17" t="str">
        <f t="shared" si="42"/>
        <v>17139.859487555-40.1195201964119i</v>
      </c>
      <c r="AZ17">
        <f t="shared" si="16"/>
        <v>10.700768853145133</v>
      </c>
      <c r="BA17">
        <f t="shared" si="17"/>
        <v>-0.13411285344203833</v>
      </c>
      <c r="BB17">
        <f t="shared" si="18"/>
        <v>-2.0997382670018139</v>
      </c>
      <c r="BC17">
        <f t="shared" si="19"/>
        <v>2.8788981952543629E-2</v>
      </c>
      <c r="BD17" s="123">
        <f t="shared" si="43"/>
        <v>-2.0997382757655312</v>
      </c>
      <c r="BE17" s="123">
        <f t="shared" si="44"/>
        <v>2.5946302432968946E-2</v>
      </c>
      <c r="BF17">
        <f t="shared" si="45"/>
        <v>82.453510037181829</v>
      </c>
      <c r="BG17">
        <f t="shared" si="46"/>
        <v>-87.880241024491667</v>
      </c>
      <c r="BH17" s="123">
        <f t="shared" si="47"/>
        <v>80.353771761416297</v>
      </c>
      <c r="BI17" s="123">
        <f t="shared" si="48"/>
        <v>-87.854294722058697</v>
      </c>
      <c r="BL17" s="123">
        <f t="shared" si="49"/>
        <v>0</v>
      </c>
      <c r="BM17" s="123">
        <f t="shared" si="50"/>
        <v>0</v>
      </c>
      <c r="BN17" s="123">
        <f t="shared" si="51"/>
        <v>0</v>
      </c>
      <c r="BO17" s="123">
        <f t="shared" si="52"/>
        <v>0</v>
      </c>
      <c r="BP17" s="123">
        <f t="shared" si="53"/>
        <v>0</v>
      </c>
      <c r="BQ17" s="123">
        <f t="shared" si="54"/>
        <v>0</v>
      </c>
      <c r="BR17" s="123">
        <f t="shared" si="55"/>
        <v>0</v>
      </c>
      <c r="BS17" s="123"/>
      <c r="BT17" s="123"/>
      <c r="BU17" s="123">
        <f t="shared" si="56"/>
        <v>0</v>
      </c>
      <c r="BV17" s="123">
        <f t="shared" si="57"/>
        <v>0</v>
      </c>
      <c r="BX17" s="123">
        <f t="shared" si="58"/>
        <v>0</v>
      </c>
      <c r="BY17" s="123"/>
    </row>
    <row r="18" spans="2:77" x14ac:dyDescent="0.25">
      <c r="C18" t="s">
        <v>389</v>
      </c>
      <c r="D18" s="57">
        <f>Qfactor*2*PI*f.sw*0.5*1</f>
        <v>443243.77425217355</v>
      </c>
      <c r="E18">
        <v>7</v>
      </c>
      <c r="F18">
        <v>4</v>
      </c>
      <c r="G18" s="58">
        <f t="shared" si="1"/>
        <v>-1.1446483139040159E-8</v>
      </c>
      <c r="H18" s="58">
        <f t="shared" si="2"/>
        <v>-3.2487765932042167E-3</v>
      </c>
      <c r="I18">
        <f t="shared" si="20"/>
        <v>17.90024111513366</v>
      </c>
      <c r="J18">
        <f t="shared" si="3"/>
        <v>-4.4282029907564933E-2</v>
      </c>
      <c r="K18" t="str">
        <f t="shared" si="4"/>
        <v>37499.999986676-0.706858199748849i</v>
      </c>
      <c r="L18" t="str">
        <f t="shared" si="5"/>
        <v>1000000000-79577488101.574i</v>
      </c>
      <c r="M18" t="str">
        <f t="shared" si="6"/>
        <v>149999.996446972-0.282698624647543i</v>
      </c>
      <c r="N18">
        <f t="shared" si="21"/>
        <v>-13.97939992317408</v>
      </c>
      <c r="O18">
        <f t="shared" si="7"/>
        <v>-7.7761363987348246E-4</v>
      </c>
      <c r="P18" t="str">
        <f t="shared" si="8"/>
        <v>-7053491.2339633i</v>
      </c>
      <c r="Q18" t="str">
        <f t="shared" si="9"/>
        <v>9360-6522744.92635852i</v>
      </c>
      <c r="R18" t="str">
        <f t="shared" si="22"/>
        <v>2526.53393737522-3388873.56292979i</v>
      </c>
      <c r="S18" t="str">
        <f t="shared" si="10"/>
        <v>99997473.446161-502642.020157875i</v>
      </c>
      <c r="T18" t="str">
        <f t="shared" si="23"/>
        <v>117190.800125463-3384240.1430606i</v>
      </c>
      <c r="U18" t="str">
        <f t="shared" si="24"/>
        <v>0.9999999996-0.000019999999992i</v>
      </c>
      <c r="V18">
        <f t="shared" si="11"/>
        <v>70.594428068141127</v>
      </c>
      <c r="W18">
        <f t="shared" si="12"/>
        <v>-88.017895891558069</v>
      </c>
      <c r="X18">
        <f t="shared" si="25"/>
        <v>-1.7371780715214712E-9</v>
      </c>
      <c r="Y18">
        <f t="shared" si="13"/>
        <v>-1.1459158285098763E-3</v>
      </c>
      <c r="AA18" s="123">
        <f t="shared" si="26"/>
        <v>17.900241103687176</v>
      </c>
      <c r="AB18" s="123">
        <f t="shared" si="27"/>
        <v>-4.753080650076915E-2</v>
      </c>
      <c r="AC18">
        <f t="shared" si="28"/>
        <v>56.615028144967049</v>
      </c>
      <c r="AD18">
        <f t="shared" si="29"/>
        <v>-88.018673505197938</v>
      </c>
      <c r="AE18" s="123">
        <f t="shared" si="30"/>
        <v>74.515269248654221</v>
      </c>
      <c r="AF18" s="123">
        <f t="shared" si="31"/>
        <v>-88.066204311698712</v>
      </c>
      <c r="AI18" s="123">
        <f t="shared" si="32"/>
        <v>0</v>
      </c>
      <c r="AJ18" s="123">
        <f t="shared" si="33"/>
        <v>0</v>
      </c>
      <c r="AK18" s="123">
        <f t="shared" si="34"/>
        <v>0</v>
      </c>
      <c r="AL18" s="123">
        <f t="shared" si="35"/>
        <v>0</v>
      </c>
      <c r="AM18" s="123">
        <f t="shared" si="36"/>
        <v>0</v>
      </c>
      <c r="AN18" s="123">
        <f t="shared" si="37"/>
        <v>0</v>
      </c>
      <c r="AO18" s="123">
        <f t="shared" si="38"/>
        <v>0</v>
      </c>
      <c r="AP18" s="123"/>
      <c r="AQ18" s="123">
        <f t="shared" si="39"/>
        <v>0</v>
      </c>
      <c r="AR18" s="123">
        <f t="shared" si="40"/>
        <v>0</v>
      </c>
      <c r="AS18" s="123">
        <f t="shared" si="41"/>
        <v>0</v>
      </c>
      <c r="AW18" t="str">
        <f t="shared" si="14"/>
        <v>17140</v>
      </c>
      <c r="AX18" t="str">
        <f t="shared" si="15"/>
        <v>8506-6407205.16115733i</v>
      </c>
      <c r="AY18" t="str">
        <f t="shared" si="42"/>
        <v>17139.8164742304-45.8507080558425i</v>
      </c>
      <c r="AZ18">
        <f t="shared" si="16"/>
        <v>10.700754339433979</v>
      </c>
      <c r="BA18">
        <f t="shared" si="17"/>
        <v>-0.15327155592788982</v>
      </c>
      <c r="BB18">
        <f t="shared" si="18"/>
        <v>-2.0997354765720848</v>
      </c>
      <c r="BC18">
        <f t="shared" si="19"/>
        <v>3.2901649510986598E-2</v>
      </c>
      <c r="BD18" s="123">
        <f t="shared" si="43"/>
        <v>-2.0997354880185681</v>
      </c>
      <c r="BE18" s="123">
        <f t="shared" si="44"/>
        <v>2.9652872917782382E-2</v>
      </c>
      <c r="BF18">
        <f t="shared" si="45"/>
        <v>81.295182407575112</v>
      </c>
      <c r="BG18">
        <f t="shared" si="46"/>
        <v>-88.171167447485956</v>
      </c>
      <c r="BH18" s="123">
        <f t="shared" si="47"/>
        <v>79.195446919556545</v>
      </c>
      <c r="BI18" s="123">
        <f t="shared" si="48"/>
        <v>-88.141514574568177</v>
      </c>
      <c r="BL18" s="123">
        <f t="shared" si="49"/>
        <v>0</v>
      </c>
      <c r="BM18" s="123">
        <f t="shared" si="50"/>
        <v>0</v>
      </c>
      <c r="BN18" s="123">
        <f t="shared" si="51"/>
        <v>0</v>
      </c>
      <c r="BO18" s="123">
        <f t="shared" si="52"/>
        <v>0</v>
      </c>
      <c r="BP18" s="123">
        <f t="shared" si="53"/>
        <v>0</v>
      </c>
      <c r="BQ18" s="123">
        <f t="shared" si="54"/>
        <v>0</v>
      </c>
      <c r="BR18" s="123">
        <f t="shared" si="55"/>
        <v>0</v>
      </c>
      <c r="BS18" s="123"/>
      <c r="BT18" s="123"/>
      <c r="BU18" s="123">
        <f t="shared" si="56"/>
        <v>0</v>
      </c>
      <c r="BV18" s="123">
        <f t="shared" si="57"/>
        <v>0</v>
      </c>
      <c r="BX18" s="123">
        <f t="shared" si="58"/>
        <v>0</v>
      </c>
      <c r="BY18" s="123"/>
    </row>
    <row r="19" spans="2:77" x14ac:dyDescent="0.25">
      <c r="C19" t="s">
        <v>390</v>
      </c>
      <c r="D19">
        <f>f.sw*0.5*1</f>
        <v>235000</v>
      </c>
      <c r="E19">
        <v>8</v>
      </c>
      <c r="F19">
        <v>4.5</v>
      </c>
      <c r="G19" s="58">
        <f t="shared" si="1"/>
        <v>-1.4486958464920849E-8</v>
      </c>
      <c r="H19" s="58">
        <f t="shared" si="2"/>
        <v>-3.6548736665955837E-3</v>
      </c>
      <c r="I19">
        <f t="shared" si="20"/>
        <v>17.900238059818527</v>
      </c>
      <c r="J19">
        <f t="shared" si="3"/>
        <v>-4.9817244137724863E-2</v>
      </c>
      <c r="K19" t="str">
        <f t="shared" si="4"/>
        <v>37499.9999831369-0.795215474642406i</v>
      </c>
      <c r="L19" t="str">
        <f t="shared" si="5"/>
        <v>1000000000-70735544979.1769i</v>
      </c>
      <c r="M19" t="str">
        <f t="shared" si="6"/>
        <v>149999.995503387-0.318022611113418i</v>
      </c>
      <c r="N19">
        <f t="shared" si="21"/>
        <v>-13.97939987974077</v>
      </c>
      <c r="O19">
        <f t="shared" si="7"/>
        <v>-8.7481942002303164E-4</v>
      </c>
      <c r="P19" t="str">
        <f t="shared" si="8"/>
        <v>-6269769.98574516i</v>
      </c>
      <c r="Q19" t="str">
        <f t="shared" si="9"/>
        <v>9360-5797995.49009646i</v>
      </c>
      <c r="R19" t="str">
        <f t="shared" si="22"/>
        <v>2526.5336183781-3012332.46721776i</v>
      </c>
      <c r="S19" t="str">
        <f t="shared" si="10"/>
        <v>99996802.3517574-565468.477728953i</v>
      </c>
      <c r="T19" t="str">
        <f t="shared" si="23"/>
        <v>93147.0998096239-3008938.00577856i</v>
      </c>
      <c r="U19" t="str">
        <f t="shared" si="24"/>
        <v>0.99999999949375-0.0000224999999886094i</v>
      </c>
      <c r="V19">
        <f t="shared" si="11"/>
        <v>69.572424749621348</v>
      </c>
      <c r="W19">
        <f t="shared" si="12"/>
        <v>-88.228179640975284</v>
      </c>
      <c r="X19">
        <f t="shared" si="25"/>
        <v>-2.1986155146640294E-9</v>
      </c>
      <c r="Y19">
        <f t="shared" si="13"/>
        <v>-1.2891553070279549E-3</v>
      </c>
      <c r="AA19" s="123">
        <f t="shared" si="26"/>
        <v>17.900238045331569</v>
      </c>
      <c r="AB19" s="123">
        <f t="shared" si="27"/>
        <v>-5.3472117804320443E-2</v>
      </c>
      <c r="AC19">
        <f t="shared" si="28"/>
        <v>55.59302486988058</v>
      </c>
      <c r="AD19">
        <f t="shared" si="29"/>
        <v>-88.229054460395304</v>
      </c>
      <c r="AE19" s="123">
        <f t="shared" si="30"/>
        <v>73.493262915212142</v>
      </c>
      <c r="AF19" s="123">
        <f t="shared" si="31"/>
        <v>-88.282526578199622</v>
      </c>
      <c r="AI19" s="123">
        <f t="shared" si="32"/>
        <v>0</v>
      </c>
      <c r="AJ19" s="123">
        <f t="shared" si="33"/>
        <v>0</v>
      </c>
      <c r="AK19" s="123">
        <f t="shared" si="34"/>
        <v>0</v>
      </c>
      <c r="AL19" s="123">
        <f t="shared" si="35"/>
        <v>0</v>
      </c>
      <c r="AM19" s="123">
        <f t="shared" si="36"/>
        <v>0</v>
      </c>
      <c r="AN19" s="123">
        <f t="shared" si="37"/>
        <v>0</v>
      </c>
      <c r="AO19" s="123">
        <f t="shared" si="38"/>
        <v>0</v>
      </c>
      <c r="AP19" s="123"/>
      <c r="AQ19" s="123">
        <f t="shared" si="39"/>
        <v>0</v>
      </c>
      <c r="AR19" s="123">
        <f t="shared" si="40"/>
        <v>0</v>
      </c>
      <c r="AS19" s="123">
        <f t="shared" si="41"/>
        <v>0</v>
      </c>
      <c r="AW19" t="str">
        <f t="shared" si="14"/>
        <v>17140</v>
      </c>
      <c r="AX19" t="str">
        <f t="shared" si="15"/>
        <v>8506-5695293.47658429i</v>
      </c>
      <c r="AY19" t="str">
        <f t="shared" si="42"/>
        <v>17139.7677261862-51.5818270495798i</v>
      </c>
      <c r="AZ19">
        <f t="shared" si="16"/>
        <v>10.70073789063439</v>
      </c>
      <c r="BA19">
        <f t="shared" si="17"/>
        <v>-0.17243014778457544</v>
      </c>
      <c r="BB19">
        <f t="shared" si="18"/>
        <v>-2.0997323140941409</v>
      </c>
      <c r="BC19">
        <f t="shared" si="19"/>
        <v>3.701429940996661E-2</v>
      </c>
      <c r="BD19" s="123">
        <f t="shared" si="43"/>
        <v>-2.0997323285810992</v>
      </c>
      <c r="BE19" s="123">
        <f t="shared" si="44"/>
        <v>3.335942574337103E-2</v>
      </c>
      <c r="BF19">
        <f t="shared" si="45"/>
        <v>80.273162640255734</v>
      </c>
      <c r="BG19">
        <f t="shared" si="46"/>
        <v>-88.400609788759866</v>
      </c>
      <c r="BH19" s="123">
        <f t="shared" si="47"/>
        <v>78.173430311674636</v>
      </c>
      <c r="BI19" s="123">
        <f t="shared" si="48"/>
        <v>-88.367250363016495</v>
      </c>
      <c r="BL19" s="123">
        <f t="shared" si="49"/>
        <v>0</v>
      </c>
      <c r="BM19" s="123">
        <f t="shared" si="50"/>
        <v>0</v>
      </c>
      <c r="BN19" s="123">
        <f t="shared" si="51"/>
        <v>0</v>
      </c>
      <c r="BO19" s="123">
        <f t="shared" si="52"/>
        <v>0</v>
      </c>
      <c r="BP19" s="123">
        <f t="shared" si="53"/>
        <v>0</v>
      </c>
      <c r="BQ19" s="123">
        <f t="shared" si="54"/>
        <v>0</v>
      </c>
      <c r="BR19" s="123">
        <f t="shared" si="55"/>
        <v>0</v>
      </c>
      <c r="BS19" s="123"/>
      <c r="BT19" s="123"/>
      <c r="BU19" s="123">
        <f t="shared" si="56"/>
        <v>0</v>
      </c>
      <c r="BV19" s="123">
        <f t="shared" si="57"/>
        <v>0</v>
      </c>
      <c r="BX19" s="123">
        <f t="shared" si="58"/>
        <v>0</v>
      </c>
      <c r="BY19" s="123"/>
    </row>
    <row r="20" spans="2:77" x14ac:dyDescent="0.25">
      <c r="B20" s="46" t="s">
        <v>442</v>
      </c>
      <c r="C20" t="s">
        <v>397</v>
      </c>
      <c r="D20">
        <f>1/R.s/A.s_typ*(R.load*Wsh*L.out)/(R.load+Wsh*L.out)</f>
        <v>7.8525847247566114</v>
      </c>
      <c r="E20">
        <v>9</v>
      </c>
      <c r="F20">
        <v>5</v>
      </c>
      <c r="G20" s="58">
        <f t="shared" si="1"/>
        <v>-1.7885128886781228E-8</v>
      </c>
      <c r="H20" s="58">
        <f t="shared" si="2"/>
        <v>-4.0609707397190071E-3</v>
      </c>
      <c r="I20">
        <f t="shared" si="20"/>
        <v>17.900234645060468</v>
      </c>
      <c r="J20">
        <f t="shared" si="3"/>
        <v>-5.5352444423871869E-2</v>
      </c>
      <c r="K20" t="str">
        <f t="shared" si="4"/>
        <v>37499.9999791813-0.883572749509471i</v>
      </c>
      <c r="L20" t="str">
        <f t="shared" si="5"/>
        <v>1000000000-63661990481.2592i</v>
      </c>
      <c r="M20" t="str">
        <f t="shared" si="6"/>
        <v>149999.994448887-0.35334189026236i</v>
      </c>
      <c r="N20">
        <f t="shared" si="21"/>
        <v>-13.979399831202077</v>
      </c>
      <c r="O20">
        <f t="shared" si="7"/>
        <v>-9.7202663801166734E-4</v>
      </c>
      <c r="P20" t="str">
        <f t="shared" si="8"/>
        <v>-5642792.98717064i</v>
      </c>
      <c r="Q20" t="str">
        <f t="shared" si="9"/>
        <v>9360-5218195.94108682i</v>
      </c>
      <c r="R20" t="str">
        <f t="shared" si="22"/>
        <v>2526.53326185201-2711099.63419532i</v>
      </c>
      <c r="S20" t="str">
        <f t="shared" si="10"/>
        <v>99996052.3157305-628293.59597336i</v>
      </c>
      <c r="T20" t="str">
        <f t="shared" si="23"/>
        <v>75941.679801006-2708510.98330519i</v>
      </c>
      <c r="U20" t="str">
        <f t="shared" si="24"/>
        <v>0.999999999375-0.000024999999984375i</v>
      </c>
      <c r="V20">
        <f t="shared" si="11"/>
        <v>68.65802483390074</v>
      </c>
      <c r="W20">
        <f t="shared" si="12"/>
        <v>-88.395402994257807</v>
      </c>
      <c r="X20">
        <f t="shared" si="25"/>
        <v>-2.7143407369049804E-9</v>
      </c>
      <c r="Y20">
        <f t="shared" si="13"/>
        <v>-1.4323947855299159E-3</v>
      </c>
      <c r="AA20" s="123">
        <f t="shared" si="26"/>
        <v>17.90023462717534</v>
      </c>
      <c r="AB20" s="123">
        <f t="shared" si="27"/>
        <v>-5.9413415163590874E-2</v>
      </c>
      <c r="AC20">
        <f t="shared" si="28"/>
        <v>54.678625002698666</v>
      </c>
      <c r="AD20">
        <f t="shared" si="29"/>
        <v>-88.396375020895817</v>
      </c>
      <c r="AE20" s="123">
        <f t="shared" si="30"/>
        <v>72.578859629874003</v>
      </c>
      <c r="AF20" s="123">
        <f t="shared" si="31"/>
        <v>-88.455788436059407</v>
      </c>
      <c r="AI20" s="123">
        <f t="shared" si="32"/>
        <v>0</v>
      </c>
      <c r="AJ20" s="123">
        <f t="shared" si="33"/>
        <v>0</v>
      </c>
      <c r="AK20" s="123">
        <f t="shared" si="34"/>
        <v>0</v>
      </c>
      <c r="AL20" s="123">
        <f t="shared" si="35"/>
        <v>0</v>
      </c>
      <c r="AM20" s="123">
        <f t="shared" si="36"/>
        <v>0</v>
      </c>
      <c r="AN20" s="123">
        <f t="shared" si="37"/>
        <v>0</v>
      </c>
      <c r="AO20" s="123">
        <f t="shared" si="38"/>
        <v>0</v>
      </c>
      <c r="AP20" s="123"/>
      <c r="AQ20" s="123">
        <f t="shared" si="39"/>
        <v>0</v>
      </c>
      <c r="AR20" s="123">
        <f t="shared" si="40"/>
        <v>0</v>
      </c>
      <c r="AS20" s="123">
        <f t="shared" si="41"/>
        <v>0</v>
      </c>
      <c r="AW20" t="str">
        <f t="shared" si="14"/>
        <v>17140</v>
      </c>
      <c r="AX20" t="str">
        <f t="shared" si="15"/>
        <v>8506-5125764.12892586i</v>
      </c>
      <c r="AY20" t="str">
        <f t="shared" si="42"/>
        <v>17139.7132435691-57.3128685705119i</v>
      </c>
      <c r="AZ20">
        <f t="shared" si="16"/>
        <v>10.700719506773922</v>
      </c>
      <c r="BA20">
        <f t="shared" si="17"/>
        <v>-0.19158861518454251</v>
      </c>
      <c r="BB20">
        <f t="shared" si="18"/>
        <v>-2.0997287795715405</v>
      </c>
      <c r="BC20">
        <f t="shared" si="19"/>
        <v>4.1126929442156374E-2</v>
      </c>
      <c r="BD20" s="123">
        <f t="shared" si="43"/>
        <v>-2.0997287974566694</v>
      </c>
      <c r="BE20" s="123">
        <f t="shared" si="44"/>
        <v>3.7065958702437368E-2</v>
      </c>
      <c r="BF20">
        <f t="shared" si="45"/>
        <v>79.358744340674662</v>
      </c>
      <c r="BG20">
        <f t="shared" si="46"/>
        <v>-88.58699160944235</v>
      </c>
      <c r="BH20" s="123">
        <f t="shared" si="47"/>
        <v>77.259015543217998</v>
      </c>
      <c r="BI20" s="123">
        <f t="shared" si="48"/>
        <v>-88.549925650739908</v>
      </c>
      <c r="BL20" s="123">
        <f t="shared" si="49"/>
        <v>0</v>
      </c>
      <c r="BM20" s="123">
        <f t="shared" si="50"/>
        <v>0</v>
      </c>
      <c r="BN20" s="123">
        <f t="shared" si="51"/>
        <v>0</v>
      </c>
      <c r="BO20" s="123">
        <f t="shared" si="52"/>
        <v>0</v>
      </c>
      <c r="BP20" s="123">
        <f t="shared" si="53"/>
        <v>0</v>
      </c>
      <c r="BQ20" s="123">
        <f t="shared" si="54"/>
        <v>0</v>
      </c>
      <c r="BR20" s="123">
        <f t="shared" si="55"/>
        <v>0</v>
      </c>
      <c r="BS20" s="123"/>
      <c r="BT20" s="123"/>
      <c r="BU20" s="123">
        <f t="shared" si="56"/>
        <v>0</v>
      </c>
      <c r="BV20" s="123">
        <f t="shared" si="57"/>
        <v>0</v>
      </c>
      <c r="BX20" s="123">
        <f t="shared" si="58"/>
        <v>0</v>
      </c>
      <c r="BY20" s="123"/>
    </row>
    <row r="21" spans="2:77" x14ac:dyDescent="0.25">
      <c r="B21" s="46" t="s">
        <v>442</v>
      </c>
      <c r="C21" t="s">
        <v>398</v>
      </c>
      <c r="D21">
        <f>1/R.esrb/C.outb_derated</f>
        <v>18939.393939393936</v>
      </c>
      <c r="E21">
        <v>10</v>
      </c>
      <c r="F21">
        <v>5.5</v>
      </c>
      <c r="G21" s="58">
        <f t="shared" si="1"/>
        <v>-2.1641010798608088E-8</v>
      </c>
      <c r="H21" s="58">
        <f t="shared" si="2"/>
        <v>-4.4670678125447198E-3</v>
      </c>
      <c r="I21">
        <f t="shared" si="20"/>
        <v>17.900230870861481</v>
      </c>
      <c r="J21">
        <f t="shared" si="3"/>
        <v>-6.088762921671996E-2</v>
      </c>
      <c r="K21" t="str">
        <f t="shared" si="4"/>
        <v>37499.9999748094-0.971930024347106i</v>
      </c>
      <c r="L21" t="str">
        <f t="shared" si="5"/>
        <v>1000000000-57874536801.1447i</v>
      </c>
      <c r="M21" t="str">
        <f t="shared" si="6"/>
        <v>149999.993283502-0.388655939854822i</v>
      </c>
      <c r="N21">
        <f t="shared" si="21"/>
        <v>-13.979399777559394</v>
      </c>
      <c r="O21">
        <f t="shared" si="7"/>
        <v>-1.069235453356285E-3</v>
      </c>
      <c r="P21" t="str">
        <f t="shared" si="8"/>
        <v>-5129811.80651877i</v>
      </c>
      <c r="Q21" t="str">
        <f t="shared" si="9"/>
        <v>9360-4743814.49189711i</v>
      </c>
      <c r="R21" t="str">
        <f t="shared" si="22"/>
        <v>2526.53286779698-2464636.44676531i</v>
      </c>
      <c r="S21" t="str">
        <f t="shared" si="10"/>
        <v>99995223.341633-691117.226114232i</v>
      </c>
      <c r="T21" t="str">
        <f t="shared" si="23"/>
        <v>63207.7998252973-2462596.90986261i</v>
      </c>
      <c r="U21" t="str">
        <f t="shared" si="24"/>
        <v>0.99999999924375-0.0000274999999792031i</v>
      </c>
      <c r="V21">
        <f t="shared" si="11"/>
        <v>67.830726797351673</v>
      </c>
      <c r="W21">
        <f t="shared" si="12"/>
        <v>-88.531298540410532</v>
      </c>
      <c r="X21">
        <f t="shared" si="25"/>
        <v>-3.2843527739265282E-9</v>
      </c>
      <c r="Y21">
        <f t="shared" si="13"/>
        <v>-1.5756342640139722E-3</v>
      </c>
      <c r="AA21" s="123">
        <f t="shared" si="26"/>
        <v>17.90023084922047</v>
      </c>
      <c r="AB21" s="123">
        <f t="shared" si="27"/>
        <v>-6.5354697029264677E-2</v>
      </c>
      <c r="AC21">
        <f t="shared" si="28"/>
        <v>53.851327019792279</v>
      </c>
      <c r="AD21">
        <f t="shared" si="29"/>
        <v>-88.532367775863889</v>
      </c>
      <c r="AE21" s="123">
        <f t="shared" si="30"/>
        <v>71.751557869012743</v>
      </c>
      <c r="AF21" s="123">
        <f t="shared" si="31"/>
        <v>-88.597722472893153</v>
      </c>
      <c r="AI21" s="123">
        <f t="shared" si="32"/>
        <v>0</v>
      </c>
      <c r="AJ21" s="123">
        <f t="shared" si="33"/>
        <v>0</v>
      </c>
      <c r="AK21" s="123">
        <f t="shared" si="34"/>
        <v>0</v>
      </c>
      <c r="AL21" s="123">
        <f t="shared" si="35"/>
        <v>0</v>
      </c>
      <c r="AM21" s="123">
        <f t="shared" si="36"/>
        <v>0</v>
      </c>
      <c r="AN21" s="123">
        <f t="shared" si="37"/>
        <v>0</v>
      </c>
      <c r="AO21" s="123">
        <f t="shared" si="38"/>
        <v>0</v>
      </c>
      <c r="AP21" s="123"/>
      <c r="AQ21" s="123">
        <f t="shared" si="39"/>
        <v>0</v>
      </c>
      <c r="AR21" s="123">
        <f t="shared" si="40"/>
        <v>0</v>
      </c>
      <c r="AS21" s="123">
        <f t="shared" si="41"/>
        <v>0</v>
      </c>
      <c r="AW21" t="str">
        <f t="shared" si="14"/>
        <v>17140</v>
      </c>
      <c r="AX21" t="str">
        <f t="shared" si="15"/>
        <v>8506-4659785.57175078i</v>
      </c>
      <c r="AY21" t="str">
        <f t="shared" si="42"/>
        <v>17139.6530265426-63.0438240119138i</v>
      </c>
      <c r="AZ21">
        <f t="shared" si="16"/>
        <v>10.700699187883147</v>
      </c>
      <c r="BA21">
        <f t="shared" si="17"/>
        <v>-0.21074694430062896</v>
      </c>
      <c r="BB21">
        <f t="shared" si="18"/>
        <v>-2.0997248730078963</v>
      </c>
      <c r="BC21">
        <f t="shared" si="19"/>
        <v>4.5239537400259995E-2</v>
      </c>
      <c r="BD21" s="123">
        <f t="shared" si="43"/>
        <v>-2.0997248946489071</v>
      </c>
      <c r="BE21" s="123">
        <f t="shared" si="44"/>
        <v>4.0772469587715278E-2</v>
      </c>
      <c r="BF21">
        <f t="shared" si="45"/>
        <v>78.531425985234819</v>
      </c>
      <c r="BG21">
        <f t="shared" si="46"/>
        <v>-88.742045484711156</v>
      </c>
      <c r="BH21" s="123">
        <f t="shared" si="47"/>
        <v>76.431701090585918</v>
      </c>
      <c r="BI21" s="123">
        <f t="shared" si="48"/>
        <v>-88.701273015123434</v>
      </c>
      <c r="BL21" s="123">
        <f t="shared" si="49"/>
        <v>0</v>
      </c>
      <c r="BM21" s="123">
        <f t="shared" si="50"/>
        <v>0</v>
      </c>
      <c r="BN21" s="123">
        <f t="shared" si="51"/>
        <v>0</v>
      </c>
      <c r="BO21" s="123">
        <f t="shared" si="52"/>
        <v>0</v>
      </c>
      <c r="BP21" s="123">
        <f t="shared" si="53"/>
        <v>0</v>
      </c>
      <c r="BQ21" s="123">
        <f t="shared" si="54"/>
        <v>0</v>
      </c>
      <c r="BR21" s="123">
        <f t="shared" si="55"/>
        <v>0</v>
      </c>
      <c r="BS21" s="123"/>
      <c r="BT21" s="123"/>
      <c r="BU21" s="123">
        <f t="shared" si="56"/>
        <v>0</v>
      </c>
      <c r="BV21" s="123">
        <f t="shared" si="57"/>
        <v>0</v>
      </c>
      <c r="BX21" s="123">
        <f t="shared" si="58"/>
        <v>0</v>
      </c>
      <c r="BY21" s="123"/>
    </row>
    <row r="22" spans="2:77" x14ac:dyDescent="0.25">
      <c r="B22" s="46" t="s">
        <v>442</v>
      </c>
      <c r="C22" t="s">
        <v>399</v>
      </c>
      <c r="D22">
        <f>1/R.load/C.outtotal_derated+1/Wsh/C.outtotal_derated/L.out</f>
        <v>11968.665821549359</v>
      </c>
      <c r="E22">
        <v>11</v>
      </c>
      <c r="F22">
        <v>6</v>
      </c>
      <c r="G22" s="58">
        <f t="shared" si="1"/>
        <v>-2.5754586842971016E-8</v>
      </c>
      <c r="H22" s="58">
        <f t="shared" si="2"/>
        <v>-4.8731648850429566E-3</v>
      </c>
      <c r="I22">
        <f t="shared" si="20"/>
        <v>17.900226737223729</v>
      </c>
      <c r="J22">
        <f t="shared" si="3"/>
        <v>-6.6422796966998085E-2</v>
      </c>
      <c r="K22" t="str">
        <f t="shared" si="4"/>
        <v>37499.9999700211-1.06028729915236i</v>
      </c>
      <c r="L22" t="str">
        <f t="shared" si="5"/>
        <v>1000000000-53051658734.3827i</v>
      </c>
      <c r="M22" t="str">
        <f t="shared" si="6"/>
        <v>149999.992007265-0.423964237934883i</v>
      </c>
      <c r="N22">
        <f t="shared" si="21"/>
        <v>-13.979399718814236</v>
      </c>
      <c r="O22">
        <f t="shared" si="7"/>
        <v>-1.1664460254871439E-3</v>
      </c>
      <c r="P22" t="str">
        <f t="shared" si="8"/>
        <v>-4702327.48930887i</v>
      </c>
      <c r="Q22" t="str">
        <f t="shared" si="9"/>
        <v>9360-4348496.61757235i</v>
      </c>
      <c r="R22" t="str">
        <f t="shared" si="22"/>
        <v>2526.53243621303-2259250.49352957i</v>
      </c>
      <c r="S22" t="str">
        <f t="shared" si="10"/>
        <v>99994315.4333917-753939.219386446i</v>
      </c>
      <c r="T22" t="str">
        <f t="shared" si="23"/>
        <v>53520.4664783954-2257599.73603024i</v>
      </c>
      <c r="U22" t="str">
        <f t="shared" si="24"/>
        <v>0.9999999991-0.000029999999973i</v>
      </c>
      <c r="V22">
        <f t="shared" si="11"/>
        <v>67.075379011870183</v>
      </c>
      <c r="W22">
        <f t="shared" si="12"/>
        <v>-88.643692077245021</v>
      </c>
      <c r="X22">
        <f t="shared" si="25"/>
        <v>-3.9086496970844254E-9</v>
      </c>
      <c r="Y22">
        <f t="shared" si="13"/>
        <v>-1.7188737424783356E-3</v>
      </c>
      <c r="AA22" s="123">
        <f t="shared" si="26"/>
        <v>17.900226711469141</v>
      </c>
      <c r="AB22" s="123">
        <f t="shared" si="27"/>
        <v>-7.129596185204104E-2</v>
      </c>
      <c r="AC22">
        <f t="shared" si="28"/>
        <v>53.095979293055947</v>
      </c>
      <c r="AD22">
        <f t="shared" si="29"/>
        <v>-88.644858523270514</v>
      </c>
      <c r="AE22" s="123">
        <f t="shared" si="30"/>
        <v>70.996206004525092</v>
      </c>
      <c r="AF22" s="123">
        <f t="shared" si="31"/>
        <v>-88.716154485122559</v>
      </c>
      <c r="AI22" s="123">
        <f t="shared" si="32"/>
        <v>0</v>
      </c>
      <c r="AJ22" s="123">
        <f t="shared" si="33"/>
        <v>0</v>
      </c>
      <c r="AK22" s="123">
        <f t="shared" si="34"/>
        <v>0</v>
      </c>
      <c r="AL22" s="123">
        <f t="shared" si="35"/>
        <v>0</v>
      </c>
      <c r="AM22" s="123">
        <f t="shared" si="36"/>
        <v>0</v>
      </c>
      <c r="AN22" s="123">
        <f t="shared" si="37"/>
        <v>0</v>
      </c>
      <c r="AO22" s="123">
        <f t="shared" si="38"/>
        <v>0</v>
      </c>
      <c r="AP22" s="123"/>
      <c r="AQ22" s="123">
        <f t="shared" si="39"/>
        <v>0</v>
      </c>
      <c r="AR22" s="123">
        <f t="shared" si="40"/>
        <v>0</v>
      </c>
      <c r="AS22" s="123">
        <f t="shared" si="41"/>
        <v>0</v>
      </c>
      <c r="AW22" t="str">
        <f t="shared" si="14"/>
        <v>17140</v>
      </c>
      <c r="AX22" t="str">
        <f t="shared" si="15"/>
        <v>8506-4271470.10743822i</v>
      </c>
      <c r="AY22" t="str">
        <f t="shared" si="42"/>
        <v>17139.5870752876-68.7746847674915i</v>
      </c>
      <c r="AZ22">
        <f t="shared" si="16"/>
        <v>10.70067693399595</v>
      </c>
      <c r="BA22">
        <f t="shared" si="17"/>
        <v>-0.22990512130609753</v>
      </c>
      <c r="BB22">
        <f t="shared" si="18"/>
        <v>-2.0997205944076343</v>
      </c>
      <c r="BC22">
        <f t="shared" si="19"/>
        <v>4.9352121077024656E-2</v>
      </c>
      <c r="BD22" s="123">
        <f t="shared" si="43"/>
        <v>-2.0997206201622212</v>
      </c>
      <c r="BE22" s="123">
        <f t="shared" si="44"/>
        <v>4.4478956191981701E-2</v>
      </c>
      <c r="BF22">
        <f t="shared" si="45"/>
        <v>77.776055945866133</v>
      </c>
      <c r="BG22">
        <f t="shared" si="46"/>
        <v>-88.873597198551124</v>
      </c>
      <c r="BH22" s="123">
        <f t="shared" si="47"/>
        <v>75.676335325703917</v>
      </c>
      <c r="BI22" s="123">
        <f t="shared" si="48"/>
        <v>-88.829118242359144</v>
      </c>
      <c r="BL22" s="123">
        <f t="shared" si="49"/>
        <v>0</v>
      </c>
      <c r="BM22" s="123">
        <f t="shared" si="50"/>
        <v>0</v>
      </c>
      <c r="BN22" s="123">
        <f t="shared" si="51"/>
        <v>0</v>
      </c>
      <c r="BO22" s="123">
        <f t="shared" si="52"/>
        <v>0</v>
      </c>
      <c r="BP22" s="123">
        <f t="shared" si="53"/>
        <v>0</v>
      </c>
      <c r="BQ22" s="123">
        <f t="shared" si="54"/>
        <v>0</v>
      </c>
      <c r="BR22" s="123">
        <f t="shared" si="55"/>
        <v>0</v>
      </c>
      <c r="BS22" s="123"/>
      <c r="BT22" s="123"/>
      <c r="BU22" s="123">
        <f t="shared" si="56"/>
        <v>0</v>
      </c>
      <c r="BV22" s="123">
        <f t="shared" si="57"/>
        <v>0</v>
      </c>
      <c r="BX22" s="123">
        <f t="shared" si="58"/>
        <v>0</v>
      </c>
      <c r="BY22" s="123"/>
    </row>
    <row r="23" spans="2:77" x14ac:dyDescent="0.25">
      <c r="B23" s="139" t="s">
        <v>441</v>
      </c>
      <c r="C23" t="s">
        <v>446</v>
      </c>
      <c r="D23">
        <f>1/R.load/C.outtotal_derated</f>
        <v>9398.4962406015038</v>
      </c>
      <c r="E23">
        <v>12</v>
      </c>
      <c r="F23">
        <v>6.5</v>
      </c>
      <c r="G23" s="58">
        <f t="shared" si="1"/>
        <v>-3.0225876306927619E-8</v>
      </c>
      <c r="H23" s="58">
        <f t="shared" si="2"/>
        <v>-5.2792619571839384E-3</v>
      </c>
      <c r="I23">
        <f t="shared" si="20"/>
        <v>17.900222244149624</v>
      </c>
      <c r="J23">
        <f t="shared" si="3"/>
        <v>-7.1957946125453448E-2</v>
      </c>
      <c r="K23" t="str">
        <f t="shared" si="4"/>
        <v>37499.9999648164-1.14864457392231i</v>
      </c>
      <c r="L23" t="str">
        <f t="shared" si="5"/>
        <v>1000000000-48970761908.6609i</v>
      </c>
      <c r="M23" t="str">
        <f t="shared" si="6"/>
        <v>149999.990620216-0.459266262820654i</v>
      </c>
      <c r="N23">
        <f t="shared" si="21"/>
        <v>-13.979399654968427</v>
      </c>
      <c r="O23">
        <f t="shared" si="7"/>
        <v>-1.2636585137508415E-3</v>
      </c>
      <c r="P23" t="str">
        <f t="shared" si="8"/>
        <v>-4340609.99013126i</v>
      </c>
      <c r="Q23" t="str">
        <f t="shared" si="9"/>
        <v>9360-4013996.87775909i</v>
      </c>
      <c r="R23" t="str">
        <f t="shared" si="22"/>
        <v>2526.53196710022-2085462.41275092i</v>
      </c>
      <c r="S23" t="str">
        <f t="shared" si="10"/>
        <v>99993328.595307-816759.42703781i</v>
      </c>
      <c r="T23" t="str">
        <f t="shared" si="23"/>
        <v>45980.1434763853-2084095.85615645i</v>
      </c>
      <c r="U23" t="str">
        <f t="shared" si="24"/>
        <v>0.99999999894375-0.0000324999999656719i</v>
      </c>
      <c r="V23">
        <f t="shared" si="11"/>
        <v>66.380467207700306</v>
      </c>
      <c r="W23">
        <f t="shared" si="12"/>
        <v>-88.738003561186304</v>
      </c>
      <c r="X23">
        <f t="shared" si="25"/>
        <v>-4.5872363280277123E-9</v>
      </c>
      <c r="Y23">
        <f t="shared" si="13"/>
        <v>-1.8621132209212133E-3</v>
      </c>
      <c r="AA23" s="123">
        <f t="shared" si="26"/>
        <v>17.900222213923747</v>
      </c>
      <c r="AB23" s="123">
        <f t="shared" si="27"/>
        <v>-7.7237208082637385E-2</v>
      </c>
      <c r="AC23">
        <f t="shared" si="28"/>
        <v>52.401067552731881</v>
      </c>
      <c r="AD23">
        <f t="shared" si="29"/>
        <v>-88.739267219700054</v>
      </c>
      <c r="AE23" s="123">
        <f t="shared" si="30"/>
        <v>70.301289766655628</v>
      </c>
      <c r="AF23" s="123">
        <f t="shared" si="31"/>
        <v>-88.816504427782689</v>
      </c>
      <c r="AI23" s="123">
        <f t="shared" si="32"/>
        <v>0</v>
      </c>
      <c r="AJ23" s="123">
        <f t="shared" si="33"/>
        <v>0</v>
      </c>
      <c r="AK23" s="123">
        <f t="shared" si="34"/>
        <v>0</v>
      </c>
      <c r="AL23" s="123">
        <f t="shared" si="35"/>
        <v>0</v>
      </c>
      <c r="AM23" s="123">
        <f t="shared" si="36"/>
        <v>0</v>
      </c>
      <c r="AN23" s="123">
        <f t="shared" si="37"/>
        <v>0</v>
      </c>
      <c r="AO23" s="123">
        <f t="shared" si="38"/>
        <v>0</v>
      </c>
      <c r="AP23" s="123"/>
      <c r="AQ23" s="123">
        <f t="shared" si="39"/>
        <v>0</v>
      </c>
      <c r="AR23" s="123">
        <f t="shared" si="40"/>
        <v>0</v>
      </c>
      <c r="AS23" s="123">
        <f t="shared" si="41"/>
        <v>0</v>
      </c>
      <c r="AW23" t="str">
        <f t="shared" si="14"/>
        <v>17140</v>
      </c>
      <c r="AX23" t="str">
        <f t="shared" si="15"/>
        <v>8506-3942895.48378912i</v>
      </c>
      <c r="AY23" t="str">
        <f t="shared" si="42"/>
        <v>17139.5153900023-74.5054422314253i</v>
      </c>
      <c r="AZ23">
        <f t="shared" si="16"/>
        <v>10.700652745149482</v>
      </c>
      <c r="BA23">
        <f t="shared" si="17"/>
        <v>-0.24906313237468666</v>
      </c>
      <c r="BB23">
        <f t="shared" si="18"/>
        <v>-2.099715943775236</v>
      </c>
      <c r="BC23">
        <f t="shared" si="19"/>
        <v>5.3464678265240193E-2</v>
      </c>
      <c r="BD23" s="123">
        <f t="shared" si="43"/>
        <v>-2.0997159740011124</v>
      </c>
      <c r="BE23" s="123">
        <f t="shared" si="44"/>
        <v>4.8185416308056256E-2</v>
      </c>
      <c r="BF23">
        <f t="shared" si="45"/>
        <v>77.081119952849789</v>
      </c>
      <c r="BG23">
        <f t="shared" si="46"/>
        <v>-88.98706669356099</v>
      </c>
      <c r="BH23" s="123">
        <f t="shared" si="47"/>
        <v>74.981403978848675</v>
      </c>
      <c r="BI23" s="123">
        <f t="shared" si="48"/>
        <v>-88.938881277252932</v>
      </c>
      <c r="BL23" s="123">
        <f t="shared" si="49"/>
        <v>0</v>
      </c>
      <c r="BM23" s="123">
        <f t="shared" si="50"/>
        <v>0</v>
      </c>
      <c r="BN23" s="123">
        <f t="shared" si="51"/>
        <v>0</v>
      </c>
      <c r="BO23" s="123">
        <f t="shared" si="52"/>
        <v>0</v>
      </c>
      <c r="BP23" s="123">
        <f t="shared" si="53"/>
        <v>0</v>
      </c>
      <c r="BQ23" s="123">
        <f t="shared" si="54"/>
        <v>0</v>
      </c>
      <c r="BR23" s="123">
        <f t="shared" si="55"/>
        <v>0</v>
      </c>
      <c r="BS23" s="123"/>
      <c r="BT23" s="123"/>
      <c r="BU23" s="123">
        <f t="shared" si="56"/>
        <v>0</v>
      </c>
      <c r="BV23" s="123">
        <f t="shared" si="57"/>
        <v>0</v>
      </c>
      <c r="BX23" s="123">
        <f t="shared" si="58"/>
        <v>0</v>
      </c>
      <c r="BY23" s="123"/>
    </row>
    <row r="24" spans="2:77" x14ac:dyDescent="0.25">
      <c r="B24" s="139" t="s">
        <v>441</v>
      </c>
      <c r="C24" t="s">
        <v>453</v>
      </c>
      <c r="D24">
        <f>1/R.load*(R.load*Wsh*L.out)/(R.load+Wsh*L.out)</f>
        <v>0.78525847247566116</v>
      </c>
      <c r="E24">
        <v>13</v>
      </c>
      <c r="F24">
        <v>7</v>
      </c>
      <c r="G24" s="58">
        <f t="shared" si="1"/>
        <v>-3.5054858940153433E-8</v>
      </c>
      <c r="H24" s="58">
        <f t="shared" si="2"/>
        <v>-5.6853590289378904E-3</v>
      </c>
      <c r="I24">
        <f t="shared" si="20"/>
        <v>17.900217391641753</v>
      </c>
      <c r="J24">
        <f t="shared" si="3"/>
        <v>-7.7493075142850101E-2</v>
      </c>
      <c r="K24" t="str">
        <f t="shared" si="4"/>
        <v>37499.9999591954-1.23700184865399i</v>
      </c>
      <c r="L24" t="str">
        <f t="shared" si="5"/>
        <v>1000000000-45472850343.7566i</v>
      </c>
      <c r="M24" t="str">
        <f t="shared" si="6"/>
        <v>149999.989122396-0.494561493153427i</v>
      </c>
      <c r="N24">
        <f t="shared" si="21"/>
        <v>-13.97939958602387</v>
      </c>
      <c r="O24">
        <f t="shared" si="7"/>
        <v>-1.3608730773952216E-3</v>
      </c>
      <c r="P24" t="str">
        <f t="shared" si="8"/>
        <v>-4030566.4194076i</v>
      </c>
      <c r="Q24" t="str">
        <f t="shared" si="9"/>
        <v>9360-3727282.81506201i</v>
      </c>
      <c r="R24" t="str">
        <f t="shared" si="22"/>
        <v>2526.53146045857-1936501.23175996i</v>
      </c>
      <c r="S24" t="str">
        <f t="shared" si="10"/>
        <v>99992262.8320531-879577.700330214i</v>
      </c>
      <c r="T24" t="str">
        <f t="shared" si="23"/>
        <v>39996.3182810252-1935348.14027829i</v>
      </c>
      <c r="U24" t="str">
        <f t="shared" si="24"/>
        <v>0.999999998775-0.000034999999957125i</v>
      </c>
      <c r="V24">
        <f t="shared" si="11"/>
        <v>65.737036427082458</v>
      </c>
      <c r="W24">
        <f t="shared" si="12"/>
        <v>-88.818105534252837</v>
      </c>
      <c r="X24">
        <f t="shared" si="25"/>
        <v>-5.320106880804311E-9</v>
      </c>
      <c r="Y24">
        <f t="shared" si="13"/>
        <v>-2.0053526993408116E-3</v>
      </c>
      <c r="AA24" s="123">
        <f t="shared" si="26"/>
        <v>17.900217356586893</v>
      </c>
      <c r="AB24" s="123">
        <f t="shared" si="27"/>
        <v>-8.3178434171787996E-2</v>
      </c>
      <c r="AC24">
        <f t="shared" si="28"/>
        <v>51.757636841058584</v>
      </c>
      <c r="AD24">
        <f t="shared" si="29"/>
        <v>-88.819466407330225</v>
      </c>
      <c r="AE24" s="123">
        <f t="shared" si="30"/>
        <v>69.657854197645477</v>
      </c>
      <c r="AF24" s="123">
        <f t="shared" si="31"/>
        <v>-88.90264484150201</v>
      </c>
      <c r="AI24" s="123">
        <f t="shared" si="32"/>
        <v>0</v>
      </c>
      <c r="AJ24" s="123">
        <f t="shared" si="33"/>
        <v>0</v>
      </c>
      <c r="AK24" s="123">
        <f t="shared" si="34"/>
        <v>0</v>
      </c>
      <c r="AL24" s="123">
        <f t="shared" si="35"/>
        <v>0</v>
      </c>
      <c r="AM24" s="123">
        <f t="shared" si="36"/>
        <v>0</v>
      </c>
      <c r="AN24" s="123">
        <f t="shared" si="37"/>
        <v>0</v>
      </c>
      <c r="AO24" s="123">
        <f t="shared" si="38"/>
        <v>0</v>
      </c>
      <c r="AP24" s="123"/>
      <c r="AQ24" s="123">
        <f t="shared" si="39"/>
        <v>0</v>
      </c>
      <c r="AR24" s="123">
        <f t="shared" si="40"/>
        <v>0</v>
      </c>
      <c r="AS24" s="123">
        <f t="shared" si="41"/>
        <v>0</v>
      </c>
      <c r="AW24" t="str">
        <f t="shared" si="14"/>
        <v>17140</v>
      </c>
      <c r="AX24" t="str">
        <f t="shared" si="15"/>
        <v>8506-3661260.0920899i</v>
      </c>
      <c r="AY24" t="str">
        <f t="shared" si="42"/>
        <v>17139.4379709018-80.2360877984124i</v>
      </c>
      <c r="AZ24">
        <f t="shared" si="16"/>
        <v>10.700626621383954</v>
      </c>
      <c r="BA24">
        <f t="shared" si="17"/>
        <v>-0.26822096368064952</v>
      </c>
      <c r="BB24">
        <f t="shared" si="18"/>
        <v>-2.0997109211160021</v>
      </c>
      <c r="BC24">
        <f t="shared" si="19"/>
        <v>5.7577206757748245E-2</v>
      </c>
      <c r="BD24" s="123">
        <f t="shared" si="43"/>
        <v>-2.0997109561708611</v>
      </c>
      <c r="BE24" s="123">
        <f t="shared" si="44"/>
        <v>5.1891847728810357E-2</v>
      </c>
      <c r="BF24">
        <f t="shared" si="45"/>
        <v>76.437663048466419</v>
      </c>
      <c r="BG24">
        <f t="shared" si="46"/>
        <v>-89.086326497933484</v>
      </c>
      <c r="BH24" s="123">
        <f t="shared" si="47"/>
        <v>74.337952092295552</v>
      </c>
      <c r="BI24" s="123">
        <f t="shared" si="48"/>
        <v>-89.034434650204673</v>
      </c>
      <c r="BL24" s="123">
        <f t="shared" si="49"/>
        <v>0</v>
      </c>
      <c r="BM24" s="123">
        <f t="shared" si="50"/>
        <v>0</v>
      </c>
      <c r="BN24" s="123">
        <f t="shared" si="51"/>
        <v>0</v>
      </c>
      <c r="BO24" s="123">
        <f t="shared" si="52"/>
        <v>0</v>
      </c>
      <c r="BP24" s="123">
        <f t="shared" si="53"/>
        <v>0</v>
      </c>
      <c r="BQ24" s="123">
        <f t="shared" si="54"/>
        <v>0</v>
      </c>
      <c r="BR24" s="123">
        <f t="shared" si="55"/>
        <v>0</v>
      </c>
      <c r="BS24" s="123"/>
      <c r="BT24" s="123"/>
      <c r="BU24" s="123">
        <f t="shared" si="56"/>
        <v>0</v>
      </c>
      <c r="BV24" s="123">
        <f t="shared" si="57"/>
        <v>0</v>
      </c>
      <c r="BX24" s="123">
        <f t="shared" si="58"/>
        <v>0</v>
      </c>
      <c r="BY24" s="123"/>
    </row>
    <row r="25" spans="2:77" x14ac:dyDescent="0.25">
      <c r="E25">
        <v>14</v>
      </c>
      <c r="F25">
        <v>7.5</v>
      </c>
      <c r="G25" s="58">
        <f t="shared" si="1"/>
        <v>-4.0241554994121946E-8</v>
      </c>
      <c r="H25" s="58">
        <f t="shared" si="2"/>
        <v>-6.0914561002750845E-3</v>
      </c>
      <c r="I25">
        <f t="shared" si="20"/>
        <v>17.900212179702923</v>
      </c>
      <c r="J25">
        <f t="shared" si="3"/>
        <v>-8.3028182469973594E-2</v>
      </c>
      <c r="K25" t="str">
        <f t="shared" si="4"/>
        <v>37499.999953158-1.32535912334447i</v>
      </c>
      <c r="L25" t="str">
        <f t="shared" si="5"/>
        <v>1000000000-42441326987.5061i</v>
      </c>
      <c r="M25" t="str">
        <f t="shared" si="6"/>
        <v>149999.987513848-0.52984940789486i</v>
      </c>
      <c r="N25">
        <f t="shared" si="21"/>
        <v>-13.979399511982617</v>
      </c>
      <c r="O25">
        <f t="shared" si="7"/>
        <v>-1.4580898755703329E-3</v>
      </c>
      <c r="P25" t="str">
        <f t="shared" si="8"/>
        <v>-3761861.99144709i</v>
      </c>
      <c r="Q25" t="str">
        <f t="shared" si="9"/>
        <v>9360-3478797.29405788i</v>
      </c>
      <c r="R25" t="str">
        <f t="shared" si="22"/>
        <v>2526.53091628815-1807401.57059911i</v>
      </c>
      <c r="S25" t="str">
        <f t="shared" si="10"/>
        <v>99991118.1486779-942393.890540826i</v>
      </c>
      <c r="T25" t="str">
        <f t="shared" si="23"/>
        <v>35168.3511521201-1806412.59533636i</v>
      </c>
      <c r="U25" t="str">
        <f t="shared" si="24"/>
        <v>0.99999999859375-0.0000374999999472656i</v>
      </c>
      <c r="V25">
        <f t="shared" si="11"/>
        <v>65.137984830005223</v>
      </c>
      <c r="W25">
        <f t="shared" si="12"/>
        <v>-88.886838516876949</v>
      </c>
      <c r="X25">
        <f t="shared" si="25"/>
        <v>-6.1072671413927652E-9</v>
      </c>
      <c r="Y25">
        <f t="shared" si="13"/>
        <v>-2.1485921777353433E-3</v>
      </c>
      <c r="AA25" s="123">
        <f t="shared" si="26"/>
        <v>17.900212139461367</v>
      </c>
      <c r="AB25" s="123">
        <f t="shared" si="27"/>
        <v>-8.9119638570248683E-2</v>
      </c>
      <c r="AC25">
        <f t="shared" si="28"/>
        <v>51.158585318022602</v>
      </c>
      <c r="AD25">
        <f t="shared" si="29"/>
        <v>-88.888296606752519</v>
      </c>
      <c r="AE25" s="123">
        <f t="shared" si="30"/>
        <v>69.058797457483962</v>
      </c>
      <c r="AF25" s="123">
        <f t="shared" si="31"/>
        <v>-88.977416245322772</v>
      </c>
      <c r="AI25" s="123">
        <f t="shared" si="32"/>
        <v>0</v>
      </c>
      <c r="AJ25" s="123">
        <f t="shared" si="33"/>
        <v>0</v>
      </c>
      <c r="AK25" s="123">
        <f t="shared" si="34"/>
        <v>0</v>
      </c>
      <c r="AL25" s="123">
        <f t="shared" si="35"/>
        <v>0</v>
      </c>
      <c r="AM25" s="123">
        <f t="shared" si="36"/>
        <v>0</v>
      </c>
      <c r="AN25" s="123">
        <f t="shared" si="37"/>
        <v>0</v>
      </c>
      <c r="AO25" s="123">
        <f t="shared" si="38"/>
        <v>0</v>
      </c>
      <c r="AP25" s="123"/>
      <c r="AQ25" s="123">
        <f t="shared" si="39"/>
        <v>0</v>
      </c>
      <c r="AR25" s="123">
        <f t="shared" si="40"/>
        <v>0</v>
      </c>
      <c r="AS25" s="123">
        <f t="shared" si="41"/>
        <v>0</v>
      </c>
      <c r="AW25" t="str">
        <f t="shared" si="14"/>
        <v>17140</v>
      </c>
      <c r="AX25" t="str">
        <f t="shared" si="15"/>
        <v>8506-3417176.08595057i</v>
      </c>
      <c r="AY25" t="str">
        <f t="shared" si="42"/>
        <v>17139.3548182189-85.9666128637104i</v>
      </c>
      <c r="AZ25">
        <f t="shared" si="16"/>
        <v>10.700598562743053</v>
      </c>
      <c r="BA25">
        <f t="shared" si="17"/>
        <v>-0.28737860139879473</v>
      </c>
      <c r="BB25">
        <f t="shared" si="18"/>
        <v>-2.0997055264351241</v>
      </c>
      <c r="BC25">
        <f t="shared" si="19"/>
        <v>6.1689704347436522E-2</v>
      </c>
      <c r="BD25" s="123">
        <f t="shared" si="43"/>
        <v>-2.0997055666766791</v>
      </c>
      <c r="BE25" s="123">
        <f t="shared" si="44"/>
        <v>5.559824824716144E-2</v>
      </c>
      <c r="BF25">
        <f t="shared" si="45"/>
        <v>75.838583392748276</v>
      </c>
      <c r="BG25">
        <f t="shared" si="46"/>
        <v>-89.174217118275749</v>
      </c>
      <c r="BH25" s="123">
        <f t="shared" si="47"/>
        <v>73.738877826071601</v>
      </c>
      <c r="BI25" s="123">
        <f t="shared" si="48"/>
        <v>-89.118618870028584</v>
      </c>
      <c r="BL25" s="123">
        <f t="shared" si="49"/>
        <v>0</v>
      </c>
      <c r="BM25" s="123">
        <f t="shared" si="50"/>
        <v>0</v>
      </c>
      <c r="BN25" s="123">
        <f t="shared" si="51"/>
        <v>0</v>
      </c>
      <c r="BO25" s="123">
        <f t="shared" si="52"/>
        <v>0</v>
      </c>
      <c r="BP25" s="123">
        <f t="shared" si="53"/>
        <v>0</v>
      </c>
      <c r="BQ25" s="123">
        <f t="shared" si="54"/>
        <v>0</v>
      </c>
      <c r="BR25" s="123">
        <f t="shared" si="55"/>
        <v>0</v>
      </c>
      <c r="BS25" s="123"/>
      <c r="BT25" s="123"/>
      <c r="BU25" s="123">
        <f t="shared" si="56"/>
        <v>0</v>
      </c>
      <c r="BV25" s="123">
        <f t="shared" si="57"/>
        <v>0</v>
      </c>
      <c r="BX25" s="123">
        <f t="shared" si="58"/>
        <v>0</v>
      </c>
      <c r="BY25" s="123"/>
    </row>
    <row r="26" spans="2:77" x14ac:dyDescent="0.25">
      <c r="E26">
        <v>15</v>
      </c>
      <c r="F26">
        <v>8</v>
      </c>
      <c r="G26" s="58">
        <f t="shared" si="1"/>
        <v>-4.5785945182924543E-8</v>
      </c>
      <c r="H26" s="58">
        <f t="shared" si="2"/>
        <v>-6.4975531711656525E-3</v>
      </c>
      <c r="I26">
        <f t="shared" si="20"/>
        <v>17.900206608336148</v>
      </c>
      <c r="J26">
        <f t="shared" si="3"/>
        <v>-8.8563266557630471E-2</v>
      </c>
      <c r="K26" t="str">
        <f t="shared" si="4"/>
        <v>37499.9999467041-1.41371639799079i</v>
      </c>
      <c r="L26" t="str">
        <f t="shared" si="5"/>
        <v>1000000000-39788744050.787i</v>
      </c>
      <c r="M26" t="str">
        <f t="shared" si="6"/>
        <v>149999.985794619-0.565129486364725i</v>
      </c>
      <c r="N26">
        <f t="shared" si="21"/>
        <v>-13.979399432846826</v>
      </c>
      <c r="O26">
        <f t="shared" si="7"/>
        <v>-1.5553090673168194E-3</v>
      </c>
      <c r="P26" t="str">
        <f t="shared" si="8"/>
        <v>-3526745.61698165i</v>
      </c>
      <c r="Q26" t="str">
        <f t="shared" si="9"/>
        <v>9360-3261372.46317926i</v>
      </c>
      <c r="R26" t="str">
        <f t="shared" si="22"/>
        <v>2526.53033458897-1694439.39430019i</v>
      </c>
      <c r="S26" t="str">
        <f t="shared" si="10"/>
        <v>99989894.5506027-1005207.84896325i</v>
      </c>
      <c r="T26" t="str">
        <f t="shared" si="23"/>
        <v>31216.6666418526-1693579.1755804i</v>
      </c>
      <c r="U26" t="str">
        <f t="shared" si="24"/>
        <v>0.9999999984-0.000039999999936i</v>
      </c>
      <c r="V26">
        <f t="shared" si="11"/>
        <v>64.577585365025698</v>
      </c>
      <c r="W26">
        <f t="shared" si="12"/>
        <v>-88.946333291665724</v>
      </c>
      <c r="X26">
        <f t="shared" si="25"/>
        <v>-6.9487132524979666E-9</v>
      </c>
      <c r="Y26">
        <f t="shared" si="13"/>
        <v>-2.2918316561030207E-3</v>
      </c>
      <c r="AA26" s="123">
        <f t="shared" si="26"/>
        <v>17.900206562550203</v>
      </c>
      <c r="AB26" s="123">
        <f t="shared" si="27"/>
        <v>-9.5060819728796125E-2</v>
      </c>
      <c r="AC26">
        <f t="shared" si="28"/>
        <v>50.598185932178872</v>
      </c>
      <c r="AD26">
        <f t="shared" si="29"/>
        <v>-88.947888600733037</v>
      </c>
      <c r="AE26" s="123">
        <f t="shared" si="30"/>
        <v>68.498392494729075</v>
      </c>
      <c r="AF26" s="123">
        <f t="shared" si="31"/>
        <v>-89.042949420461838</v>
      </c>
      <c r="AI26" s="123">
        <f t="shared" si="32"/>
        <v>0</v>
      </c>
      <c r="AJ26" s="123">
        <f t="shared" si="33"/>
        <v>0</v>
      </c>
      <c r="AK26" s="123">
        <f t="shared" si="34"/>
        <v>0</v>
      </c>
      <c r="AL26" s="123">
        <f t="shared" si="35"/>
        <v>0</v>
      </c>
      <c r="AM26" s="123">
        <f t="shared" si="36"/>
        <v>0</v>
      </c>
      <c r="AN26" s="123">
        <f t="shared" si="37"/>
        <v>0</v>
      </c>
      <c r="AO26" s="123">
        <f t="shared" si="38"/>
        <v>0</v>
      </c>
      <c r="AP26" s="123"/>
      <c r="AQ26" s="123">
        <f t="shared" si="39"/>
        <v>0</v>
      </c>
      <c r="AR26" s="123">
        <f t="shared" si="40"/>
        <v>0</v>
      </c>
      <c r="AS26" s="123">
        <f t="shared" si="41"/>
        <v>0</v>
      </c>
      <c r="AW26" t="str">
        <f t="shared" si="14"/>
        <v>17140</v>
      </c>
      <c r="AX26" t="str">
        <f t="shared" si="15"/>
        <v>8506-3203602.58057866i</v>
      </c>
      <c r="AY26" t="str">
        <f t="shared" si="42"/>
        <v>17139.2659322031-91.6970088231795i</v>
      </c>
      <c r="AZ26">
        <f t="shared" si="16"/>
        <v>10.700568569273427</v>
      </c>
      <c r="BA26">
        <f t="shared" si="17"/>
        <v>-0.30653603170453603</v>
      </c>
      <c r="BB26">
        <f t="shared" si="18"/>
        <v>-2.0996997597385958</v>
      </c>
      <c r="BC26">
        <f t="shared" si="19"/>
        <v>6.5802168827255231E-2</v>
      </c>
      <c r="BD26" s="123">
        <f t="shared" si="43"/>
        <v>-2.0996998055245411</v>
      </c>
      <c r="BE26" s="123">
        <f t="shared" si="44"/>
        <v>5.9304615656089577E-2</v>
      </c>
      <c r="BF26">
        <f t="shared" si="45"/>
        <v>75.278153934299127</v>
      </c>
      <c r="BG26">
        <f t="shared" si="46"/>
        <v>-89.252869323370263</v>
      </c>
      <c r="BH26" s="123">
        <f t="shared" si="47"/>
        <v>73.17845412877459</v>
      </c>
      <c r="BI26" s="123">
        <f t="shared" si="48"/>
        <v>-89.193564707714174</v>
      </c>
      <c r="BL26" s="123">
        <f t="shared" si="49"/>
        <v>0</v>
      </c>
      <c r="BM26" s="123">
        <f t="shared" si="50"/>
        <v>0</v>
      </c>
      <c r="BN26" s="123">
        <f t="shared" si="51"/>
        <v>0</v>
      </c>
      <c r="BO26" s="123">
        <f t="shared" si="52"/>
        <v>0</v>
      </c>
      <c r="BP26" s="123">
        <f t="shared" si="53"/>
        <v>0</v>
      </c>
      <c r="BQ26" s="123">
        <f t="shared" si="54"/>
        <v>0</v>
      </c>
      <c r="BR26" s="123">
        <f t="shared" si="55"/>
        <v>0</v>
      </c>
      <c r="BS26" s="123"/>
      <c r="BT26" s="123"/>
      <c r="BU26" s="123">
        <f t="shared" si="56"/>
        <v>0</v>
      </c>
      <c r="BV26" s="123">
        <f t="shared" si="57"/>
        <v>0</v>
      </c>
      <c r="BX26" s="123">
        <f t="shared" si="58"/>
        <v>0</v>
      </c>
      <c r="BY26" s="123"/>
    </row>
    <row r="27" spans="2:77" x14ac:dyDescent="0.25">
      <c r="E27">
        <v>16</v>
      </c>
      <c r="F27">
        <v>8.5</v>
      </c>
      <c r="G27" s="58">
        <f t="shared" si="1"/>
        <v>-5.1688035293211017E-8</v>
      </c>
      <c r="H27" s="58">
        <f t="shared" si="2"/>
        <v>-6.9036502415798931E-3</v>
      </c>
      <c r="I27">
        <f t="shared" si="20"/>
        <v>17.900200677544653</v>
      </c>
      <c r="J27">
        <f t="shared" si="3"/>
        <v>-9.4098325856649664E-2</v>
      </c>
      <c r="K27" t="str">
        <f t="shared" si="4"/>
        <v>37499.999939834-1.50207367259003i</v>
      </c>
      <c r="L27" t="str">
        <f t="shared" si="5"/>
        <v>1000000000-37448229694.8583i</v>
      </c>
      <c r="M27" t="str">
        <f t="shared" si="6"/>
        <v>149999.983964762-0.600401208287908i</v>
      </c>
      <c r="N27">
        <f t="shared" si="21"/>
        <v>-13.979399348618841</v>
      </c>
      <c r="O27">
        <f t="shared" si="7"/>
        <v>-1.6525308115516103E-3</v>
      </c>
      <c r="P27" t="str">
        <f t="shared" si="8"/>
        <v>-3319289.99245332i</v>
      </c>
      <c r="Q27" t="str">
        <f t="shared" si="9"/>
        <v>9360-3069527.02416872i</v>
      </c>
      <c r="R27" t="str">
        <f t="shared" si="22"/>
        <v>2526.52971536112-1594766.91141696i</v>
      </c>
      <c r="S27" t="str">
        <f t="shared" si="10"/>
        <v>99988592.0436227-1068019.42690873i</v>
      </c>
      <c r="T27" t="str">
        <f t="shared" si="23"/>
        <v>27941.3702974307-1594009.51672676i</v>
      </c>
      <c r="U27" t="str">
        <f t="shared" si="24"/>
        <v>0.99999999819375-0.0000424999999232344i</v>
      </c>
      <c r="V27">
        <f t="shared" si="11"/>
        <v>64.051152422413168</v>
      </c>
      <c r="W27">
        <f t="shared" si="12"/>
        <v>-88.998219523627142</v>
      </c>
      <c r="X27">
        <f t="shared" si="25"/>
        <v>-7.8444452141356898E-9</v>
      </c>
      <c r="Y27">
        <f t="shared" si="13"/>
        <v>-2.4350711344420495E-3</v>
      </c>
      <c r="AA27" s="123">
        <f t="shared" si="26"/>
        <v>17.900200625856616</v>
      </c>
      <c r="AB27" s="123">
        <f t="shared" si="27"/>
        <v>-0.10100197609822956</v>
      </c>
      <c r="AC27">
        <f t="shared" si="28"/>
        <v>50.071753073794326</v>
      </c>
      <c r="AD27">
        <f t="shared" si="29"/>
        <v>-88.999872054438697</v>
      </c>
      <c r="AE27" s="123">
        <f t="shared" si="30"/>
        <v>67.971953699650939</v>
      </c>
      <c r="AF27" s="123">
        <f t="shared" si="31"/>
        <v>-89.100874030536929</v>
      </c>
      <c r="AI27" s="123">
        <f t="shared" si="32"/>
        <v>0</v>
      </c>
      <c r="AJ27" s="123">
        <f t="shared" si="33"/>
        <v>0</v>
      </c>
      <c r="AK27" s="123">
        <f t="shared" si="34"/>
        <v>0</v>
      </c>
      <c r="AL27" s="123">
        <f t="shared" si="35"/>
        <v>0</v>
      </c>
      <c r="AM27" s="123">
        <f t="shared" si="36"/>
        <v>0</v>
      </c>
      <c r="AN27" s="123">
        <f t="shared" si="37"/>
        <v>0</v>
      </c>
      <c r="AO27" s="123">
        <f t="shared" si="38"/>
        <v>0</v>
      </c>
      <c r="AP27" s="123"/>
      <c r="AQ27" s="123">
        <f t="shared" si="39"/>
        <v>0</v>
      </c>
      <c r="AR27" s="123">
        <f t="shared" si="40"/>
        <v>0</v>
      </c>
      <c r="AS27" s="123">
        <f t="shared" si="41"/>
        <v>0</v>
      </c>
      <c r="AW27" t="str">
        <f t="shared" si="14"/>
        <v>17140</v>
      </c>
      <c r="AX27" t="str">
        <f t="shared" si="15"/>
        <v>8506-3015155.36995639i</v>
      </c>
      <c r="AY27" t="str">
        <f t="shared" si="42"/>
        <v>17139.1713131216-97.4272670733268i</v>
      </c>
      <c r="AZ27">
        <f t="shared" si="16"/>
        <v>10.700536641025188</v>
      </c>
      <c r="BA27">
        <f t="shared" si="17"/>
        <v>-0.32569324077392714</v>
      </c>
      <c r="BB27">
        <f t="shared" si="18"/>
        <v>-2.0996936210324701</v>
      </c>
      <c r="BC27">
        <f t="shared" si="19"/>
        <v>6.9914597990210131E-2</v>
      </c>
      <c r="BD27" s="123">
        <f t="shared" si="43"/>
        <v>-2.0996936727205053</v>
      </c>
      <c r="BE27" s="123">
        <f t="shared" si="44"/>
        <v>6.3010947748630239E-2</v>
      </c>
      <c r="BF27">
        <f t="shared" si="45"/>
        <v>74.751689063438363</v>
      </c>
      <c r="BG27">
        <f t="shared" si="46"/>
        <v>-89.323912764401072</v>
      </c>
      <c r="BH27" s="123">
        <f t="shared" si="47"/>
        <v>72.651995390717858</v>
      </c>
      <c r="BI27" s="123">
        <f t="shared" si="48"/>
        <v>-89.260901816652435</v>
      </c>
      <c r="BL27" s="123">
        <f t="shared" si="49"/>
        <v>0</v>
      </c>
      <c r="BM27" s="123">
        <f t="shared" si="50"/>
        <v>0</v>
      </c>
      <c r="BN27" s="123">
        <f t="shared" si="51"/>
        <v>0</v>
      </c>
      <c r="BO27" s="123">
        <f t="shared" si="52"/>
        <v>0</v>
      </c>
      <c r="BP27" s="123">
        <f t="shared" si="53"/>
        <v>0</v>
      </c>
      <c r="BQ27" s="123">
        <f t="shared" si="54"/>
        <v>0</v>
      </c>
      <c r="BR27" s="123">
        <f t="shared" si="55"/>
        <v>0</v>
      </c>
      <c r="BS27" s="123"/>
      <c r="BT27" s="123"/>
      <c r="BU27" s="123">
        <f t="shared" si="56"/>
        <v>0</v>
      </c>
      <c r="BV27" s="123">
        <f t="shared" si="57"/>
        <v>0</v>
      </c>
      <c r="BX27" s="123">
        <f t="shared" si="58"/>
        <v>0</v>
      </c>
      <c r="BY27" s="123"/>
    </row>
    <row r="28" spans="2:77" x14ac:dyDescent="0.25">
      <c r="E28">
        <v>17</v>
      </c>
      <c r="F28">
        <v>9</v>
      </c>
      <c r="G28" s="58">
        <f t="shared" si="1"/>
        <v>-5.7947832076002873E-8</v>
      </c>
      <c r="H28" s="58">
        <f t="shared" si="2"/>
        <v>-7.3097473114880534E-3</v>
      </c>
      <c r="I28">
        <f t="shared" si="20"/>
        <v>17.900194387331876</v>
      </c>
      <c r="J28">
        <f t="shared" si="3"/>
        <v>-9.9633358817885348E-2</v>
      </c>
      <c r="K28" t="str">
        <f t="shared" si="4"/>
        <v>37499.9999325475-1.59043094713924i</v>
      </c>
      <c r="L28" t="str">
        <f t="shared" si="5"/>
        <v>1000000000-35367772489.5884i</v>
      </c>
      <c r="M28" t="str">
        <f t="shared" si="6"/>
        <v>149999.98202433-0.63566405377572i</v>
      </c>
      <c r="N28">
        <f t="shared" si="21"/>
        <v>-13.979399259301266</v>
      </c>
      <c r="O28">
        <f t="shared" si="7"/>
        <v>-1.7497552670736371E-3</v>
      </c>
      <c r="P28" t="str">
        <f t="shared" si="8"/>
        <v>-3134884.99287258i</v>
      </c>
      <c r="Q28" t="str">
        <f t="shared" si="9"/>
        <v>9360-2898997.74504823i</v>
      </c>
      <c r="R28" t="str">
        <f t="shared" si="22"/>
        <v>2526.52905860465-1506169.17304673i</v>
      </c>
      <c r="S28" t="str">
        <f t="shared" si="10"/>
        <v>99987210.6339064-1130828.47570726i</v>
      </c>
      <c r="T28" t="str">
        <f t="shared" si="23"/>
        <v>25196.4746749334-1505495.19034045i</v>
      </c>
      <c r="U28" t="str">
        <f t="shared" si="24"/>
        <v>0.999999997975-0.000044999999908875i</v>
      </c>
      <c r="V28">
        <f t="shared" si="11"/>
        <v>63.554803749200019</v>
      </c>
      <c r="W28">
        <f t="shared" si="12"/>
        <v>-89.043764885288056</v>
      </c>
      <c r="X28">
        <f t="shared" si="25"/>
        <v>-8.7944639906502004E-9</v>
      </c>
      <c r="Y28">
        <f t="shared" si="13"/>
        <v>-2.5783106127506366E-3</v>
      </c>
      <c r="AA28" s="123">
        <f t="shared" si="26"/>
        <v>17.900194329384043</v>
      </c>
      <c r="AB28" s="123">
        <f t="shared" si="27"/>
        <v>-0.1069431061293734</v>
      </c>
      <c r="AC28">
        <f t="shared" si="28"/>
        <v>49.575404489898752</v>
      </c>
      <c r="AD28">
        <f t="shared" si="29"/>
        <v>-89.045514640555126</v>
      </c>
      <c r="AE28" s="123">
        <f t="shared" si="30"/>
        <v>67.475598819282794</v>
      </c>
      <c r="AF28" s="123">
        <f t="shared" si="31"/>
        <v>-89.152457746684505</v>
      </c>
      <c r="AI28" s="123">
        <f t="shared" si="32"/>
        <v>0</v>
      </c>
      <c r="AJ28" s="123">
        <f t="shared" si="33"/>
        <v>0</v>
      </c>
      <c r="AK28" s="123">
        <f t="shared" si="34"/>
        <v>0</v>
      </c>
      <c r="AL28" s="123">
        <f t="shared" si="35"/>
        <v>0</v>
      </c>
      <c r="AM28" s="123">
        <f t="shared" si="36"/>
        <v>0</v>
      </c>
      <c r="AN28" s="123">
        <f t="shared" si="37"/>
        <v>0</v>
      </c>
      <c r="AO28" s="123">
        <f t="shared" si="38"/>
        <v>0</v>
      </c>
      <c r="AP28" s="123"/>
      <c r="AQ28" s="123">
        <f t="shared" si="39"/>
        <v>0</v>
      </c>
      <c r="AR28" s="123">
        <f t="shared" si="40"/>
        <v>0</v>
      </c>
      <c r="AS28" s="123">
        <f t="shared" si="41"/>
        <v>0</v>
      </c>
      <c r="AW28" t="str">
        <f t="shared" si="14"/>
        <v>17140</v>
      </c>
      <c r="AX28" t="str">
        <f t="shared" si="15"/>
        <v>8506-2847646.73829214i</v>
      </c>
      <c r="AY28" t="str">
        <f t="shared" si="42"/>
        <v>17139.0709612585-103.157379011349i</v>
      </c>
      <c r="AZ28">
        <f t="shared" si="16"/>
        <v>10.700502778051526</v>
      </c>
      <c r="BA28">
        <f t="shared" si="17"/>
        <v>-0.34485021478371114</v>
      </c>
      <c r="BB28">
        <f t="shared" si="18"/>
        <v>-2.099687110323706</v>
      </c>
      <c r="BC28">
        <f t="shared" si="19"/>
        <v>7.402698962937819E-2</v>
      </c>
      <c r="BD28" s="123">
        <f t="shared" si="43"/>
        <v>-2.0996871682715379</v>
      </c>
      <c r="BE28" s="123">
        <f t="shared" si="44"/>
        <v>6.6717242317890141E-2</v>
      </c>
      <c r="BF28">
        <f t="shared" si="45"/>
        <v>74.255306527251548</v>
      </c>
      <c r="BG28">
        <f t="shared" si="46"/>
        <v>-89.38861510007176</v>
      </c>
      <c r="BH28" s="123">
        <f t="shared" si="47"/>
        <v>72.155619358980005</v>
      </c>
      <c r="BI28" s="123">
        <f t="shared" si="48"/>
        <v>-89.321897857753868</v>
      </c>
      <c r="BL28" s="123">
        <f t="shared" si="49"/>
        <v>0</v>
      </c>
      <c r="BM28" s="123">
        <f t="shared" si="50"/>
        <v>0</v>
      </c>
      <c r="BN28" s="123">
        <f t="shared" si="51"/>
        <v>0</v>
      </c>
      <c r="BO28" s="123">
        <f t="shared" si="52"/>
        <v>0</v>
      </c>
      <c r="BP28" s="123">
        <f t="shared" si="53"/>
        <v>0</v>
      </c>
      <c r="BQ28" s="123">
        <f t="shared" si="54"/>
        <v>0</v>
      </c>
      <c r="BR28" s="123">
        <f t="shared" si="55"/>
        <v>0</v>
      </c>
      <c r="BS28" s="123"/>
      <c r="BT28" s="123"/>
      <c r="BU28" s="123">
        <f t="shared" si="56"/>
        <v>0</v>
      </c>
      <c r="BV28" s="123">
        <f t="shared" si="57"/>
        <v>0</v>
      </c>
      <c r="BX28" s="123">
        <f t="shared" si="58"/>
        <v>0</v>
      </c>
      <c r="BY28" s="123"/>
    </row>
    <row r="29" spans="2:77" x14ac:dyDescent="0.25">
      <c r="E29">
        <v>18</v>
      </c>
      <c r="F29">
        <v>9.5</v>
      </c>
      <c r="G29" s="58">
        <f t="shared" si="1"/>
        <v>-6.4565329746108626E-8</v>
      </c>
      <c r="H29" s="58">
        <f t="shared" si="2"/>
        <v>-7.7158443808603245E-3</v>
      </c>
      <c r="I29">
        <f t="shared" si="20"/>
        <v>17.900187737701433</v>
      </c>
      <c r="J29">
        <f t="shared" si="3"/>
        <v>-0.10516836389221784</v>
      </c>
      <c r="K29" t="str">
        <f t="shared" si="4"/>
        <v>37499.9999248445-1.67878822163546i</v>
      </c>
      <c r="L29" t="str">
        <f t="shared" si="5"/>
        <v>1000000000-33506310779.6101i</v>
      </c>
      <c r="M29" t="str">
        <f t="shared" si="6"/>
        <v>149999.979973381-0.670917503404104i</v>
      </c>
      <c r="N29">
        <f t="shared" si="21"/>
        <v>-13.979399164896709</v>
      </c>
      <c r="O29">
        <f t="shared" si="7"/>
        <v>-1.8469825925398803E-3</v>
      </c>
      <c r="P29" t="str">
        <f t="shared" si="8"/>
        <v>-2969891.04587929i</v>
      </c>
      <c r="Q29" t="str">
        <f t="shared" si="9"/>
        <v>9360-2746418.91636148i</v>
      </c>
      <c r="R29" t="str">
        <f t="shared" si="22"/>
        <v>2526.52836431962-1426897.53531903i</v>
      </c>
      <c r="S29" t="str">
        <f t="shared" si="10"/>
        <v>99985750.3279957-1193634.84670883i</v>
      </c>
      <c r="T29" t="str">
        <f t="shared" si="23"/>
        <v>22873.3517165922-1426292.16731429i</v>
      </c>
      <c r="U29" t="str">
        <f t="shared" si="24"/>
        <v>0.99999999774375-0.0000474999998928281i</v>
      </c>
      <c r="V29">
        <f t="shared" si="11"/>
        <v>63.085286723586016</v>
      </c>
      <c r="W29">
        <f t="shared" si="12"/>
        <v>-89.083970272739265</v>
      </c>
      <c r="X29">
        <f t="shared" si="25"/>
        <v>-9.7987695820593061E-9</v>
      </c>
      <c r="Y29">
        <f t="shared" si="13"/>
        <v>-2.7215500910269959E-3</v>
      </c>
      <c r="AA29" s="123">
        <f t="shared" si="26"/>
        <v>17.900187673136102</v>
      </c>
      <c r="AB29" s="123">
        <f t="shared" si="27"/>
        <v>-0.11288420827307817</v>
      </c>
      <c r="AC29">
        <f t="shared" si="28"/>
        <v>49.105887558689304</v>
      </c>
      <c r="AD29">
        <f t="shared" si="29"/>
        <v>-89.085817255331804</v>
      </c>
      <c r="AE29" s="123">
        <f t="shared" si="30"/>
        <v>67.006075231825406</v>
      </c>
      <c r="AF29" s="123">
        <f t="shared" si="31"/>
        <v>-89.198701463604877</v>
      </c>
      <c r="AI29" s="123">
        <f t="shared" si="32"/>
        <v>0</v>
      </c>
      <c r="AJ29" s="123">
        <f t="shared" si="33"/>
        <v>0</v>
      </c>
      <c r="AK29" s="123">
        <f t="shared" si="34"/>
        <v>0</v>
      </c>
      <c r="AL29" s="123">
        <f t="shared" si="35"/>
        <v>0</v>
      </c>
      <c r="AM29" s="123">
        <f t="shared" si="36"/>
        <v>0</v>
      </c>
      <c r="AN29" s="123">
        <f t="shared" si="37"/>
        <v>0</v>
      </c>
      <c r="AO29" s="123">
        <f t="shared" si="38"/>
        <v>0</v>
      </c>
      <c r="AP29" s="123"/>
      <c r="AQ29" s="123">
        <f t="shared" si="39"/>
        <v>0</v>
      </c>
      <c r="AR29" s="123">
        <f t="shared" si="40"/>
        <v>0</v>
      </c>
      <c r="AS29" s="123">
        <f t="shared" si="41"/>
        <v>0</v>
      </c>
      <c r="AW29" t="str">
        <f t="shared" si="14"/>
        <v>17140</v>
      </c>
      <c r="AX29" t="str">
        <f t="shared" si="15"/>
        <v>8506-2697770.5941715i</v>
      </c>
      <c r="AY29" t="str">
        <f t="shared" si="42"/>
        <v>17138.964876915-108.887336035174i</v>
      </c>
      <c r="AZ29">
        <f t="shared" si="16"/>
        <v>10.700466980408789</v>
      </c>
      <c r="BA29">
        <f t="shared" si="17"/>
        <v>-0.36400693991136429</v>
      </c>
      <c r="BB29">
        <f t="shared" si="18"/>
        <v>-2.0996802276190669</v>
      </c>
      <c r="BC29">
        <f t="shared" si="19"/>
        <v>7.8139341537893453E-2</v>
      </c>
      <c r="BD29" s="123">
        <f t="shared" si="43"/>
        <v>-2.0996802921843964</v>
      </c>
      <c r="BE29" s="123">
        <f t="shared" si="44"/>
        <v>7.0423497157033124E-2</v>
      </c>
      <c r="BF29">
        <f t="shared" si="45"/>
        <v>73.7857537039948</v>
      </c>
      <c r="BG29">
        <f t="shared" si="46"/>
        <v>-89.447977212650628</v>
      </c>
      <c r="BH29" s="123">
        <f t="shared" si="47"/>
        <v>71.686073411810398</v>
      </c>
      <c r="BI29" s="123">
        <f t="shared" si="48"/>
        <v>-89.37755371549359</v>
      </c>
      <c r="BL29" s="123">
        <f t="shared" si="49"/>
        <v>0</v>
      </c>
      <c r="BM29" s="123">
        <f t="shared" si="50"/>
        <v>0</v>
      </c>
      <c r="BN29" s="123">
        <f t="shared" si="51"/>
        <v>0</v>
      </c>
      <c r="BO29" s="123">
        <f t="shared" si="52"/>
        <v>0</v>
      </c>
      <c r="BP29" s="123">
        <f t="shared" si="53"/>
        <v>0</v>
      </c>
      <c r="BQ29" s="123">
        <f t="shared" si="54"/>
        <v>0</v>
      </c>
      <c r="BR29" s="123">
        <f t="shared" si="55"/>
        <v>0</v>
      </c>
      <c r="BS29" s="123"/>
      <c r="BT29" s="123"/>
      <c r="BU29" s="123">
        <f t="shared" si="56"/>
        <v>0</v>
      </c>
      <c r="BV29" s="123">
        <f t="shared" si="57"/>
        <v>0</v>
      </c>
      <c r="BX29" s="123">
        <f t="shared" si="58"/>
        <v>0</v>
      </c>
      <c r="BY29" s="123"/>
    </row>
    <row r="30" spans="2:77" x14ac:dyDescent="0.25">
      <c r="E30">
        <v>19</v>
      </c>
      <c r="F30">
        <v>10</v>
      </c>
      <c r="G30" s="58">
        <f t="shared" si="1"/>
        <v>-7.1540533125983239E-8</v>
      </c>
      <c r="H30" s="58">
        <f t="shared" si="2"/>
        <v>-8.1219414496669536E-3</v>
      </c>
      <c r="I30">
        <f t="shared" si="20"/>
        <v>17.900180728657187</v>
      </c>
      <c r="J30">
        <f t="shared" si="3"/>
        <v>-0.11070333953055637</v>
      </c>
      <c r="K30" t="str">
        <f t="shared" si="4"/>
        <v>37499.9999167253-1.76714549607577i</v>
      </c>
      <c r="L30" t="str">
        <f t="shared" si="5"/>
        <v>1000000000-31830995240.6296i</v>
      </c>
      <c r="M30" t="str">
        <f t="shared" si="6"/>
        <v>149999.977811974-0.706161038179467i</v>
      </c>
      <c r="N30">
        <f t="shared" si="21"/>
        <v>-13.979399065407854</v>
      </c>
      <c r="O30">
        <f t="shared" si="7"/>
        <v>-1.9442129464758778E-3</v>
      </c>
      <c r="P30" t="str">
        <f t="shared" si="8"/>
        <v>-2821396.49358532i</v>
      </c>
      <c r="Q30" t="str">
        <f t="shared" si="9"/>
        <v>9360-2609097.97054341i</v>
      </c>
      <c r="R30" t="str">
        <f t="shared" si="22"/>
        <v>2526.52763250605-1355553.08313742i</v>
      </c>
      <c r="S30" t="str">
        <f t="shared" si="10"/>
        <v>99984211.1328058-1256438.39128453i</v>
      </c>
      <c r="T30" t="str">
        <f t="shared" si="23"/>
        <v>20889.8214264199-1355004.86591624i</v>
      </c>
      <c r="U30" t="str">
        <f t="shared" si="24"/>
        <v>0.9999999975-0.000049999999875i</v>
      </c>
      <c r="V30">
        <f t="shared" si="11"/>
        <v>62.639849181883783</v>
      </c>
      <c r="W30">
        <f t="shared" si="12"/>
        <v>-89.119636471475147</v>
      </c>
      <c r="X30">
        <f t="shared" si="25"/>
        <v>-1.0857362952709313E-8</v>
      </c>
      <c r="Y30">
        <f t="shared" si="13"/>
        <v>-2.8647895692693382E-3</v>
      </c>
      <c r="AA30" s="123">
        <f t="shared" si="26"/>
        <v>17.900180657116653</v>
      </c>
      <c r="AB30" s="123">
        <f t="shared" si="27"/>
        <v>-0.11882528098022332</v>
      </c>
      <c r="AC30">
        <f t="shared" si="28"/>
        <v>48.660450116475928</v>
      </c>
      <c r="AD30">
        <f t="shared" si="29"/>
        <v>-89.121580684421616</v>
      </c>
      <c r="AE30" s="123">
        <f t="shared" si="30"/>
        <v>66.560630773592578</v>
      </c>
      <c r="AF30" s="123">
        <f t="shared" si="31"/>
        <v>-89.240405965401834</v>
      </c>
      <c r="AI30" s="123">
        <f t="shared" si="32"/>
        <v>0</v>
      </c>
      <c r="AJ30" s="123">
        <f t="shared" si="33"/>
        <v>0</v>
      </c>
      <c r="AK30" s="123">
        <f t="shared" si="34"/>
        <v>0</v>
      </c>
      <c r="AL30" s="123">
        <f t="shared" si="35"/>
        <v>0</v>
      </c>
      <c r="AM30" s="123">
        <f t="shared" si="36"/>
        <v>0</v>
      </c>
      <c r="AN30" s="123">
        <f t="shared" si="37"/>
        <v>0</v>
      </c>
      <c r="AO30" s="123">
        <f t="shared" si="38"/>
        <v>0</v>
      </c>
      <c r="AP30" s="123"/>
      <c r="AQ30" s="123">
        <f t="shared" si="39"/>
        <v>0</v>
      </c>
      <c r="AR30" s="123">
        <f t="shared" si="40"/>
        <v>0</v>
      </c>
      <c r="AS30" s="123">
        <f t="shared" si="41"/>
        <v>0</v>
      </c>
      <c r="AW30" t="str">
        <f t="shared" si="14"/>
        <v>17140</v>
      </c>
      <c r="AX30" t="str">
        <f t="shared" si="15"/>
        <v>8506-2562882.06446293i</v>
      </c>
      <c r="AY30" t="str">
        <f t="shared" si="42"/>
        <v>17138.85306041-114.617129543505i</v>
      </c>
      <c r="AZ30">
        <f t="shared" si="16"/>
        <v>10.700429248156802</v>
      </c>
      <c r="BA30">
        <f t="shared" si="17"/>
        <v>-0.38316340233512225</v>
      </c>
      <c r="BB30">
        <f t="shared" si="18"/>
        <v>-2.0996729729262111</v>
      </c>
      <c r="BC30">
        <f t="shared" si="19"/>
        <v>8.2251651508974385E-2</v>
      </c>
      <c r="BD30" s="123">
        <f t="shared" si="43"/>
        <v>-2.0996730444667442</v>
      </c>
      <c r="BE30" s="123">
        <f t="shared" si="44"/>
        <v>7.4129710059307435E-2</v>
      </c>
      <c r="BF30">
        <f t="shared" si="45"/>
        <v>73.340278430040584</v>
      </c>
      <c r="BG30">
        <f t="shared" si="46"/>
        <v>-89.502799873810275</v>
      </c>
      <c r="BH30" s="123">
        <f t="shared" si="47"/>
        <v>71.240605385573843</v>
      </c>
      <c r="BI30" s="123">
        <f t="shared" si="48"/>
        <v>-89.428670163750965</v>
      </c>
      <c r="BL30" s="123">
        <f t="shared" si="49"/>
        <v>0</v>
      </c>
      <c r="BM30" s="123">
        <f t="shared" si="50"/>
        <v>0</v>
      </c>
      <c r="BN30" s="123">
        <f t="shared" si="51"/>
        <v>0</v>
      </c>
      <c r="BO30" s="123">
        <f t="shared" si="52"/>
        <v>0</v>
      </c>
      <c r="BP30" s="123">
        <f t="shared" si="53"/>
        <v>0</v>
      </c>
      <c r="BQ30" s="123">
        <f t="shared" si="54"/>
        <v>0</v>
      </c>
      <c r="BR30" s="123">
        <f t="shared" si="55"/>
        <v>0</v>
      </c>
      <c r="BS30" s="123"/>
      <c r="BT30" s="123"/>
      <c r="BU30" s="123">
        <f t="shared" si="56"/>
        <v>0</v>
      </c>
      <c r="BV30" s="123">
        <f t="shared" si="57"/>
        <v>0</v>
      </c>
      <c r="BX30" s="123">
        <f t="shared" si="58"/>
        <v>0</v>
      </c>
      <c r="BY30" s="123"/>
    </row>
    <row r="31" spans="2:77" x14ac:dyDescent="0.25">
      <c r="E31">
        <v>20</v>
      </c>
      <c r="F31">
        <v>15</v>
      </c>
      <c r="G31" s="58">
        <f t="shared" si="1"/>
        <v>-1.6096618927231078E-7</v>
      </c>
      <c r="H31" s="58">
        <f t="shared" si="2"/>
        <v>-1.2182912100072758E-2</v>
      </c>
      <c r="I31">
        <f t="shared" si="20"/>
        <v>17.900090871450413</v>
      </c>
      <c r="J31">
        <f t="shared" si="3"/>
        <v>-0.16605113615692341</v>
      </c>
      <c r="K31" t="str">
        <f t="shared" si="4"/>
        <v>37499.9998126319-2.65071823675573i</v>
      </c>
      <c r="L31" t="str">
        <f t="shared" si="5"/>
        <v>1000000000-21220663493.7531i</v>
      </c>
      <c r="M31" t="str">
        <f t="shared" si="6"/>
        <v>149999.950138413-1.05793727610009i</v>
      </c>
      <c r="N31">
        <f t="shared" si="21"/>
        <v>-13.979397791613517</v>
      </c>
      <c r="O31">
        <f t="shared" si="7"/>
        <v>-2.9167178095010999E-3</v>
      </c>
      <c r="P31" t="str">
        <f t="shared" si="8"/>
        <v>-1880930.99572355i</v>
      </c>
      <c r="Q31" t="str">
        <f t="shared" si="9"/>
        <v>9360-1739398.64702894i</v>
      </c>
      <c r="R31" t="str">
        <f t="shared" si="22"/>
        <v>2526.51825031851-903705.684336447i</v>
      </c>
      <c r="S31" t="str">
        <f t="shared" si="10"/>
        <v>99964482.0586638-1884285.70271785i</v>
      </c>
      <c r="T31" t="str">
        <f t="shared" si="23"/>
        <v>10688.3670079433-903432.377950306i</v>
      </c>
      <c r="U31" t="str">
        <f t="shared" si="24"/>
        <v>0.999999994375-0.000074999999578125i</v>
      </c>
      <c r="V31">
        <f t="shared" si="11"/>
        <v>59.118520832171953</v>
      </c>
      <c r="W31">
        <f t="shared" si="12"/>
        <v>-89.326489994665749</v>
      </c>
      <c r="X31">
        <f t="shared" si="25"/>
        <v>-2.4429064734026222E-8</v>
      </c>
      <c r="Y31">
        <f t="shared" si="13"/>
        <v>-4.2971843494277739E-3</v>
      </c>
      <c r="AA31" s="123">
        <f t="shared" si="26"/>
        <v>17.900090710484225</v>
      </c>
      <c r="AB31" s="123">
        <f t="shared" si="27"/>
        <v>-0.17823404825699615</v>
      </c>
      <c r="AC31">
        <f t="shared" si="28"/>
        <v>45.139123040558438</v>
      </c>
      <c r="AD31">
        <f t="shared" si="29"/>
        <v>-89.329406712475247</v>
      </c>
      <c r="AE31" s="123">
        <f t="shared" si="30"/>
        <v>63.039213751042666</v>
      </c>
      <c r="AF31" s="123">
        <f t="shared" si="31"/>
        <v>-89.507640760732244</v>
      </c>
      <c r="AI31" s="123">
        <f t="shared" si="32"/>
        <v>0</v>
      </c>
      <c r="AJ31" s="123">
        <f t="shared" si="33"/>
        <v>0</v>
      </c>
      <c r="AK31" s="123">
        <f t="shared" si="34"/>
        <v>0</v>
      </c>
      <c r="AL31" s="123">
        <f t="shared" si="35"/>
        <v>0</v>
      </c>
      <c r="AM31" s="123">
        <f t="shared" si="36"/>
        <v>0</v>
      </c>
      <c r="AN31" s="123">
        <f t="shared" si="37"/>
        <v>0</v>
      </c>
      <c r="AO31" s="123">
        <f t="shared" si="38"/>
        <v>0</v>
      </c>
      <c r="AP31" s="123"/>
      <c r="AQ31" s="123">
        <f t="shared" si="39"/>
        <v>0</v>
      </c>
      <c r="AR31" s="123">
        <f t="shared" si="40"/>
        <v>0</v>
      </c>
      <c r="AS31" s="123">
        <f t="shared" si="41"/>
        <v>0</v>
      </c>
      <c r="AW31" t="str">
        <f t="shared" si="14"/>
        <v>17140</v>
      </c>
      <c r="AX31" t="str">
        <f t="shared" si="15"/>
        <v>8506-1708588.04297529i</v>
      </c>
      <c r="AY31" t="str">
        <f t="shared" si="42"/>
        <v>17137.4197088591-171.904179630062i</v>
      </c>
      <c r="AZ31">
        <f t="shared" si="16"/>
        <v>10.699945537556076</v>
      </c>
      <c r="BA31">
        <f t="shared" si="17"/>
        <v>-0.57471053771100522</v>
      </c>
      <c r="BB31">
        <f t="shared" si="18"/>
        <v>-2.0995799685706316</v>
      </c>
      <c r="BC31">
        <f t="shared" si="19"/>
        <v>0.12337195922757338</v>
      </c>
      <c r="BD31" s="123">
        <f t="shared" si="43"/>
        <v>-2.0995801295368208</v>
      </c>
      <c r="BE31" s="123">
        <f t="shared" si="44"/>
        <v>0.11118904712750062</v>
      </c>
      <c r="BF31">
        <f t="shared" si="45"/>
        <v>69.818466369728029</v>
      </c>
      <c r="BG31">
        <f t="shared" si="46"/>
        <v>-89.901200532376748</v>
      </c>
      <c r="BH31" s="123">
        <f t="shared" si="47"/>
        <v>67.71888624019121</v>
      </c>
      <c r="BI31" s="123">
        <f t="shared" si="48"/>
        <v>-89.790011485249252</v>
      </c>
      <c r="BL31" s="123">
        <f t="shared" si="49"/>
        <v>0</v>
      </c>
      <c r="BM31" s="123">
        <f t="shared" si="50"/>
        <v>0</v>
      </c>
      <c r="BN31" s="123">
        <f t="shared" si="51"/>
        <v>0</v>
      </c>
      <c r="BO31" s="123">
        <f t="shared" si="52"/>
        <v>0</v>
      </c>
      <c r="BP31" s="123">
        <f t="shared" si="53"/>
        <v>0</v>
      </c>
      <c r="BQ31" s="123">
        <f t="shared" si="54"/>
        <v>0</v>
      </c>
      <c r="BR31" s="123">
        <f t="shared" si="55"/>
        <v>0</v>
      </c>
      <c r="BS31" s="123"/>
      <c r="BT31" s="123"/>
      <c r="BU31" s="123">
        <f t="shared" si="56"/>
        <v>0</v>
      </c>
      <c r="BV31" s="123">
        <f t="shared" si="57"/>
        <v>0</v>
      </c>
      <c r="BX31" s="123">
        <f t="shared" si="58"/>
        <v>0</v>
      </c>
      <c r="BY31" s="123"/>
    </row>
    <row r="32" spans="2:77" x14ac:dyDescent="0.25">
      <c r="E32">
        <v>21</v>
      </c>
      <c r="F32">
        <v>20</v>
      </c>
      <c r="G32" s="58">
        <f t="shared" si="1"/>
        <v>-2.8616211964578774E-7</v>
      </c>
      <c r="H32" s="58">
        <f t="shared" si="2"/>
        <v>-1.6243882661165471E-2</v>
      </c>
      <c r="I32">
        <f t="shared" si="20"/>
        <v>17.899965078637543</v>
      </c>
      <c r="J32">
        <f t="shared" si="3"/>
        <v>-0.22139428544792619</v>
      </c>
      <c r="K32" t="str">
        <f t="shared" si="4"/>
        <v>37499.9996669009-3.53429096860616i</v>
      </c>
      <c r="L32" t="str">
        <f t="shared" si="5"/>
        <v>1000000000-15915497620.3148i</v>
      </c>
      <c r="M32" t="str">
        <f t="shared" si="6"/>
        <v>149999.911509724-1.40815555911466i</v>
      </c>
      <c r="N32">
        <f t="shared" si="21"/>
        <v>-13.9793960135937</v>
      </c>
      <c r="O32">
        <f t="shared" si="7"/>
        <v>-3.8896985466449143E-3</v>
      </c>
      <c r="P32" t="str">
        <f t="shared" si="8"/>
        <v>-1410698.24679266i</v>
      </c>
      <c r="Q32" t="str">
        <f t="shared" si="9"/>
        <v>9360-1304548.9852717i</v>
      </c>
      <c r="R32" t="str">
        <f t="shared" si="22"/>
        <v>2526.50511537304-677783.073575448i</v>
      </c>
      <c r="S32" t="str">
        <f t="shared" si="10"/>
        <v>99936874.4316596-2511687.08175605i</v>
      </c>
      <c r="T32" t="str">
        <f t="shared" si="23"/>
        <v>7117.35626170561-677602.291748116i</v>
      </c>
      <c r="U32" t="str">
        <f t="shared" si="24"/>
        <v>0.99999999-0.000099999999i</v>
      </c>
      <c r="V32">
        <f t="shared" si="11"/>
        <v>56.619976404115519</v>
      </c>
      <c r="W32">
        <f t="shared" si="12"/>
        <v>-89.40395050995852</v>
      </c>
      <c r="X32">
        <f t="shared" si="25"/>
        <v>-4.3429448999285063E-8</v>
      </c>
      <c r="Y32">
        <f t="shared" si="13"/>
        <v>-5.729579124214729E-3</v>
      </c>
      <c r="AA32" s="123">
        <f t="shared" si="26"/>
        <v>17.899964792475423</v>
      </c>
      <c r="AB32" s="123">
        <f t="shared" si="27"/>
        <v>-0.23763816810909166</v>
      </c>
      <c r="AC32">
        <f t="shared" si="28"/>
        <v>42.640580390521819</v>
      </c>
      <c r="AD32">
        <f t="shared" si="29"/>
        <v>-89.407840208505164</v>
      </c>
      <c r="AE32" s="123">
        <f t="shared" si="30"/>
        <v>60.540545182997242</v>
      </c>
      <c r="AF32" s="123">
        <f t="shared" si="31"/>
        <v>-89.64547837661425</v>
      </c>
      <c r="AI32" s="123">
        <f t="shared" si="32"/>
        <v>0</v>
      </c>
      <c r="AJ32" s="123">
        <f t="shared" si="33"/>
        <v>0</v>
      </c>
      <c r="AK32" s="123">
        <f t="shared" si="34"/>
        <v>0</v>
      </c>
      <c r="AL32" s="123">
        <f t="shared" si="35"/>
        <v>0</v>
      </c>
      <c r="AM32" s="123">
        <f t="shared" si="36"/>
        <v>0</v>
      </c>
      <c r="AN32" s="123">
        <f t="shared" si="37"/>
        <v>0</v>
      </c>
      <c r="AO32" s="123">
        <f t="shared" si="38"/>
        <v>0</v>
      </c>
      <c r="AP32" s="123"/>
      <c r="AQ32" s="123">
        <f t="shared" si="39"/>
        <v>0</v>
      </c>
      <c r="AR32" s="123">
        <f t="shared" si="40"/>
        <v>0</v>
      </c>
      <c r="AS32" s="123">
        <f t="shared" si="41"/>
        <v>0</v>
      </c>
      <c r="AW32" t="str">
        <f t="shared" si="14"/>
        <v>17140</v>
      </c>
      <c r="AX32" t="str">
        <f t="shared" si="15"/>
        <v>8506-1281441.03223146i</v>
      </c>
      <c r="AY32" t="str">
        <f t="shared" si="42"/>
        <v>17135.4136192614-229.165424153934i</v>
      </c>
      <c r="AZ32">
        <f t="shared" si="16"/>
        <v>10.699268455584816</v>
      </c>
      <c r="BA32">
        <f t="shared" si="17"/>
        <v>-0.76621620615466179</v>
      </c>
      <c r="BB32">
        <f t="shared" si="18"/>
        <v>-2.0994497765821656</v>
      </c>
      <c r="BC32">
        <f t="shared" si="19"/>
        <v>0.16448564642980454</v>
      </c>
      <c r="BD32" s="123">
        <f t="shared" si="43"/>
        <v>-2.0994500627442854</v>
      </c>
      <c r="BE32" s="123">
        <f t="shared" si="44"/>
        <v>0.14824176376863907</v>
      </c>
      <c r="BF32">
        <f t="shared" si="45"/>
        <v>67.319244859700333</v>
      </c>
      <c r="BG32">
        <f t="shared" si="46"/>
        <v>-90.170166716113187</v>
      </c>
      <c r="BH32" s="123">
        <f t="shared" si="47"/>
        <v>65.219794796956052</v>
      </c>
      <c r="BI32" s="123">
        <f t="shared" si="48"/>
        <v>-90.021924952344548</v>
      </c>
      <c r="BL32" s="123">
        <f t="shared" si="49"/>
        <v>0</v>
      </c>
      <c r="BM32" s="123">
        <f t="shared" si="50"/>
        <v>0</v>
      </c>
      <c r="BN32" s="123">
        <f t="shared" si="51"/>
        <v>0</v>
      </c>
      <c r="BO32" s="123">
        <f t="shared" si="52"/>
        <v>0</v>
      </c>
      <c r="BP32" s="123">
        <f t="shared" si="53"/>
        <v>0</v>
      </c>
      <c r="BQ32" s="123">
        <f t="shared" si="54"/>
        <v>0</v>
      </c>
      <c r="BR32" s="123">
        <f t="shared" si="55"/>
        <v>0</v>
      </c>
      <c r="BS32" s="123"/>
      <c r="BT32" s="123"/>
      <c r="BU32" s="123">
        <f t="shared" si="56"/>
        <v>0</v>
      </c>
      <c r="BV32" s="123">
        <f t="shared" si="57"/>
        <v>0</v>
      </c>
      <c r="BX32" s="123">
        <f t="shared" si="58"/>
        <v>0</v>
      </c>
      <c r="BY32" s="123"/>
    </row>
    <row r="33" spans="5:77" x14ac:dyDescent="0.25">
      <c r="E33">
        <v>22</v>
      </c>
      <c r="F33">
        <v>25</v>
      </c>
      <c r="G33" s="58">
        <f t="shared" si="1"/>
        <v>-4.471282939703536E-7</v>
      </c>
      <c r="H33" s="58">
        <f t="shared" si="2"/>
        <v>-2.0304853103173884E-2</v>
      </c>
      <c r="I33">
        <f t="shared" si="20"/>
        <v>17.899803357493912</v>
      </c>
      <c r="J33">
        <f t="shared" si="3"/>
        <v>-0.27673123901056051</v>
      </c>
      <c r="K33" t="str">
        <f t="shared" si="4"/>
        <v>37499.9994795328-4.41786368868391i</v>
      </c>
      <c r="L33" t="str">
        <f t="shared" si="5"/>
        <v>1000000000-12732398096.2518i</v>
      </c>
      <c r="M33" t="str">
        <f t="shared" si="6"/>
        <v>149999.862039194-1.75630846055735i</v>
      </c>
      <c r="N33">
        <f t="shared" si="21"/>
        <v>-13.979393736593781</v>
      </c>
      <c r="O33">
        <f t="shared" si="7"/>
        <v>-4.863310150753101E-3</v>
      </c>
      <c r="P33" t="str">
        <f t="shared" si="8"/>
        <v>-1128558.59743413i</v>
      </c>
      <c r="Q33" t="str">
        <f t="shared" si="9"/>
        <v>9360-1043639.18821736i</v>
      </c>
      <c r="R33" t="str">
        <f t="shared" si="22"/>
        <v>2526.48822778669-542230.378003279i</v>
      </c>
      <c r="S33" t="str">
        <f t="shared" si="10"/>
        <v>99901401.3100213-3138494.43144352i</v>
      </c>
      <c r="T33" t="str">
        <f t="shared" si="23"/>
        <v>5464.39126879158-542094.712767256i</v>
      </c>
      <c r="U33" t="str">
        <f t="shared" si="24"/>
        <v>0.999999984375-0.000124999998046875i</v>
      </c>
      <c r="V33">
        <f t="shared" si="11"/>
        <v>54.681944622689223</v>
      </c>
      <c r="W33">
        <f t="shared" si="12"/>
        <v>-89.429650588174141</v>
      </c>
      <c r="X33">
        <f t="shared" si="25"/>
        <v>-6.7858513855456616E-8</v>
      </c>
      <c r="Y33">
        <f t="shared" si="13"/>
        <v>-7.16197389183971E-3</v>
      </c>
      <c r="AA33" s="123">
        <f t="shared" si="26"/>
        <v>17.899802910365619</v>
      </c>
      <c r="AB33" s="123">
        <f t="shared" si="27"/>
        <v>-0.29703609211373438</v>
      </c>
      <c r="AC33">
        <f t="shared" si="28"/>
        <v>40.702550886095437</v>
      </c>
      <c r="AD33">
        <f t="shared" si="29"/>
        <v>-89.434513898324894</v>
      </c>
      <c r="AE33" s="123">
        <f t="shared" si="30"/>
        <v>58.60235379646106</v>
      </c>
      <c r="AF33" s="123">
        <f t="shared" si="31"/>
        <v>-89.731549990438623</v>
      </c>
      <c r="AI33" s="123">
        <f t="shared" si="32"/>
        <v>0</v>
      </c>
      <c r="AJ33" s="123">
        <f t="shared" si="33"/>
        <v>0</v>
      </c>
      <c r="AK33" s="123">
        <f t="shared" si="34"/>
        <v>0</v>
      </c>
      <c r="AL33" s="123">
        <f t="shared" si="35"/>
        <v>0</v>
      </c>
      <c r="AM33" s="123">
        <f t="shared" si="36"/>
        <v>0</v>
      </c>
      <c r="AN33" s="123">
        <f t="shared" si="37"/>
        <v>0</v>
      </c>
      <c r="AO33" s="123">
        <f t="shared" si="38"/>
        <v>0</v>
      </c>
      <c r="AP33" s="123"/>
      <c r="AQ33" s="123">
        <f t="shared" si="39"/>
        <v>0</v>
      </c>
      <c r="AR33" s="123">
        <f t="shared" si="40"/>
        <v>0</v>
      </c>
      <c r="AS33" s="123">
        <f t="shared" si="41"/>
        <v>0</v>
      </c>
      <c r="AW33" t="str">
        <f t="shared" si="14"/>
        <v>17140</v>
      </c>
      <c r="AX33" t="str">
        <f t="shared" si="15"/>
        <v>8506-1025152.82578517i</v>
      </c>
      <c r="AY33" t="str">
        <f t="shared" si="42"/>
        <v>17132.835393648-286.392281346568i</v>
      </c>
      <c r="AZ33">
        <f t="shared" si="16"/>
        <v>10.698398115044396</v>
      </c>
      <c r="BA33">
        <f t="shared" si="17"/>
        <v>-0.95766660537529047</v>
      </c>
      <c r="BB33">
        <f t="shared" si="18"/>
        <v>-2.0992824110657748</v>
      </c>
      <c r="BC33">
        <f t="shared" si="19"/>
        <v>0.20559050815424521</v>
      </c>
      <c r="BD33" s="123">
        <f t="shared" si="43"/>
        <v>-2.0992828581940688</v>
      </c>
      <c r="BE33" s="123">
        <f t="shared" si="44"/>
        <v>0.18528565505107131</v>
      </c>
      <c r="BF33">
        <f t="shared" si="45"/>
        <v>65.380342737733613</v>
      </c>
      <c r="BG33">
        <f t="shared" si="46"/>
        <v>-90.387317193549436</v>
      </c>
      <c r="BH33" s="123">
        <f t="shared" si="47"/>
        <v>63.281059879539548</v>
      </c>
      <c r="BI33" s="123">
        <f t="shared" si="48"/>
        <v>-90.20203153849836</v>
      </c>
      <c r="BL33" s="123">
        <f t="shared" si="49"/>
        <v>0</v>
      </c>
      <c r="BM33" s="123">
        <f t="shared" si="50"/>
        <v>0</v>
      </c>
      <c r="BN33" s="123">
        <f t="shared" si="51"/>
        <v>0</v>
      </c>
      <c r="BO33" s="123">
        <f t="shared" si="52"/>
        <v>0</v>
      </c>
      <c r="BP33" s="123">
        <f t="shared" si="53"/>
        <v>0</v>
      </c>
      <c r="BQ33" s="123">
        <f t="shared" si="54"/>
        <v>0</v>
      </c>
      <c r="BR33" s="123">
        <f t="shared" si="55"/>
        <v>0</v>
      </c>
      <c r="BS33" s="123"/>
      <c r="BT33" s="123"/>
      <c r="BU33" s="123">
        <f t="shared" si="56"/>
        <v>0</v>
      </c>
      <c r="BV33" s="123">
        <f t="shared" si="57"/>
        <v>0</v>
      </c>
      <c r="BX33" s="123">
        <f t="shared" si="58"/>
        <v>0</v>
      </c>
      <c r="BY33" s="123"/>
    </row>
    <row r="34" spans="5:77" x14ac:dyDescent="0.25">
      <c r="E34">
        <v>23</v>
      </c>
      <c r="F34">
        <v>30</v>
      </c>
      <c r="G34" s="58">
        <f t="shared" si="1"/>
        <v>-6.4386472869959495E-7</v>
      </c>
      <c r="H34" s="58">
        <f t="shared" si="2"/>
        <v>-2.4365823396327028E-2</v>
      </c>
      <c r="I34">
        <f t="shared" si="20"/>
        <v>17.899605717371539</v>
      </c>
      <c r="J34">
        <f t="shared" si="3"/>
        <v>-0.33206044906771814</v>
      </c>
      <c r="K34" t="str">
        <f t="shared" si="4"/>
        <v>37499.9992505273-5.30143639404581i</v>
      </c>
      <c r="L34" t="str">
        <f t="shared" si="5"/>
        <v>1000000000-10610331746.8765i</v>
      </c>
      <c r="M34" t="str">
        <f t="shared" si="6"/>
        <v>149999.801871052-2.10189858946061i</v>
      </c>
      <c r="N34">
        <f t="shared" si="21"/>
        <v>-13.97939096729198</v>
      </c>
      <c r="O34">
        <f t="shared" si="7"/>
        <v>-5.8377045496331419E-3</v>
      </c>
      <c r="P34" t="str">
        <f t="shared" si="8"/>
        <v>-940465.497861774i</v>
      </c>
      <c r="Q34" t="str">
        <f t="shared" si="9"/>
        <v>9360-869699.32351447i</v>
      </c>
      <c r="R34" t="str">
        <f t="shared" si="22"/>
        <v>2526.46758770991-451862.639996414i</v>
      </c>
      <c r="S34" t="str">
        <f t="shared" si="10"/>
        <v>99858079.4564213-3764560.12266789i</v>
      </c>
      <c r="T34" t="str">
        <f t="shared" si="23"/>
        <v>4566.44998668044-451753.641450392i</v>
      </c>
      <c r="U34" t="str">
        <f t="shared" si="24"/>
        <v>0.9999999775-0.000149999996625i</v>
      </c>
      <c r="V34">
        <f t="shared" si="11"/>
        <v>53.098476868936274</v>
      </c>
      <c r="W34">
        <f t="shared" si="12"/>
        <v>-89.429471207739255</v>
      </c>
      <c r="X34">
        <f t="shared" si="25"/>
        <v>-9.7716260312672845E-8</v>
      </c>
      <c r="Y34">
        <f t="shared" si="13"/>
        <v>-8.5943686505122237E-3</v>
      </c>
      <c r="AA34" s="123">
        <f t="shared" si="26"/>
        <v>17.899605073506809</v>
      </c>
      <c r="AB34" s="123">
        <f t="shared" si="27"/>
        <v>-0.35642627246404518</v>
      </c>
      <c r="AC34">
        <f t="shared" si="28"/>
        <v>39.119085901644297</v>
      </c>
      <c r="AD34">
        <f t="shared" si="29"/>
        <v>-89.435308912288889</v>
      </c>
      <c r="AE34" s="123">
        <f t="shared" si="30"/>
        <v>57.018690975151102</v>
      </c>
      <c r="AF34" s="123">
        <f t="shared" si="31"/>
        <v>-89.791735184752937</v>
      </c>
      <c r="AI34" s="123">
        <f t="shared" si="32"/>
        <v>0</v>
      </c>
      <c r="AJ34" s="123">
        <f t="shared" si="33"/>
        <v>0</v>
      </c>
      <c r="AK34" s="123">
        <f t="shared" si="34"/>
        <v>0</v>
      </c>
      <c r="AL34" s="123">
        <f t="shared" si="35"/>
        <v>0</v>
      </c>
      <c r="AM34" s="123">
        <f t="shared" si="36"/>
        <v>0</v>
      </c>
      <c r="AN34" s="123">
        <f t="shared" si="37"/>
        <v>0</v>
      </c>
      <c r="AO34" s="123">
        <f t="shared" si="38"/>
        <v>0</v>
      </c>
      <c r="AP34" s="123"/>
      <c r="AQ34" s="123">
        <f t="shared" si="39"/>
        <v>0</v>
      </c>
      <c r="AR34" s="123">
        <f t="shared" si="40"/>
        <v>0</v>
      </c>
      <c r="AS34" s="123">
        <f t="shared" si="41"/>
        <v>0</v>
      </c>
      <c r="AW34" t="str">
        <f t="shared" si="14"/>
        <v>17140</v>
      </c>
      <c r="AX34" t="str">
        <f t="shared" si="15"/>
        <v>8506-854294.021487643i</v>
      </c>
      <c r="AY34" t="str">
        <f t="shared" si="42"/>
        <v>17129.6858052841-343.576186628576i</v>
      </c>
      <c r="AZ34">
        <f t="shared" si="16"/>
        <v>10.697334660867174</v>
      </c>
      <c r="BA34">
        <f t="shared" si="17"/>
        <v>-1.149047950222672</v>
      </c>
      <c r="BB34">
        <f t="shared" si="18"/>
        <v>-2.0990778901496174</v>
      </c>
      <c r="BC34">
        <f t="shared" si="19"/>
        <v>0.24668434104770612</v>
      </c>
      <c r="BD34" s="123">
        <f t="shared" si="43"/>
        <v>-2.0990785340143461</v>
      </c>
      <c r="BE34" s="123">
        <f t="shared" si="44"/>
        <v>0.22231851765137908</v>
      </c>
      <c r="BF34">
        <f t="shared" si="45"/>
        <v>63.795811529803444</v>
      </c>
      <c r="BG34">
        <f t="shared" si="46"/>
        <v>-90.578519157961921</v>
      </c>
      <c r="BH34" s="123">
        <f t="shared" si="47"/>
        <v>61.696732995789098</v>
      </c>
      <c r="BI34" s="123">
        <f t="shared" si="48"/>
        <v>-90.356200640310547</v>
      </c>
      <c r="BL34" s="123">
        <f t="shared" si="49"/>
        <v>0</v>
      </c>
      <c r="BM34" s="123">
        <f t="shared" si="50"/>
        <v>0</v>
      </c>
      <c r="BN34" s="123">
        <f t="shared" si="51"/>
        <v>0</v>
      </c>
      <c r="BO34" s="123">
        <f t="shared" si="52"/>
        <v>0</v>
      </c>
      <c r="BP34" s="123">
        <f t="shared" si="53"/>
        <v>0</v>
      </c>
      <c r="BQ34" s="123">
        <f t="shared" si="54"/>
        <v>0</v>
      </c>
      <c r="BR34" s="123">
        <f t="shared" si="55"/>
        <v>0</v>
      </c>
      <c r="BS34" s="123"/>
      <c r="BT34" s="123"/>
      <c r="BU34" s="123">
        <f t="shared" si="56"/>
        <v>0</v>
      </c>
      <c r="BV34" s="123">
        <f t="shared" si="57"/>
        <v>0</v>
      </c>
      <c r="BX34" s="123">
        <f t="shared" si="58"/>
        <v>0</v>
      </c>
      <c r="BY34" s="123"/>
    </row>
    <row r="35" spans="5:77" x14ac:dyDescent="0.25">
      <c r="E35">
        <v>24</v>
      </c>
      <c r="F35">
        <v>35</v>
      </c>
      <c r="G35" s="58">
        <f t="shared" si="1"/>
        <v>-8.7637141276352761E-7</v>
      </c>
      <c r="H35" s="58">
        <f t="shared" si="2"/>
        <v>-2.8426793510853827E-2</v>
      </c>
      <c r="I35">
        <f t="shared" si="20"/>
        <v>17.89937216969782</v>
      </c>
      <c r="J35">
        <f t="shared" si="3"/>
        <v>-0.38738036861188707</v>
      </c>
      <c r="K35" t="str">
        <f t="shared" si="4"/>
        <v>37499.9989798843-6.18500908174866i</v>
      </c>
      <c r="L35" t="str">
        <f t="shared" si="5"/>
        <v>1000000000-9094570068.75131i</v>
      </c>
      <c r="M35" t="str">
        <f t="shared" si="6"/>
        <v>149999.731179423-2.44444090620575i</v>
      </c>
      <c r="N35">
        <f t="shared" si="21"/>
        <v>-13.97938771375086</v>
      </c>
      <c r="O35">
        <f t="shared" si="7"/>
        <v>-6.8130298988158498E-3</v>
      </c>
      <c r="P35" t="str">
        <f t="shared" si="8"/>
        <v>-806113.28388152i</v>
      </c>
      <c r="Q35" t="str">
        <f t="shared" si="9"/>
        <v>9360-745456.563012403i</v>
      </c>
      <c r="R35" t="str">
        <f t="shared" si="22"/>
        <v>2526.44319532671-387314.877710661i</v>
      </c>
      <c r="S35" t="str">
        <f t="shared" si="10"/>
        <v>99806929.3181983-4389737.10966864i</v>
      </c>
      <c r="T35" t="str">
        <f t="shared" si="23"/>
        <v>4024.9999741815-387223.546266725i</v>
      </c>
      <c r="U35" t="str">
        <f t="shared" si="24"/>
        <v>0.999999969375001-0.000174999994640625i</v>
      </c>
      <c r="V35">
        <f t="shared" si="11"/>
        <v>51.759704238838815</v>
      </c>
      <c r="W35">
        <f t="shared" si="12"/>
        <v>-89.414505117697729</v>
      </c>
      <c r="X35">
        <f t="shared" si="25"/>
        <v>-1.3300268167662466E-7</v>
      </c>
      <c r="Y35">
        <f t="shared" si="13"/>
        <v>-1.0026763398441768E-2</v>
      </c>
      <c r="AA35" s="123">
        <f t="shared" si="26"/>
        <v>17.899371293326407</v>
      </c>
      <c r="AB35" s="123">
        <f t="shared" si="27"/>
        <v>-0.41580716212274088</v>
      </c>
      <c r="AC35">
        <f t="shared" si="28"/>
        <v>37.780316525087954</v>
      </c>
      <c r="AD35">
        <f t="shared" si="29"/>
        <v>-89.421318147596551</v>
      </c>
      <c r="AE35" s="123">
        <f t="shared" si="30"/>
        <v>55.679687818414365</v>
      </c>
      <c r="AF35" s="123">
        <f t="shared" si="31"/>
        <v>-89.837125309719298</v>
      </c>
      <c r="AI35" s="123">
        <f t="shared" si="32"/>
        <v>0</v>
      </c>
      <c r="AJ35" s="123">
        <f t="shared" si="33"/>
        <v>0</v>
      </c>
      <c r="AK35" s="123">
        <f t="shared" si="34"/>
        <v>0</v>
      </c>
      <c r="AL35" s="123">
        <f t="shared" si="35"/>
        <v>0</v>
      </c>
      <c r="AM35" s="123">
        <f t="shared" si="36"/>
        <v>0</v>
      </c>
      <c r="AN35" s="123">
        <f t="shared" si="37"/>
        <v>0</v>
      </c>
      <c r="AO35" s="123">
        <f t="shared" si="38"/>
        <v>0</v>
      </c>
      <c r="AP35" s="123"/>
      <c r="AQ35" s="123">
        <f t="shared" si="39"/>
        <v>0</v>
      </c>
      <c r="AR35" s="123">
        <f t="shared" si="40"/>
        <v>0</v>
      </c>
      <c r="AS35" s="123">
        <f t="shared" si="41"/>
        <v>0</v>
      </c>
      <c r="AW35" t="str">
        <f t="shared" si="14"/>
        <v>17140</v>
      </c>
      <c r="AX35" t="str">
        <f t="shared" si="15"/>
        <v>8506-732252.01841798i</v>
      </c>
      <c r="AY35" t="str">
        <f t="shared" si="42"/>
        <v>17125.9657980901-400.708596873176i</v>
      </c>
      <c r="AZ35">
        <f t="shared" si="16"/>
        <v>10.6960782700435</v>
      </c>
      <c r="BA35">
        <f t="shared" si="17"/>
        <v>-1.3403464769481015</v>
      </c>
      <c r="BB35">
        <f t="shared" si="18"/>
        <v>-2.0988362359800168</v>
      </c>
      <c r="BC35">
        <f t="shared" si="19"/>
        <v>0.28776494376611095</v>
      </c>
      <c r="BD35" s="123">
        <f t="shared" si="43"/>
        <v>-2.0988371123514296</v>
      </c>
      <c r="BE35" s="123">
        <f t="shared" si="44"/>
        <v>0.25933815025525714</v>
      </c>
      <c r="BF35">
        <f t="shared" si="45"/>
        <v>62.455782508882315</v>
      </c>
      <c r="BG35">
        <f t="shared" si="46"/>
        <v>-90.754851594645828</v>
      </c>
      <c r="BH35" s="123">
        <f t="shared" si="47"/>
        <v>60.356945396530882</v>
      </c>
      <c r="BI35" s="123">
        <f t="shared" si="48"/>
        <v>-90.495513444390568</v>
      </c>
      <c r="BL35" s="123">
        <f t="shared" si="49"/>
        <v>0</v>
      </c>
      <c r="BM35" s="123">
        <f t="shared" si="50"/>
        <v>0</v>
      </c>
      <c r="BN35" s="123">
        <f t="shared" si="51"/>
        <v>0</v>
      </c>
      <c r="BO35" s="123">
        <f t="shared" si="52"/>
        <v>0</v>
      </c>
      <c r="BP35" s="123">
        <f t="shared" si="53"/>
        <v>0</v>
      </c>
      <c r="BQ35" s="123">
        <f t="shared" si="54"/>
        <v>0</v>
      </c>
      <c r="BR35" s="123">
        <f t="shared" si="55"/>
        <v>0</v>
      </c>
      <c r="BS35" s="123"/>
      <c r="BT35" s="123"/>
      <c r="BU35" s="123">
        <f t="shared" si="56"/>
        <v>0</v>
      </c>
      <c r="BV35" s="123">
        <f t="shared" si="57"/>
        <v>0</v>
      </c>
      <c r="BX35" s="123">
        <f t="shared" si="58"/>
        <v>0</v>
      </c>
      <c r="BY35" s="123"/>
    </row>
    <row r="36" spans="5:77" x14ac:dyDescent="0.25">
      <c r="E36">
        <v>25</v>
      </c>
      <c r="F36">
        <v>40</v>
      </c>
      <c r="G36" s="58">
        <f t="shared" si="1"/>
        <v>-1.1446483413200596E-6</v>
      </c>
      <c r="H36" s="58">
        <f t="shared" si="2"/>
        <v>-3.2487763416983312E-2</v>
      </c>
      <c r="I36">
        <f t="shared" si="20"/>
        <v>17.899102727973613</v>
      </c>
      <c r="J36">
        <f t="shared" si="3"/>
        <v>-0.44268945155873562</v>
      </c>
      <c r="K36" t="str">
        <f t="shared" si="4"/>
        <v>37499.998667604-7.06858174884932i</v>
      </c>
      <c r="L36" t="str">
        <f t="shared" si="5"/>
        <v>1000000000-7957748810.1574i</v>
      </c>
      <c r="M36" t="str">
        <f t="shared" si="6"/>
        <v>149999.650167089-2.7834649147737i</v>
      </c>
      <c r="N36">
        <f t="shared" si="21"/>
        <v>-13.979383985359695</v>
      </c>
      <c r="O36">
        <f t="shared" si="7"/>
        <v>-7.7894299120010654E-3</v>
      </c>
      <c r="P36" t="str">
        <f t="shared" si="8"/>
        <v>-705349.12339633i</v>
      </c>
      <c r="Q36" t="str">
        <f t="shared" si="9"/>
        <v>9360-652274.492635852i</v>
      </c>
      <c r="R36" t="str">
        <f t="shared" si="22"/>
        <v>2526.41505085443-338904.600219074i</v>
      </c>
      <c r="S36" t="str">
        <f t="shared" si="10"/>
        <v>99747975.0032731-5013879.04458372i</v>
      </c>
      <c r="T36" t="str">
        <f t="shared" si="23"/>
        <v>3673.56264059046-338825.875199045i</v>
      </c>
      <c r="U36" t="str">
        <f t="shared" si="24"/>
        <v>0.999999960000002-0.000199999992i</v>
      </c>
      <c r="V36">
        <f t="shared" si="11"/>
        <v>50.600041684393517</v>
      </c>
      <c r="W36">
        <f t="shared" si="12"/>
        <v>-89.390299136383234</v>
      </c>
      <c r="X36">
        <f t="shared" si="25"/>
        <v>-1.7371778476376644E-7</v>
      </c>
      <c r="Y36">
        <f t="shared" si="13"/>
        <v>-1.1459158133837855E-2</v>
      </c>
      <c r="AA36" s="123">
        <f t="shared" si="26"/>
        <v>17.899101583325272</v>
      </c>
      <c r="AB36" s="123">
        <f t="shared" si="27"/>
        <v>-0.47517721497571896</v>
      </c>
      <c r="AC36">
        <f t="shared" si="28"/>
        <v>36.620657699033821</v>
      </c>
      <c r="AD36">
        <f t="shared" si="29"/>
        <v>-89.398088566295229</v>
      </c>
      <c r="AE36" s="123">
        <f t="shared" si="30"/>
        <v>54.51975928235909</v>
      </c>
      <c r="AF36" s="123">
        <f t="shared" si="31"/>
        <v>-89.873265781270945</v>
      </c>
      <c r="AI36" s="123">
        <f t="shared" si="32"/>
        <v>0</v>
      </c>
      <c r="AJ36" s="123">
        <f t="shared" si="33"/>
        <v>0</v>
      </c>
      <c r="AK36" s="123">
        <f t="shared" si="34"/>
        <v>0</v>
      </c>
      <c r="AL36" s="123">
        <f t="shared" si="35"/>
        <v>0</v>
      </c>
      <c r="AM36" s="123">
        <f t="shared" si="36"/>
        <v>0</v>
      </c>
      <c r="AN36" s="123">
        <f t="shared" si="37"/>
        <v>0</v>
      </c>
      <c r="AO36" s="123">
        <f t="shared" si="38"/>
        <v>0</v>
      </c>
      <c r="AP36" s="123"/>
      <c r="AQ36" s="123">
        <f t="shared" si="39"/>
        <v>0</v>
      </c>
      <c r="AR36" s="123">
        <f t="shared" si="40"/>
        <v>0</v>
      </c>
      <c r="AS36" s="123">
        <f t="shared" si="41"/>
        <v>0</v>
      </c>
      <c r="AW36" t="str">
        <f t="shared" si="14"/>
        <v>17140</v>
      </c>
      <c r="AX36" t="str">
        <f t="shared" si="15"/>
        <v>8506-640720.516115732i</v>
      </c>
      <c r="AY36" t="str">
        <f t="shared" si="42"/>
        <v>17121.676485935-457.780994647141i</v>
      </c>
      <c r="AZ36">
        <f t="shared" si="16"/>
        <v>10.694629151532332</v>
      </c>
      <c r="BA36">
        <f t="shared" si="17"/>
        <v>-1.5315484474492187</v>
      </c>
      <c r="BB36">
        <f t="shared" si="18"/>
        <v>-2.0985574747153883</v>
      </c>
      <c r="BC36">
        <f t="shared" si="19"/>
        <v>0.32883011737459555</v>
      </c>
      <c r="BD36" s="123">
        <f t="shared" si="43"/>
        <v>-2.0985586193637298</v>
      </c>
      <c r="BE36" s="123">
        <f t="shared" si="44"/>
        <v>0.29634235395761221</v>
      </c>
      <c r="BF36">
        <f t="shared" si="45"/>
        <v>61.294670835925849</v>
      </c>
      <c r="BG36">
        <f t="shared" si="46"/>
        <v>-90.921847583832459</v>
      </c>
      <c r="BH36" s="123">
        <f t="shared" si="47"/>
        <v>59.196112216562121</v>
      </c>
      <c r="BI36" s="123">
        <f t="shared" si="48"/>
        <v>-90.625505229874847</v>
      </c>
      <c r="BL36" s="123">
        <f t="shared" si="49"/>
        <v>0</v>
      </c>
      <c r="BM36" s="123">
        <f t="shared" si="50"/>
        <v>0</v>
      </c>
      <c r="BN36" s="123">
        <f t="shared" si="51"/>
        <v>0</v>
      </c>
      <c r="BO36" s="123">
        <f t="shared" si="52"/>
        <v>0</v>
      </c>
      <c r="BP36" s="123">
        <f t="shared" si="53"/>
        <v>0</v>
      </c>
      <c r="BQ36" s="123">
        <f t="shared" si="54"/>
        <v>0</v>
      </c>
      <c r="BR36" s="123">
        <f t="shared" si="55"/>
        <v>0</v>
      </c>
      <c r="BS36" s="123"/>
      <c r="BT36" s="123"/>
      <c r="BU36" s="123">
        <f t="shared" si="56"/>
        <v>0</v>
      </c>
      <c r="BV36" s="123">
        <f t="shared" si="57"/>
        <v>0</v>
      </c>
      <c r="BX36" s="123">
        <f t="shared" si="58"/>
        <v>0</v>
      </c>
      <c r="BY36" s="123"/>
    </row>
    <row r="37" spans="5:77" x14ac:dyDescent="0.25">
      <c r="E37">
        <v>26</v>
      </c>
      <c r="F37">
        <v>45</v>
      </c>
      <c r="G37" s="58">
        <f t="shared" si="1"/>
        <v>-1.4486955012900765E-6</v>
      </c>
      <c r="H37" s="58">
        <f t="shared" si="2"/>
        <v>-3.6548733084944426E-2</v>
      </c>
      <c r="I37">
        <f t="shared" si="20"/>
        <v>17.898797407771358</v>
      </c>
      <c r="J37">
        <f t="shared" si="3"/>
        <v>-0.49798615290043413</v>
      </c>
      <c r="K37" t="str">
        <f t="shared" si="4"/>
        <v>37499.9983136863-7.95215439240461i</v>
      </c>
      <c r="L37" t="str">
        <f t="shared" si="5"/>
        <v>1000000000-7073554497.91769i</v>
      </c>
      <c r="M37" t="str">
        <f t="shared" si="6"/>
        <v>149999.559064047-3.11851671084849i</v>
      </c>
      <c r="N37">
        <f t="shared" si="21"/>
        <v>-13.979379792767965</v>
      </c>
      <c r="O37">
        <f t="shared" si="7"/>
        <v>-8.7670432355227926E-3</v>
      </c>
      <c r="P37" t="str">
        <f t="shared" si="8"/>
        <v>-626976.998574516i</v>
      </c>
      <c r="Q37" t="str">
        <f t="shared" si="9"/>
        <v>9360-579799.549009646i</v>
      </c>
      <c r="R37" t="str">
        <f t="shared" si="22"/>
        <v>2526.38315454388-301252.645891264i</v>
      </c>
      <c r="S37" t="str">
        <f t="shared" si="10"/>
        <v>99681244.2518111-5636840.39084765i</v>
      </c>
      <c r="T37" t="str">
        <f t="shared" si="23"/>
        <v>3432.60433399898-301183.393044475i</v>
      </c>
      <c r="U37" t="str">
        <f t="shared" si="24"/>
        <v>0.999999949375003-0.000224999988609376i</v>
      </c>
      <c r="V37">
        <f t="shared" si="11"/>
        <v>49.577184293629529</v>
      </c>
      <c r="W37">
        <f t="shared" si="12"/>
        <v>-89.359935140452961</v>
      </c>
      <c r="X37">
        <f t="shared" si="25"/>
        <v>-2.198615725434215E-7</v>
      </c>
      <c r="Y37">
        <f t="shared" si="13"/>
        <v>-1.289155285491005E-2</v>
      </c>
      <c r="AA37" s="123">
        <f t="shared" si="26"/>
        <v>17.898795959075859</v>
      </c>
      <c r="AB37" s="123">
        <f t="shared" si="27"/>
        <v>-0.53453488598537857</v>
      </c>
      <c r="AC37">
        <f t="shared" si="28"/>
        <v>35.597804500861564</v>
      </c>
      <c r="AD37">
        <f t="shared" si="29"/>
        <v>-89.368702183688484</v>
      </c>
      <c r="AE37" s="123">
        <f t="shared" si="30"/>
        <v>53.496600459937426</v>
      </c>
      <c r="AF37" s="123">
        <f t="shared" si="31"/>
        <v>-89.903237069673864</v>
      </c>
      <c r="AI37" s="123">
        <f t="shared" si="32"/>
        <v>0</v>
      </c>
      <c r="AJ37" s="123">
        <f t="shared" si="33"/>
        <v>0</v>
      </c>
      <c r="AK37" s="123">
        <f t="shared" si="34"/>
        <v>0</v>
      </c>
      <c r="AL37" s="123">
        <f t="shared" si="35"/>
        <v>0</v>
      </c>
      <c r="AM37" s="123">
        <f t="shared" si="36"/>
        <v>0</v>
      </c>
      <c r="AN37" s="123">
        <f t="shared" si="37"/>
        <v>0</v>
      </c>
      <c r="AO37" s="123">
        <f t="shared" si="38"/>
        <v>0</v>
      </c>
      <c r="AP37" s="123"/>
      <c r="AQ37" s="123">
        <f t="shared" si="39"/>
        <v>0</v>
      </c>
      <c r="AR37" s="123">
        <f t="shared" si="40"/>
        <v>0</v>
      </c>
      <c r="AS37" s="123">
        <f t="shared" si="41"/>
        <v>0</v>
      </c>
      <c r="AW37" t="str">
        <f t="shared" si="14"/>
        <v>17140</v>
      </c>
      <c r="AX37" t="str">
        <f t="shared" si="15"/>
        <v>8506-569529.347658429i</v>
      </c>
      <c r="AY37" t="str">
        <f t="shared" si="42"/>
        <v>17116.8191518042-514.784892424904i</v>
      </c>
      <c r="AZ37">
        <f t="shared" si="16"/>
        <v>10.69298754615604</v>
      </c>
      <c r="BA37">
        <f t="shared" si="17"/>
        <v>-1.7226401534956903</v>
      </c>
      <c r="BB37">
        <f t="shared" si="18"/>
        <v>-2.0982416365193539</v>
      </c>
      <c r="BC37">
        <f t="shared" si="19"/>
        <v>0.36987766574666281</v>
      </c>
      <c r="BD37" s="123">
        <f t="shared" si="43"/>
        <v>-2.0982430852148553</v>
      </c>
      <c r="BE37" s="123">
        <f t="shared" si="44"/>
        <v>0.33332893266171837</v>
      </c>
      <c r="BF37">
        <f t="shared" si="45"/>
        <v>60.270171839785569</v>
      </c>
      <c r="BG37">
        <f t="shared" si="46"/>
        <v>-91.082575293948651</v>
      </c>
      <c r="BH37" s="123">
        <f t="shared" si="47"/>
        <v>58.171928754570715</v>
      </c>
      <c r="BI37" s="123">
        <f t="shared" si="48"/>
        <v>-90.749246361286936</v>
      </c>
      <c r="BL37" s="123">
        <f t="shared" si="49"/>
        <v>0</v>
      </c>
      <c r="BM37" s="123">
        <f t="shared" si="50"/>
        <v>0</v>
      </c>
      <c r="BN37" s="123">
        <f t="shared" si="51"/>
        <v>0</v>
      </c>
      <c r="BO37" s="123">
        <f t="shared" si="52"/>
        <v>0</v>
      </c>
      <c r="BP37" s="123">
        <f t="shared" si="53"/>
        <v>0</v>
      </c>
      <c r="BQ37" s="123">
        <f t="shared" si="54"/>
        <v>0</v>
      </c>
      <c r="BR37" s="123">
        <f t="shared" si="55"/>
        <v>0</v>
      </c>
      <c r="BS37" s="123"/>
      <c r="BT37" s="123"/>
      <c r="BU37" s="123">
        <f t="shared" si="56"/>
        <v>0</v>
      </c>
      <c r="BV37" s="123">
        <f t="shared" si="57"/>
        <v>0</v>
      </c>
      <c r="BX37" s="123">
        <f t="shared" si="58"/>
        <v>0</v>
      </c>
      <c r="BY37" s="123"/>
    </row>
    <row r="38" spans="5:77" x14ac:dyDescent="0.25">
      <c r="E38">
        <v>27</v>
      </c>
      <c r="F38">
        <v>50</v>
      </c>
      <c r="G38" s="58">
        <f t="shared" si="1"/>
        <v>-1.7885129031802529E-6</v>
      </c>
      <c r="H38" s="58">
        <f t="shared" si="2"/>
        <v>-4.0609702484966176E-2</v>
      </c>
      <c r="I38">
        <f t="shared" si="20"/>
        <v>17.898456226732531</v>
      </c>
      <c r="J38">
        <f t="shared" si="3"/>
        <v>-0.55326892885876788</v>
      </c>
      <c r="K38" t="str">
        <f t="shared" si="4"/>
        <v>37499.9979181313-8.83572700947134i</v>
      </c>
      <c r="L38" t="str">
        <f t="shared" si="5"/>
        <v>1000000000-6366199048.12592i</v>
      </c>
      <c r="M38" t="str">
        <f t="shared" si="6"/>
        <v>149999.458125921-3.44916086888773i</v>
      </c>
      <c r="N38">
        <f t="shared" si="21"/>
        <v>-13.979375147811929</v>
      </c>
      <c r="O38">
        <f t="shared" si="7"/>
        <v>-9.7460028719910767E-3</v>
      </c>
      <c r="P38" t="str">
        <f t="shared" si="8"/>
        <v>-564279.298717064i</v>
      </c>
      <c r="Q38" t="str">
        <f t="shared" si="9"/>
        <v>9360-521819.594108682i</v>
      </c>
      <c r="R38" t="str">
        <f t="shared" si="22"/>
        <v>2526.34750667928-271131.517745113i</v>
      </c>
      <c r="S38" t="str">
        <f t="shared" si="10"/>
        <v>99606768.4036929-6258476.53525789i</v>
      </c>
      <c r="T38" t="str">
        <f t="shared" si="23"/>
        <v>3260.23472988199-271069.656642636i</v>
      </c>
      <c r="U38" t="str">
        <f t="shared" si="24"/>
        <v>0.999999937500004-0.000249999984375001i</v>
      </c>
      <c r="V38">
        <f t="shared" si="11"/>
        <v>48.662246028705134</v>
      </c>
      <c r="W38">
        <f t="shared" si="12"/>
        <v>-89.325262510089516</v>
      </c>
      <c r="X38">
        <f t="shared" si="25"/>
        <v>-2.7143404220912692E-7</v>
      </c>
      <c r="Y38">
        <f t="shared" si="13"/>
        <v>-1.4323947559867748E-2</v>
      </c>
      <c r="AA38" s="123">
        <f t="shared" si="26"/>
        <v>17.898454438219627</v>
      </c>
      <c r="AB38" s="123">
        <f t="shared" si="27"/>
        <v>-0.59387863134373409</v>
      </c>
      <c r="AC38">
        <f t="shared" si="28"/>
        <v>34.682870880893205</v>
      </c>
      <c r="AD38">
        <f t="shared" si="29"/>
        <v>-89.335008512961508</v>
      </c>
      <c r="AE38" s="123">
        <f t="shared" si="30"/>
        <v>52.581325319112835</v>
      </c>
      <c r="AF38" s="123">
        <f t="shared" si="31"/>
        <v>-89.928887144305236</v>
      </c>
      <c r="AI38" s="123">
        <f t="shared" si="32"/>
        <v>0</v>
      </c>
      <c r="AJ38" s="123">
        <f t="shared" si="33"/>
        <v>0</v>
      </c>
      <c r="AK38" s="123">
        <f t="shared" si="34"/>
        <v>0</v>
      </c>
      <c r="AL38" s="123">
        <f t="shared" si="35"/>
        <v>0</v>
      </c>
      <c r="AM38" s="123">
        <f t="shared" si="36"/>
        <v>0</v>
      </c>
      <c r="AN38" s="123">
        <f t="shared" si="37"/>
        <v>0</v>
      </c>
      <c r="AO38" s="123">
        <f t="shared" si="38"/>
        <v>0</v>
      </c>
      <c r="AP38" s="123"/>
      <c r="AQ38" s="123">
        <f t="shared" si="39"/>
        <v>0</v>
      </c>
      <c r="AR38" s="123">
        <f t="shared" si="40"/>
        <v>0</v>
      </c>
      <c r="AS38" s="123">
        <f t="shared" si="41"/>
        <v>0</v>
      </c>
      <c r="AW38" t="str">
        <f t="shared" si="14"/>
        <v>17140</v>
      </c>
      <c r="AX38" t="str">
        <f t="shared" si="15"/>
        <v>8506-512576.412892586i</v>
      </c>
      <c r="AY38" t="str">
        <f t="shared" si="42"/>
        <v>17111.3952468411-571.711836771346i</v>
      </c>
      <c r="AZ38">
        <f t="shared" si="16"/>
        <v>10.691153726478714</v>
      </c>
      <c r="BA38">
        <f t="shared" si="17"/>
        <v>-1.9136079209323522</v>
      </c>
      <c r="BB38">
        <f t="shared" si="18"/>
        <v>-2.0978887555521504</v>
      </c>
      <c r="BC38">
        <f t="shared" si="19"/>
        <v>0.41090539596228759</v>
      </c>
      <c r="BD38" s="123">
        <f t="shared" si="43"/>
        <v>-2.0978905440650535</v>
      </c>
      <c r="BE38" s="123">
        <f t="shared" si="44"/>
        <v>0.37029569347732139</v>
      </c>
      <c r="BF38">
        <f t="shared" si="45"/>
        <v>59.353399755183844</v>
      </c>
      <c r="BG38">
        <f t="shared" si="46"/>
        <v>-91.238870431021866</v>
      </c>
      <c r="BH38" s="123">
        <f t="shared" si="47"/>
        <v>57.255509211118792</v>
      </c>
      <c r="BI38" s="123">
        <f t="shared" si="48"/>
        <v>-90.868574737544549</v>
      </c>
      <c r="BL38" s="123">
        <f t="shared" si="49"/>
        <v>0</v>
      </c>
      <c r="BM38" s="123">
        <f t="shared" si="50"/>
        <v>0</v>
      </c>
      <c r="BN38" s="123">
        <f t="shared" si="51"/>
        <v>0</v>
      </c>
      <c r="BO38" s="123">
        <f t="shared" si="52"/>
        <v>0</v>
      </c>
      <c r="BP38" s="123">
        <f t="shared" si="53"/>
        <v>0</v>
      </c>
      <c r="BQ38" s="123">
        <f t="shared" si="54"/>
        <v>0</v>
      </c>
      <c r="BR38" s="123">
        <f t="shared" si="55"/>
        <v>0</v>
      </c>
      <c r="BS38" s="123"/>
      <c r="BT38" s="123"/>
      <c r="BU38" s="123">
        <f t="shared" si="56"/>
        <v>0</v>
      </c>
      <c r="BV38" s="123">
        <f t="shared" si="57"/>
        <v>0</v>
      </c>
      <c r="BX38" s="123">
        <f t="shared" si="58"/>
        <v>0</v>
      </c>
      <c r="BY38" s="123"/>
    </row>
    <row r="39" spans="5:77" x14ac:dyDescent="0.25">
      <c r="E39">
        <v>28</v>
      </c>
      <c r="F39">
        <v>55</v>
      </c>
      <c r="G39" s="58">
        <f t="shared" si="1"/>
        <v>-2.1641005203304114E-6</v>
      </c>
      <c r="H39" s="58">
        <f t="shared" si="2"/>
        <v>-4.46706715872775E-2</v>
      </c>
      <c r="I39">
        <f t="shared" si="20"/>
        <v>17.898079204565029</v>
      </c>
      <c r="J39">
        <f t="shared" si="3"/>
        <v>-0.60853623703797521</v>
      </c>
      <c r="K39" t="str">
        <f t="shared" si="4"/>
        <v>37499.9974809389-9.71929959710636i</v>
      </c>
      <c r="L39" t="str">
        <f t="shared" si="5"/>
        <v>1000000000-5787453680.11447i</v>
      </c>
      <c r="M39" t="str">
        <f t="shared" si="6"/>
        <v>149999.347632204-3.7749821522061i</v>
      </c>
      <c r="N39">
        <f t="shared" si="21"/>
        <v>-13.979370063432984</v>
      </c>
      <c r="O39">
        <f t="shared" si="7"/>
        <v>-1.0726435657982503E-2</v>
      </c>
      <c r="P39" t="str">
        <f t="shared" si="8"/>
        <v>-512981.180651876i</v>
      </c>
      <c r="Q39" t="str">
        <f t="shared" si="9"/>
        <v>9360-474381.449189711i</v>
      </c>
      <c r="R39" t="str">
        <f t="shared" si="22"/>
        <v>2526.30810757828-246487.354061212i</v>
      </c>
      <c r="S39" t="str">
        <f t="shared" si="10"/>
        <v>99524582.3618656-6878643.89853031i</v>
      </c>
      <c r="T39" t="str">
        <f t="shared" si="23"/>
        <v>3132.68731054238-246431.430228134i</v>
      </c>
      <c r="U39" t="str">
        <f t="shared" si="24"/>
        <v>0.999999924375006-0.000274999979203127i</v>
      </c>
      <c r="V39">
        <f t="shared" si="11"/>
        <v>47.834623387303026</v>
      </c>
      <c r="W39">
        <f t="shared" si="12"/>
        <v>-89.287458345369117</v>
      </c>
      <c r="X39">
        <f t="shared" si="25"/>
        <v>-3.2843518710728875E-7</v>
      </c>
      <c r="Y39">
        <f t="shared" si="13"/>
        <v>-1.575634224692055E-2</v>
      </c>
      <c r="AA39" s="123">
        <f t="shared" si="26"/>
        <v>17.898077040464507</v>
      </c>
      <c r="AB39" s="123">
        <f t="shared" si="27"/>
        <v>-0.65320690862525277</v>
      </c>
      <c r="AC39">
        <f t="shared" si="28"/>
        <v>33.855253323870045</v>
      </c>
      <c r="AD39">
        <f t="shared" si="29"/>
        <v>-89.298184781027103</v>
      </c>
      <c r="AE39" s="123">
        <f t="shared" si="30"/>
        <v>51.753330364334552</v>
      </c>
      <c r="AF39" s="123">
        <f t="shared" si="31"/>
        <v>-89.951391689652354</v>
      </c>
      <c r="AI39" s="123">
        <f t="shared" si="32"/>
        <v>0</v>
      </c>
      <c r="AJ39" s="123">
        <f t="shared" si="33"/>
        <v>0</v>
      </c>
      <c r="AK39" s="123">
        <f t="shared" si="34"/>
        <v>0</v>
      </c>
      <c r="AL39" s="123">
        <f t="shared" si="35"/>
        <v>0</v>
      </c>
      <c r="AM39" s="123">
        <f t="shared" si="36"/>
        <v>0</v>
      </c>
      <c r="AN39" s="123">
        <f t="shared" si="37"/>
        <v>0</v>
      </c>
      <c r="AO39" s="123">
        <f t="shared" si="38"/>
        <v>0</v>
      </c>
      <c r="AP39" s="123"/>
      <c r="AQ39" s="123">
        <f t="shared" si="39"/>
        <v>0</v>
      </c>
      <c r="AR39" s="123">
        <f t="shared" si="40"/>
        <v>0</v>
      </c>
      <c r="AS39" s="123">
        <f t="shared" si="41"/>
        <v>0</v>
      </c>
      <c r="AW39" t="str">
        <f t="shared" si="14"/>
        <v>17140</v>
      </c>
      <c r="AX39" t="str">
        <f t="shared" si="15"/>
        <v>8506-465978.557175078i</v>
      </c>
      <c r="AY39" t="str">
        <f t="shared" si="42"/>
        <v>17105.4063892673-628.553412489115i</v>
      </c>
      <c r="AZ39">
        <f t="shared" si="16"/>
        <v>10.689127996669765</v>
      </c>
      <c r="BA39">
        <f t="shared" si="17"/>
        <v>-2.1044381138569754</v>
      </c>
      <c r="BB39">
        <f t="shared" si="18"/>
        <v>-2.0974988699609858</v>
      </c>
      <c r="BC39">
        <f t="shared" si="19"/>
        <v>0.45191111870467421</v>
      </c>
      <c r="BD39" s="123">
        <f t="shared" si="43"/>
        <v>-2.0975010340615059</v>
      </c>
      <c r="BE39" s="123">
        <f t="shared" si="44"/>
        <v>0.40724044711739671</v>
      </c>
      <c r="BF39">
        <f t="shared" si="45"/>
        <v>58.523751383972794</v>
      </c>
      <c r="BG39">
        <f t="shared" si="46"/>
        <v>-91.391896459226089</v>
      </c>
      <c r="BH39" s="123">
        <f t="shared" si="47"/>
        <v>56.426250349911285</v>
      </c>
      <c r="BI39" s="123">
        <f t="shared" si="48"/>
        <v>-90.984656012108687</v>
      </c>
      <c r="BL39" s="123">
        <f t="shared" si="49"/>
        <v>0</v>
      </c>
      <c r="BM39" s="123">
        <f t="shared" si="50"/>
        <v>0</v>
      </c>
      <c r="BN39" s="123">
        <f t="shared" si="51"/>
        <v>0</v>
      </c>
      <c r="BO39" s="123">
        <f t="shared" si="52"/>
        <v>0</v>
      </c>
      <c r="BP39" s="123">
        <f t="shared" si="53"/>
        <v>0</v>
      </c>
      <c r="BQ39" s="123">
        <f t="shared" si="54"/>
        <v>0</v>
      </c>
      <c r="BR39" s="123">
        <f t="shared" si="55"/>
        <v>0</v>
      </c>
      <c r="BS39" s="123"/>
      <c r="BT39" s="123"/>
      <c r="BU39" s="123">
        <f t="shared" si="56"/>
        <v>0</v>
      </c>
      <c r="BV39" s="123">
        <f t="shared" si="57"/>
        <v>0</v>
      </c>
      <c r="BX39" s="123">
        <f t="shared" si="58"/>
        <v>0</v>
      </c>
      <c r="BY39" s="123"/>
    </row>
    <row r="40" spans="5:77" x14ac:dyDescent="0.25">
      <c r="E40">
        <v>29</v>
      </c>
      <c r="F40">
        <v>60</v>
      </c>
      <c r="G40" s="58">
        <f t="shared" si="1"/>
        <v>-2.5754583496661624E-6</v>
      </c>
      <c r="H40" s="58">
        <f t="shared" si="2"/>
        <v>-4.8731640362107524E-2</v>
      </c>
      <c r="I40">
        <f t="shared" si="20"/>
        <v>17.89766636304012</v>
      </c>
      <c r="J40">
        <f t="shared" si="3"/>
        <v>-0.66378653657728715</v>
      </c>
      <c r="K40" t="str">
        <f t="shared" si="4"/>
        <v>37499.9970021092-10.6028721523665i</v>
      </c>
      <c r="L40" t="str">
        <f t="shared" si="5"/>
        <v>1000000000-5305165873.43827i</v>
      </c>
      <c r="M40" t="str">
        <f t="shared" si="6"/>
        <v>149999.227884392-4.09558703593481i</v>
      </c>
      <c r="N40">
        <f t="shared" si="21"/>
        <v>-13.979364553591289</v>
      </c>
      <c r="O40">
        <f t="shared" si="7"/>
        <v>-1.1708461798875545E-2</v>
      </c>
      <c r="P40" t="str">
        <f t="shared" si="8"/>
        <v>-470232.748930887i</v>
      </c>
      <c r="Q40" t="str">
        <f t="shared" si="9"/>
        <v>9360-434849.661757235i</v>
      </c>
      <c r="R40" t="str">
        <f t="shared" si="22"/>
        <v>2526.26495759193-225950.91369005i</v>
      </c>
      <c r="S40" t="str">
        <f t="shared" si="10"/>
        <v>99434724.5516522-7497200.04416816i</v>
      </c>
      <c r="T40" t="str">
        <f t="shared" si="23"/>
        <v>3035.66363646031-225899.868567586i</v>
      </c>
      <c r="U40" t="str">
        <f t="shared" si="24"/>
        <v>0.999999910000008-0.000299999973000002i</v>
      </c>
      <c r="V40">
        <f t="shared" si="11"/>
        <v>47.07910336239437</v>
      </c>
      <c r="W40">
        <f t="shared" si="12"/>
        <v>-89.247307579120445</v>
      </c>
      <c r="X40">
        <f t="shared" si="25"/>
        <v>-3.9086501795238646E-7</v>
      </c>
      <c r="Y40">
        <f t="shared" si="13"/>
        <v>-1.7188736914277858E-2</v>
      </c>
      <c r="AA40" s="123">
        <f t="shared" si="26"/>
        <v>17.89766378758177</v>
      </c>
      <c r="AB40" s="123">
        <f t="shared" si="27"/>
        <v>-0.71251817693939468</v>
      </c>
      <c r="AC40">
        <f t="shared" si="28"/>
        <v>33.099738808803082</v>
      </c>
      <c r="AD40">
        <f t="shared" si="29"/>
        <v>-89.25901604091932</v>
      </c>
      <c r="AE40" s="123">
        <f t="shared" si="30"/>
        <v>50.997402596384852</v>
      </c>
      <c r="AF40" s="123">
        <f t="shared" si="31"/>
        <v>-89.971534217858718</v>
      </c>
      <c r="AI40" s="123">
        <f t="shared" si="32"/>
        <v>0</v>
      </c>
      <c r="AJ40" s="123">
        <f t="shared" si="33"/>
        <v>0</v>
      </c>
      <c r="AK40" s="123">
        <f t="shared" si="34"/>
        <v>0</v>
      </c>
      <c r="AL40" s="123">
        <f t="shared" si="35"/>
        <v>0</v>
      </c>
      <c r="AM40" s="123">
        <f t="shared" si="36"/>
        <v>0</v>
      </c>
      <c r="AN40" s="123">
        <f t="shared" si="37"/>
        <v>0</v>
      </c>
      <c r="AO40" s="123">
        <f t="shared" si="38"/>
        <v>0</v>
      </c>
      <c r="AP40" s="123"/>
      <c r="AQ40" s="123">
        <f t="shared" si="39"/>
        <v>0</v>
      </c>
      <c r="AR40" s="123">
        <f t="shared" si="40"/>
        <v>0</v>
      </c>
      <c r="AS40" s="123">
        <f t="shared" si="41"/>
        <v>0</v>
      </c>
      <c r="AW40" t="str">
        <f t="shared" si="14"/>
        <v>17140</v>
      </c>
      <c r="AX40" t="str">
        <f t="shared" si="15"/>
        <v>8506-427147.010743822i</v>
      </c>
      <c r="AY40" t="str">
        <f t="shared" si="42"/>
        <v>17098.8543631783-685.301246726107i</v>
      </c>
      <c r="AZ40">
        <f t="shared" si="16"/>
        <v>10.686910692350731</v>
      </c>
      <c r="BA40">
        <f t="shared" si="17"/>
        <v>-2.2951171387693909</v>
      </c>
      <c r="BB40">
        <f t="shared" si="18"/>
        <v>-2.0970720218702708</v>
      </c>
      <c r="BC40">
        <f t="shared" si="19"/>
        <v>0.49289264865576488</v>
      </c>
      <c r="BD40" s="123">
        <f t="shared" si="43"/>
        <v>-2.0970745973286204</v>
      </c>
      <c r="BE40" s="123">
        <f t="shared" si="44"/>
        <v>0.44416100829365734</v>
      </c>
      <c r="BF40">
        <f t="shared" si="45"/>
        <v>57.766014054745099</v>
      </c>
      <c r="BG40">
        <f t="shared" si="46"/>
        <v>-91.54242471788983</v>
      </c>
      <c r="BH40" s="123">
        <f t="shared" si="47"/>
        <v>55.668939457416478</v>
      </c>
      <c r="BI40" s="123">
        <f t="shared" si="48"/>
        <v>-91.098263709596168</v>
      </c>
      <c r="BL40" s="123">
        <f t="shared" si="49"/>
        <v>0</v>
      </c>
      <c r="BM40" s="123">
        <f t="shared" si="50"/>
        <v>0</v>
      </c>
      <c r="BN40" s="123">
        <f t="shared" si="51"/>
        <v>0</v>
      </c>
      <c r="BO40" s="123">
        <f t="shared" si="52"/>
        <v>0</v>
      </c>
      <c r="BP40" s="123">
        <f t="shared" si="53"/>
        <v>0</v>
      </c>
      <c r="BQ40" s="123">
        <f t="shared" si="54"/>
        <v>0</v>
      </c>
      <c r="BR40" s="123">
        <f t="shared" si="55"/>
        <v>0</v>
      </c>
      <c r="BS40" s="123"/>
      <c r="BT40" s="123"/>
      <c r="BU40" s="123">
        <f t="shared" si="56"/>
        <v>0</v>
      </c>
      <c r="BV40" s="123">
        <f t="shared" si="57"/>
        <v>0</v>
      </c>
      <c r="BX40" s="123">
        <f t="shared" si="58"/>
        <v>0</v>
      </c>
      <c r="BY40" s="123"/>
    </row>
    <row r="41" spans="5:77" x14ac:dyDescent="0.25">
      <c r="E41">
        <v>30</v>
      </c>
      <c r="F41">
        <v>65</v>
      </c>
      <c r="G41" s="58">
        <f t="shared" si="1"/>
        <v>-3.0225863875907131E-6</v>
      </c>
      <c r="H41" s="58">
        <f t="shared" si="2"/>
        <v>-5.2792608779685286E-2</v>
      </c>
      <c r="I41">
        <f t="shared" si="20"/>
        <v>17.897217725989112</v>
      </c>
      <c r="J41">
        <f t="shared" si="3"/>
        <v>-0.71901828830311387</v>
      </c>
      <c r="K41" t="str">
        <f t="shared" si="4"/>
        <v>37499.996481642-11.4864446723086i</v>
      </c>
      <c r="L41" t="str">
        <f t="shared" si="5"/>
        <v>1000000000-4897076190.86609i</v>
      </c>
      <c r="M41" t="str">
        <f t="shared" si="6"/>
        <v>149999.099204005-4.41060503113722i</v>
      </c>
      <c r="N41">
        <f t="shared" si="21"/>
        <v>-13.979358633174384</v>
      </c>
      <c r="O41">
        <f t="shared" si="7"/>
        <v>-1.2692194464410462E-2</v>
      </c>
      <c r="P41" t="str">
        <f t="shared" si="8"/>
        <v>-434060.999013126i</v>
      </c>
      <c r="Q41" t="str">
        <f t="shared" si="9"/>
        <v>9360-401399.687775909i</v>
      </c>
      <c r="R41" t="str">
        <f t="shared" si="22"/>
        <v>2526.21805710469-208574.260448217i</v>
      </c>
      <c r="S41" t="str">
        <f t="shared" si="10"/>
        <v>99337236.8761092-8114003.78547435i</v>
      </c>
      <c r="T41" t="str">
        <f t="shared" si="23"/>
        <v>2960.1429538144-208527.29856911i</v>
      </c>
      <c r="U41" t="str">
        <f t="shared" si="24"/>
        <v>0.999999894375011-0.000324999965671879i</v>
      </c>
      <c r="V41">
        <f t="shared" si="11"/>
        <v>46.38413294712349</v>
      </c>
      <c r="W41">
        <f t="shared" si="12"/>
        <v>-89.205353808692209</v>
      </c>
      <c r="X41">
        <f t="shared" si="25"/>
        <v>-4.5872352328954592E-7</v>
      </c>
      <c r="Y41">
        <f t="shared" si="13"/>
        <v>-1.8621131560149343E-2</v>
      </c>
      <c r="AA41" s="123">
        <f t="shared" si="26"/>
        <v>17.897214703402724</v>
      </c>
      <c r="AB41" s="123">
        <f t="shared" si="27"/>
        <v>-0.77181089708279915</v>
      </c>
      <c r="AC41">
        <f t="shared" si="28"/>
        <v>32.404774313949105</v>
      </c>
      <c r="AD41">
        <f t="shared" si="29"/>
        <v>-89.218046003156616</v>
      </c>
      <c r="AE41" s="123">
        <f t="shared" si="30"/>
        <v>50.301989017351829</v>
      </c>
      <c r="AF41" s="123">
        <f t="shared" si="31"/>
        <v>-89.989856900239417</v>
      </c>
      <c r="AI41" s="123">
        <f t="shared" si="32"/>
        <v>0</v>
      </c>
      <c r="AJ41" s="123">
        <f t="shared" si="33"/>
        <v>0</v>
      </c>
      <c r="AK41" s="123">
        <f t="shared" si="34"/>
        <v>0</v>
      </c>
      <c r="AL41" s="123">
        <f t="shared" si="35"/>
        <v>0</v>
      </c>
      <c r="AM41" s="123">
        <f t="shared" si="36"/>
        <v>0</v>
      </c>
      <c r="AN41" s="123">
        <f t="shared" si="37"/>
        <v>0</v>
      </c>
      <c r="AO41" s="123">
        <f t="shared" si="38"/>
        <v>0</v>
      </c>
      <c r="AP41" s="123"/>
      <c r="AQ41" s="123">
        <f t="shared" si="39"/>
        <v>0</v>
      </c>
      <c r="AR41" s="123">
        <f t="shared" si="40"/>
        <v>0</v>
      </c>
      <c r="AS41" s="123">
        <f t="shared" si="41"/>
        <v>0</v>
      </c>
      <c r="AW41" t="str">
        <f t="shared" si="14"/>
        <v>17140</v>
      </c>
      <c r="AX41" t="str">
        <f t="shared" si="15"/>
        <v>8506-394289.548378912i</v>
      </c>
      <c r="AY41" t="str">
        <f t="shared" si="42"/>
        <v>17091.7411172205-741.947013039018i</v>
      </c>
      <c r="AZ41">
        <f t="shared" si="16"/>
        <v>10.684502180427437</v>
      </c>
      <c r="BA41">
        <f t="shared" si="17"/>
        <v>-2.4856314486890803</v>
      </c>
      <c r="BB41">
        <f t="shared" si="18"/>
        <v>-2.0966082573693261</v>
      </c>
      <c r="BC41">
        <f t="shared" si="19"/>
        <v>0.53384780489003469</v>
      </c>
      <c r="BD41" s="123">
        <f t="shared" si="43"/>
        <v>-2.0966112799557135</v>
      </c>
      <c r="BE41" s="123">
        <f t="shared" si="44"/>
        <v>0.48105519611034941</v>
      </c>
      <c r="BF41">
        <f t="shared" si="45"/>
        <v>57.068635127550927</v>
      </c>
      <c r="BG41">
        <f t="shared" si="46"/>
        <v>-91.690985257381286</v>
      </c>
      <c r="BH41" s="123">
        <f t="shared" si="47"/>
        <v>54.97202384759521</v>
      </c>
      <c r="BI41" s="123">
        <f t="shared" si="48"/>
        <v>-91.209930061270938</v>
      </c>
      <c r="BL41" s="123">
        <f t="shared" si="49"/>
        <v>0</v>
      </c>
      <c r="BM41" s="123">
        <f t="shared" si="50"/>
        <v>0</v>
      </c>
      <c r="BN41" s="123">
        <f t="shared" si="51"/>
        <v>0</v>
      </c>
      <c r="BO41" s="123">
        <f t="shared" si="52"/>
        <v>0</v>
      </c>
      <c r="BP41" s="123">
        <f t="shared" si="53"/>
        <v>0</v>
      </c>
      <c r="BQ41" s="123">
        <f t="shared" si="54"/>
        <v>0</v>
      </c>
      <c r="BR41" s="123">
        <f t="shared" si="55"/>
        <v>0</v>
      </c>
      <c r="BS41" s="123"/>
      <c r="BT41" s="123"/>
      <c r="BU41" s="123">
        <f t="shared" si="56"/>
        <v>0</v>
      </c>
      <c r="BV41" s="123">
        <f t="shared" si="57"/>
        <v>0</v>
      </c>
      <c r="BX41" s="123">
        <f t="shared" si="58"/>
        <v>0</v>
      </c>
      <c r="BY41" s="123"/>
    </row>
    <row r="42" spans="5:77" x14ac:dyDescent="0.25">
      <c r="E42">
        <v>31</v>
      </c>
      <c r="F42">
        <v>70</v>
      </c>
      <c r="G42" s="58">
        <f t="shared" si="1"/>
        <v>-3.505484611662641E-6</v>
      </c>
      <c r="H42" s="58">
        <f t="shared" si="2"/>
        <v>-5.6853576810239642E-2</v>
      </c>
      <c r="I42">
        <f t="shared" si="20"/>
        <v>17.89673331929972</v>
      </c>
      <c r="J42">
        <f t="shared" si="3"/>
        <v>-0.77422995488088198</v>
      </c>
      <c r="K42" t="str">
        <f t="shared" si="4"/>
        <v>37499.9959195374-12.3700171539895i</v>
      </c>
      <c r="L42" t="str">
        <f t="shared" si="5"/>
        <v>1000000000-4547285034.37566i</v>
      </c>
      <c r="M42" t="str">
        <f t="shared" si="6"/>
        <v>149998.961930531-4.71968980583272i</v>
      </c>
      <c r="N42">
        <f t="shared" si="21"/>
        <v>-13.979352317901741</v>
      </c>
      <c r="O42">
        <f t="shared" si="7"/>
        <v>-1.3677739446271113E-2</v>
      </c>
      <c r="P42" t="str">
        <f t="shared" si="8"/>
        <v>-403056.64194076i</v>
      </c>
      <c r="Q42" t="str">
        <f t="shared" si="9"/>
        <v>9360-372728.281506201i</v>
      </c>
      <c r="R42" t="str">
        <f t="shared" si="22"/>
        <v>2526.1674065344-193680.297059083i</v>
      </c>
      <c r="S42" t="str">
        <f t="shared" si="10"/>
        <v>99232164.6675276-8728915.29054128i</v>
      </c>
      <c r="T42" t="str">
        <f t="shared" si="23"/>
        <v>2900.20608647903-193636.804873574i</v>
      </c>
      <c r="U42" t="str">
        <f t="shared" si="24"/>
        <v>0.999999877500015-0.000349999957125005i</v>
      </c>
      <c r="V42">
        <f t="shared" si="11"/>
        <v>45.74073175734619</v>
      </c>
      <c r="W42">
        <f t="shared" si="12"/>
        <v>-89.161985486269174</v>
      </c>
      <c r="X42">
        <f t="shared" si="25"/>
        <v>-5.3201070806763932E-7</v>
      </c>
      <c r="Y42">
        <f t="shared" si="13"/>
        <v>-2.0053526182744336E-2</v>
      </c>
      <c r="AA42" s="123">
        <f t="shared" si="26"/>
        <v>17.89672981381511</v>
      </c>
      <c r="AB42" s="123">
        <f t="shared" si="27"/>
        <v>-0.83108353169112159</v>
      </c>
      <c r="AC42">
        <f t="shared" si="28"/>
        <v>31.761379439444447</v>
      </c>
      <c r="AD42">
        <f t="shared" si="29"/>
        <v>-89.175663225715439</v>
      </c>
      <c r="AE42" s="123">
        <f t="shared" si="30"/>
        <v>49.658109253259553</v>
      </c>
      <c r="AF42" s="123">
        <f t="shared" si="31"/>
        <v>-90.00674675740656</v>
      </c>
      <c r="AI42" s="123">
        <f t="shared" si="32"/>
        <v>0</v>
      </c>
      <c r="AJ42" s="123">
        <f t="shared" si="33"/>
        <v>0</v>
      </c>
      <c r="AK42" s="123">
        <f t="shared" si="34"/>
        <v>0</v>
      </c>
      <c r="AL42" s="123">
        <f t="shared" si="35"/>
        <v>0</v>
      </c>
      <c r="AM42" s="123">
        <f t="shared" si="36"/>
        <v>0</v>
      </c>
      <c r="AN42" s="123">
        <f t="shared" si="37"/>
        <v>0</v>
      </c>
      <c r="AO42" s="123">
        <f t="shared" si="38"/>
        <v>0</v>
      </c>
      <c r="AP42" s="123"/>
      <c r="AQ42" s="123">
        <f t="shared" si="39"/>
        <v>0</v>
      </c>
      <c r="AR42" s="123">
        <f t="shared" si="40"/>
        <v>0</v>
      </c>
      <c r="AS42" s="123">
        <f t="shared" si="41"/>
        <v>0</v>
      </c>
      <c r="AW42" t="str">
        <f t="shared" si="14"/>
        <v>17140</v>
      </c>
      <c r="AX42" t="str">
        <f t="shared" si="15"/>
        <v>8506-366126.00920899i</v>
      </c>
      <c r="AY42" t="str">
        <f t="shared" si="42"/>
        <v>17084.0687631487-798.482435408833i</v>
      </c>
      <c r="AZ42">
        <f t="shared" si="16"/>
        <v>10.681902858906451</v>
      </c>
      <c r="BA42">
        <f t="shared" si="17"/>
        <v>-2.6759675472379967</v>
      </c>
      <c r="BB42">
        <f t="shared" si="18"/>
        <v>-2.0961076265000682</v>
      </c>
      <c r="BC42">
        <f t="shared" si="19"/>
        <v>0.57477441126671991</v>
      </c>
      <c r="BD42" s="123">
        <f t="shared" si="43"/>
        <v>-2.0961111319846797</v>
      </c>
      <c r="BE42" s="123">
        <f t="shared" si="44"/>
        <v>0.51792083445648029</v>
      </c>
      <c r="BF42">
        <f t="shared" si="45"/>
        <v>56.422634616252637</v>
      </c>
      <c r="BG42">
        <f t="shared" si="46"/>
        <v>-91.837953033507176</v>
      </c>
      <c r="BH42" s="123">
        <f t="shared" si="47"/>
        <v>54.326523484267959</v>
      </c>
      <c r="BI42" s="123">
        <f t="shared" si="48"/>
        <v>-91.320032199050701</v>
      </c>
      <c r="BL42" s="123">
        <f t="shared" si="49"/>
        <v>0</v>
      </c>
      <c r="BM42" s="123">
        <f t="shared" si="50"/>
        <v>0</v>
      </c>
      <c r="BN42" s="123">
        <f t="shared" si="51"/>
        <v>0</v>
      </c>
      <c r="BO42" s="123">
        <f t="shared" si="52"/>
        <v>0</v>
      </c>
      <c r="BP42" s="123">
        <f t="shared" si="53"/>
        <v>0</v>
      </c>
      <c r="BQ42" s="123">
        <f t="shared" si="54"/>
        <v>0</v>
      </c>
      <c r="BR42" s="123">
        <f t="shared" si="55"/>
        <v>0</v>
      </c>
      <c r="BS42" s="123"/>
      <c r="BT42" s="123"/>
      <c r="BU42" s="123">
        <f t="shared" si="56"/>
        <v>0</v>
      </c>
      <c r="BV42" s="123">
        <f t="shared" si="57"/>
        <v>0</v>
      </c>
      <c r="BX42" s="123">
        <f t="shared" si="58"/>
        <v>0</v>
      </c>
      <c r="BY42" s="123"/>
    </row>
    <row r="43" spans="5:77" x14ac:dyDescent="0.25">
      <c r="E43">
        <v>32</v>
      </c>
      <c r="F43">
        <v>75</v>
      </c>
      <c r="G43" s="58">
        <f t="shared" si="1"/>
        <v>-4.0241530259192956E-6</v>
      </c>
      <c r="H43" s="58">
        <f t="shared" si="2"/>
        <v>-6.0914544423999809E-2</v>
      </c>
      <c r="I43">
        <f t="shared" si="20"/>
        <v>17.896213170912102</v>
      </c>
      <c r="J43">
        <f t="shared" si="3"/>
        <v>-0.82942000096643109</v>
      </c>
      <c r="K43" t="str">
        <f t="shared" si="4"/>
        <v>37499.9953157958-13.253589594466i</v>
      </c>
      <c r="L43" t="str">
        <f t="shared" si="5"/>
        <v>1000000000-4244132698.75061i</v>
      </c>
      <c r="M43" t="str">
        <f t="shared" si="6"/>
        <v>149998.816419318-5.02252009856123i</v>
      </c>
      <c r="N43">
        <f t="shared" si="21"/>
        <v>-13.9793456242273</v>
      </c>
      <c r="O43">
        <f t="shared" si="7"/>
        <v>-1.4665194879023289E-2</v>
      </c>
      <c r="P43" t="str">
        <f t="shared" si="8"/>
        <v>-376186.19914471i</v>
      </c>
      <c r="Q43" t="str">
        <f t="shared" si="9"/>
        <v>9360-347879.729405788i</v>
      </c>
      <c r="R43" t="str">
        <f t="shared" si="22"/>
        <v>2526.11300633231-180772.485517201i</v>
      </c>
      <c r="S43" t="str">
        <f t="shared" si="10"/>
        <v>99119556.6351816-9341796.18505903i</v>
      </c>
      <c r="T43" t="str">
        <f t="shared" si="23"/>
        <v>2851.83849025769-180731.979439939i</v>
      </c>
      <c r="U43" t="str">
        <f t="shared" si="24"/>
        <v>0.99999985937502-0.000374999947265632i</v>
      </c>
      <c r="V43">
        <f t="shared" si="11"/>
        <v>45.14178070266027</v>
      </c>
      <c r="W43">
        <f t="shared" si="12"/>
        <v>-89.117487633389558</v>
      </c>
      <c r="X43">
        <f t="shared" si="25"/>
        <v>-6.1072656953109756E-7</v>
      </c>
      <c r="Y43">
        <f t="shared" si="13"/>
        <v>-2.1485920780272443E-2</v>
      </c>
      <c r="AA43" s="123">
        <f t="shared" si="26"/>
        <v>17.896209146759077</v>
      </c>
      <c r="AB43" s="123">
        <f t="shared" si="27"/>
        <v>-0.89033454539043089</v>
      </c>
      <c r="AC43">
        <f t="shared" si="28"/>
        <v>31.162435078432971</v>
      </c>
      <c r="AD43">
        <f t="shared" si="29"/>
        <v>-89.132152828268588</v>
      </c>
      <c r="AE43" s="123">
        <f t="shared" si="30"/>
        <v>49.058644225192047</v>
      </c>
      <c r="AF43" s="123">
        <f t="shared" si="31"/>
        <v>-90.022487373659018</v>
      </c>
      <c r="AI43" s="123">
        <f t="shared" si="32"/>
        <v>0</v>
      </c>
      <c r="AJ43" s="123">
        <f t="shared" si="33"/>
        <v>0</v>
      </c>
      <c r="AK43" s="123">
        <f t="shared" si="34"/>
        <v>0</v>
      </c>
      <c r="AL43" s="123">
        <f t="shared" si="35"/>
        <v>0</v>
      </c>
      <c r="AM43" s="123">
        <f t="shared" si="36"/>
        <v>0</v>
      </c>
      <c r="AN43" s="123">
        <f t="shared" si="37"/>
        <v>0</v>
      </c>
      <c r="AO43" s="123">
        <f t="shared" si="38"/>
        <v>0</v>
      </c>
      <c r="AP43" s="123"/>
      <c r="AQ43" s="123">
        <f t="shared" si="39"/>
        <v>0</v>
      </c>
      <c r="AR43" s="123">
        <f t="shared" si="40"/>
        <v>0</v>
      </c>
      <c r="AS43" s="123">
        <f t="shared" si="41"/>
        <v>0</v>
      </c>
      <c r="AW43" t="str">
        <f t="shared" si="14"/>
        <v>17140</v>
      </c>
      <c r="AX43" t="str">
        <f t="shared" si="15"/>
        <v>8506-341717.608595057i</v>
      </c>
      <c r="AY43" t="str">
        <f t="shared" si="42"/>
        <v>17075.8395742672-854.899292204286i</v>
      </c>
      <c r="AZ43">
        <f t="shared" si="16"/>
        <v>10.679113156696509</v>
      </c>
      <c r="BA43">
        <f t="shared" si="17"/>
        <v>-2.8661119926861089</v>
      </c>
      <c r="BB43">
        <f t="shared" si="18"/>
        <v>-2.0955701832433231</v>
      </c>
      <c r="BC43">
        <f t="shared" si="19"/>
        <v>0.6156702968201061</v>
      </c>
      <c r="BD43" s="123">
        <f t="shared" si="43"/>
        <v>-2.095574207396349</v>
      </c>
      <c r="BE43" s="123">
        <f t="shared" si="44"/>
        <v>0.55475575239610631</v>
      </c>
      <c r="BF43">
        <f t="shared" si="45"/>
        <v>55.820893859356779</v>
      </c>
      <c r="BG43">
        <f t="shared" si="46"/>
        <v>-91.983599626075673</v>
      </c>
      <c r="BH43" s="123">
        <f t="shared" si="47"/>
        <v>53.725319651960433</v>
      </c>
      <c r="BI43" s="123">
        <f t="shared" si="48"/>
        <v>-91.428843873679568</v>
      </c>
      <c r="BL43" s="123">
        <f t="shared" si="49"/>
        <v>0</v>
      </c>
      <c r="BM43" s="123">
        <f t="shared" si="50"/>
        <v>0</v>
      </c>
      <c r="BN43" s="123">
        <f t="shared" si="51"/>
        <v>0</v>
      </c>
      <c r="BO43" s="123">
        <f t="shared" si="52"/>
        <v>0</v>
      </c>
      <c r="BP43" s="123">
        <f t="shared" si="53"/>
        <v>0</v>
      </c>
      <c r="BQ43" s="123">
        <f t="shared" si="54"/>
        <v>0</v>
      </c>
      <c r="BR43" s="123">
        <f t="shared" si="55"/>
        <v>0</v>
      </c>
      <c r="BS43" s="123"/>
      <c r="BT43" s="123"/>
      <c r="BU43" s="123">
        <f t="shared" si="56"/>
        <v>0</v>
      </c>
      <c r="BV43" s="123">
        <f t="shared" si="57"/>
        <v>0</v>
      </c>
      <c r="BX43" s="123">
        <f t="shared" si="58"/>
        <v>0</v>
      </c>
      <c r="BY43" s="123"/>
    </row>
    <row r="44" spans="5:77" x14ac:dyDescent="0.25">
      <c r="E44">
        <v>33</v>
      </c>
      <c r="F44">
        <v>80</v>
      </c>
      <c r="G44" s="58">
        <f t="shared" ref="G44:G75" si="59">20*LOG(IMABS(IMDIV(1,IMSUM(0,IMSUM(COMPLEX(0,2*PI*F44/Wsh),COMPLEX(1-(F44/fsw_sh)^2,0))))))</f>
        <v>-4.5785915933738498E-6</v>
      </c>
      <c r="H44" s="58">
        <f t="shared" ref="H44:H75" si="60">180/PI*IMARGUMENT(IMDIV(1,IMSUM(0,IMSUM(COMPLEX(0,2*PI*F44/Wsh),COMPLEX(1-(F44/fsw_sh)^2,0)))))</f>
        <v>-6.4975511591195356E-2</v>
      </c>
      <c r="I44">
        <f t="shared" ref="I44:I75" si="61">20*LOG(IMABS(IMPRODUCT(A_COMP2VOUT,IMDIV(COMPLEX(1, 2*PI*F44/Wesr_zero),COMPLEX(1, 2*PI*F44/Wload_pole)))))</f>
        <v>17.895657310814592</v>
      </c>
      <c r="J44">
        <f t="shared" ref="J44:J75" si="62">180/PI*(IMARGUMENT(IMPRODUCT(A_COMP2VOUT,IMDIV(COMPLEX(1, 2*PI*F44/Wesr_zero),COMPLEX(1, 2*PI*F44/Wload_pole)))))</f>
        <v>-0.88458689335703589</v>
      </c>
      <c r="K44" t="str">
        <f t="shared" ref="K44:K75" si="63">IMDIV(IMPRODUCT(COMPLEX(R.fbb,0),IMDIV(COMPLEX(1,0),COMPLEX(0,2*PI*F44*C.fbb))),IMSUM(COMPLEX(R.fbb,0),IMDIV(COMPLEX(1,0),COMPLEX(0,2*PI*F44*C.fbb))) )</f>
        <v>37499.9946704166-14.1371619907948i</v>
      </c>
      <c r="L44" t="str">
        <f t="shared" ref="L44:L75" si="64">IMSUM(COMPLEX(R.ff,0),IMDIV(COMPLEX(1,0),COMPLEX(0,2*PI*F44*C.ff)))</f>
        <v>1000000000-3978874405.0787i</v>
      </c>
      <c r="M44" t="str">
        <f t="shared" ref="M44:M75" si="65">IMDIV(IMPRODUCT(COMPLEX(R.fbt,0),L44),IMSUM(COMPLEX(R.fbt,0),L44))</f>
        <v>149998.663039417-5.31880042404635i</v>
      </c>
      <c r="N44">
        <f t="shared" si="21"/>
        <v>-13.979338569239562</v>
      </c>
      <c r="O44">
        <f t="shared" ref="O44:O75" si="66">180/PI*IMARGUMENT((IMDIV(K44,IMSUM(K44,M44))))</f>
        <v>-1.5654651024545236E-2</v>
      </c>
      <c r="P44" t="str">
        <f t="shared" ref="P44:P75" si="67">IMDIV(COMPLEX(1,0),COMPLEX(0,2*PI*F44*C.hf))</f>
        <v>-352674.561698165i</v>
      </c>
      <c r="Q44" t="str">
        <f t="shared" ref="Q44:Q75" si="68">IMSUM(R.comp,0,IMDIV(COMPLEX(1,0),COMPLEX(0,2*PI*F44*C.comp)))</f>
        <v>9360-326137.246317926i</v>
      </c>
      <c r="R44" t="str">
        <f t="shared" si="22"/>
        <v>2526.054856983-169478.422316065i</v>
      </c>
      <c r="S44" t="str">
        <f t="shared" ref="S44:S75" si="69">IMDIV(IMPRODUCT(COMPLEX(R.eaout,0),IMDIV(1,COMPLEX(0,2*PI*F44*C.eaout))),IMSUM(COMPLEX(R.eaout,0),IMDIV(1,COMPLEX(0,2*PI*F44*C.eaout))))</f>
        <v>98999464.8094362-9952509.6527874i</v>
      </c>
      <c r="T44" t="str">
        <f t="shared" si="23"/>
        <v>2812.23949543966-169440.514178575i</v>
      </c>
      <c r="U44" t="str">
        <f t="shared" si="24"/>
        <v>0.999999840000026-0.00039999993600001i</v>
      </c>
      <c r="V44">
        <f t="shared" ref="V44:V75" si="70">20*LOG(IMABS(IMPRODUCT(IMPRODUCT(COMPLEX(GM,0),T44),U44)))</f>
        <v>44.581540692978109</v>
      </c>
      <c r="W44">
        <f t="shared" ref="W44:W75" si="71">180/PI*IMARGUMENT((IMPRODUCT(IMPRODUCT(COMPLEX(GM,0),T44),U44)))</f>
        <v>-89.072074162673317</v>
      </c>
      <c r="X44">
        <f t="shared" si="25"/>
        <v>-6.9487111168482278E-7</v>
      </c>
      <c r="Y44">
        <f t="shared" ref="Y44:Y75" si="72">180/PI*IMARGUMENT((U44))</f>
        <v>-2.2918315350943182E-2</v>
      </c>
      <c r="AA44" s="123">
        <f t="shared" si="26"/>
        <v>17.895652732222999</v>
      </c>
      <c r="AB44" s="123">
        <f t="shared" si="27"/>
        <v>-0.94956240494823119</v>
      </c>
      <c r="AC44">
        <f t="shared" si="28"/>
        <v>30.602202123738547</v>
      </c>
      <c r="AD44">
        <f t="shared" si="29"/>
        <v>-89.087728813697865</v>
      </c>
      <c r="AE44" s="123">
        <f t="shared" si="30"/>
        <v>48.497854855961549</v>
      </c>
      <c r="AF44" s="123">
        <f t="shared" si="31"/>
        <v>-90.037291218646089</v>
      </c>
      <c r="AI44" s="123">
        <f t="shared" si="32"/>
        <v>0</v>
      </c>
      <c r="AJ44" s="123">
        <f t="shared" si="33"/>
        <v>0</v>
      </c>
      <c r="AK44" s="123">
        <f t="shared" si="34"/>
        <v>0</v>
      </c>
      <c r="AL44" s="123">
        <f t="shared" si="35"/>
        <v>0</v>
      </c>
      <c r="AM44" s="123">
        <f t="shared" si="36"/>
        <v>0</v>
      </c>
      <c r="AN44" s="123">
        <f t="shared" si="37"/>
        <v>0</v>
      </c>
      <c r="AO44" s="123">
        <f t="shared" si="38"/>
        <v>0</v>
      </c>
      <c r="AP44" s="123"/>
      <c r="AQ44" s="123">
        <f t="shared" si="39"/>
        <v>0</v>
      </c>
      <c r="AR44" s="123">
        <f t="shared" si="40"/>
        <v>0</v>
      </c>
      <c r="AS44" s="123">
        <f t="shared" si="41"/>
        <v>0</v>
      </c>
      <c r="AW44" t="str">
        <f t="shared" ref="AW44:AW75" si="73">COMPLEX(R.imon,0)</f>
        <v>17140</v>
      </c>
      <c r="AX44" t="str">
        <f t="shared" ref="AX44:AX75" si="74">IMSUM(R.imonhf,0,IMDIV(COMPLEX(1,0),COMPLEX(0,2*PI*F44*C.imon)))</f>
        <v>8506-320360.258057866i</v>
      </c>
      <c r="AY44" t="str">
        <f t="shared" si="42"/>
        <v>17067.0559837563-911.189420089325i</v>
      </c>
      <c r="AZ44">
        <f t="shared" ref="AZ44:AZ75" si="75">20*LOG(IMABS(IMDIV(IMPRODUCT(IMPRODUCT(COMPLEX(-1,0),COMPLEX(GM.imon,0)),AY44),COMPLEX(A.s_typ,0))))</f>
        <v>10.676133533395012</v>
      </c>
      <c r="BA44">
        <f t="shared" ref="BA44:BA75" si="76">180/PI*(IMARGUMENT(IMDIV(IMPRODUCT(IMPRODUCT(COMPLEX(1,0),COMPLEX(GM.imon,0)),AY44),COMPLEX(A.s_typ,0))))</f>
        <v>-3.0560514019563172</v>
      </c>
      <c r="BB44">
        <f t="shared" ref="BB44:BB75" si="77">20*LOG(IMABS(IMPRODUCT(A_COMP2CS,IMPRODUCT(IMDIV(COMPLEX(1, 2*PI*F44/Wesr_zero),COMPLEX(1, 2*PI*F44/Wload_pole)),IMDIV(COMPLEX(1, 2*PI*F44/WloadZ),COMPLEX(1, 2*PI*F44/Wesr_zero))))))</f>
        <v>-2.0949959855037368</v>
      </c>
      <c r="BC44">
        <f t="shared" ref="BC44:BC75" si="78">180/PI*(IMARGUMENT(IMPRODUCT(A_COMP2CS,IMPRODUCT(IMDIV(COMPLEX(1, 2*PI*F44/Wesr_zero),COMPLEX(1, 2*PI*F44/Wload_pole)),IMDIV(COMPLEX(1, 2*PI*F44/WloadZ),COMPLEX(1, 2*PI*F44/Wesr_zero))))))</f>
        <v>0.65653329614784151</v>
      </c>
      <c r="BD44" s="123">
        <f t="shared" si="43"/>
        <v>-2.0950005640953302</v>
      </c>
      <c r="BE44" s="123">
        <f t="shared" si="44"/>
        <v>0.5915577845566462</v>
      </c>
      <c r="BF44">
        <f t="shared" si="45"/>
        <v>55.257674226373119</v>
      </c>
      <c r="BG44">
        <f t="shared" si="46"/>
        <v>-92.128125564629642</v>
      </c>
      <c r="BH44" s="123">
        <f t="shared" si="47"/>
        <v>53.16267366227779</v>
      </c>
      <c r="BI44" s="123">
        <f t="shared" si="48"/>
        <v>-91.536567780073</v>
      </c>
      <c r="BL44" s="123">
        <f t="shared" si="49"/>
        <v>0</v>
      </c>
      <c r="BM44" s="123">
        <f t="shared" si="50"/>
        <v>0</v>
      </c>
      <c r="BN44" s="123">
        <f t="shared" si="51"/>
        <v>0</v>
      </c>
      <c r="BO44" s="123">
        <f t="shared" si="52"/>
        <v>0</v>
      </c>
      <c r="BP44" s="123">
        <f t="shared" si="53"/>
        <v>0</v>
      </c>
      <c r="BQ44" s="123">
        <f t="shared" si="54"/>
        <v>0</v>
      </c>
      <c r="BR44" s="123">
        <f t="shared" si="55"/>
        <v>0</v>
      </c>
      <c r="BS44" s="123"/>
      <c r="BT44" s="123"/>
      <c r="BU44" s="123">
        <f t="shared" si="56"/>
        <v>0</v>
      </c>
      <c r="BV44" s="123">
        <f t="shared" si="57"/>
        <v>0</v>
      </c>
      <c r="BX44" s="123">
        <f t="shared" si="58"/>
        <v>0</v>
      </c>
      <c r="BY44" s="123"/>
    </row>
    <row r="45" spans="5:77" x14ac:dyDescent="0.25">
      <c r="E45">
        <v>34</v>
      </c>
      <c r="F45">
        <v>85</v>
      </c>
      <c r="G45" s="58">
        <f t="shared" si="59"/>
        <v>-5.1688003266621224E-6</v>
      </c>
      <c r="H45" s="58">
        <f t="shared" si="60"/>
        <v>-6.9036478282054406E-2</v>
      </c>
      <c r="I45">
        <f t="shared" si="61"/>
        <v>17.895065771039079</v>
      </c>
      <c r="J45">
        <f t="shared" si="62"/>
        <v>-0.93972910114188102</v>
      </c>
      <c r="K45" t="str">
        <f t="shared" si="63"/>
        <v>37499.9939834001-15.020734340033i</v>
      </c>
      <c r="L45" t="str">
        <f t="shared" si="64"/>
        <v>1000000000-3744822969.48583i</v>
      </c>
      <c r="M45" t="str">
        <f t="shared" si="65"/>
        <v>149998.502171435-5.60826157399874i</v>
      </c>
      <c r="N45">
        <f t="shared" si="21"/>
        <v>-13.979331170562141</v>
      </c>
      <c r="O45">
        <f t="shared" si="66"/>
        <v>-1.6646190119022415E-2</v>
      </c>
      <c r="P45" t="str">
        <f t="shared" si="67"/>
        <v>-331928.999245332i</v>
      </c>
      <c r="Q45" t="str">
        <f t="shared" si="68"/>
        <v>9360-306952.702416872i</v>
      </c>
      <c r="R45" t="str">
        <f t="shared" si="22"/>
        <v>2525.99295900446-159513.328301367i</v>
      </c>
      <c r="S45" t="str">
        <f t="shared" si="69"/>
        <v>98871944.4823321-10560920.5335447i</v>
      </c>
      <c r="T45" t="str">
        <f t="shared" si="23"/>
        <v>2779.40708850723-159477.701627602i</v>
      </c>
      <c r="U45" t="str">
        <f t="shared" si="24"/>
        <v>0.999999819375033-0.000424999923234389i</v>
      </c>
      <c r="V45">
        <f t="shared" si="70"/>
        <v>44.055317509367988</v>
      </c>
      <c r="W45">
        <f t="shared" si="71"/>
        <v>-89.025908791956567</v>
      </c>
      <c r="X45">
        <f t="shared" si="25"/>
        <v>-7.8444433372225859E-7</v>
      </c>
      <c r="Y45">
        <f t="shared" si="72"/>
        <v>-2.4350709892966046E-2</v>
      </c>
      <c r="AA45" s="123">
        <f t="shared" si="26"/>
        <v>17.89506060223875</v>
      </c>
      <c r="AB45" s="123">
        <f t="shared" si="27"/>
        <v>-1.0087655794239354</v>
      </c>
      <c r="AC45">
        <f t="shared" si="28"/>
        <v>30.075986338805848</v>
      </c>
      <c r="AD45">
        <f t="shared" si="29"/>
        <v>-89.042554982075586</v>
      </c>
      <c r="AE45" s="123">
        <f t="shared" si="30"/>
        <v>47.971046941044598</v>
      </c>
      <c r="AF45" s="123">
        <f t="shared" si="31"/>
        <v>-90.051320561499523</v>
      </c>
      <c r="AI45" s="123">
        <f t="shared" si="32"/>
        <v>0</v>
      </c>
      <c r="AJ45" s="123">
        <f t="shared" si="33"/>
        <v>0</v>
      </c>
      <c r="AK45" s="123">
        <f t="shared" si="34"/>
        <v>0</v>
      </c>
      <c r="AL45" s="123">
        <f t="shared" si="35"/>
        <v>0</v>
      </c>
      <c r="AM45" s="123">
        <f t="shared" si="36"/>
        <v>0</v>
      </c>
      <c r="AN45" s="123">
        <f t="shared" si="37"/>
        <v>0</v>
      </c>
      <c r="AO45" s="123">
        <f t="shared" si="38"/>
        <v>0</v>
      </c>
      <c r="AP45" s="123"/>
      <c r="AQ45" s="123">
        <f t="shared" si="39"/>
        <v>0</v>
      </c>
      <c r="AR45" s="123">
        <f t="shared" si="40"/>
        <v>0</v>
      </c>
      <c r="AS45" s="123">
        <f t="shared" si="41"/>
        <v>0</v>
      </c>
      <c r="AW45" t="str">
        <f t="shared" si="73"/>
        <v>17140</v>
      </c>
      <c r="AX45" t="str">
        <f t="shared" si="74"/>
        <v>8506-301515.536995639i</v>
      </c>
      <c r="AY45" t="str">
        <f t="shared" si="42"/>
        <v>17057.720582887-967.344717870835i</v>
      </c>
      <c r="AZ45">
        <f t="shared" si="75"/>
        <v>10.672964479060012</v>
      </c>
      <c r="BA45">
        <f t="shared" si="76"/>
        <v>-3.2457724545861075</v>
      </c>
      <c r="BB45">
        <f t="shared" si="77"/>
        <v>-2.0943850950944598</v>
      </c>
      <c r="BC45">
        <f t="shared" si="78"/>
        <v>0.69736124979714975</v>
      </c>
      <c r="BD45" s="123">
        <f t="shared" si="43"/>
        <v>-2.0943902638947867</v>
      </c>
      <c r="BE45" s="123">
        <f t="shared" si="44"/>
        <v>0.62832477151509536</v>
      </c>
      <c r="BF45">
        <f t="shared" si="45"/>
        <v>54.728281988428002</v>
      </c>
      <c r="BG45">
        <f t="shared" si="46"/>
        <v>-92.27168124654267</v>
      </c>
      <c r="BH45" s="123">
        <f t="shared" si="47"/>
        <v>52.633891724533214</v>
      </c>
      <c r="BI45" s="123">
        <f t="shared" si="48"/>
        <v>-91.643356475027574</v>
      </c>
      <c r="BL45" s="123">
        <f t="shared" si="49"/>
        <v>0</v>
      </c>
      <c r="BM45" s="123">
        <f t="shared" si="50"/>
        <v>0</v>
      </c>
      <c r="BN45" s="123">
        <f t="shared" si="51"/>
        <v>0</v>
      </c>
      <c r="BO45" s="123">
        <f t="shared" si="52"/>
        <v>0</v>
      </c>
      <c r="BP45" s="123">
        <f t="shared" si="53"/>
        <v>0</v>
      </c>
      <c r="BQ45" s="123">
        <f t="shared" si="54"/>
        <v>0</v>
      </c>
      <c r="BR45" s="123">
        <f t="shared" si="55"/>
        <v>0</v>
      </c>
      <c r="BS45" s="123"/>
      <c r="BT45" s="123"/>
      <c r="BU45" s="123">
        <f t="shared" si="56"/>
        <v>0</v>
      </c>
      <c r="BV45" s="123">
        <f t="shared" si="57"/>
        <v>0</v>
      </c>
      <c r="BX45" s="123">
        <f t="shared" si="58"/>
        <v>0</v>
      </c>
      <c r="BY45" s="123"/>
    </row>
    <row r="46" spans="5:77" x14ac:dyDescent="0.25">
      <c r="E46">
        <v>35</v>
      </c>
      <c r="F46">
        <v>90</v>
      </c>
      <c r="G46" s="58">
        <f t="shared" si="59"/>
        <v>-5.794779196431423E-6</v>
      </c>
      <c r="H46" s="58">
        <f t="shared" si="60"/>
        <v>-7.3097444466806771E-2</v>
      </c>
      <c r="I46">
        <f t="shared" si="61"/>
        <v>17.8944385856562</v>
      </c>
      <c r="J46">
        <f t="shared" si="62"/>
        <v>-0.9948450958521029</v>
      </c>
      <c r="K46" t="str">
        <f t="shared" si="63"/>
        <v>37499.9932547463-15.9043066392373i</v>
      </c>
      <c r="L46" t="str">
        <f t="shared" si="64"/>
        <v>1000000000-3536777248.95884i</v>
      </c>
      <c r="M46" t="str">
        <f t="shared" si="65"/>
        <v>149998.334205379-5.89066091633803i</v>
      </c>
      <c r="N46">
        <f t="shared" si="21"/>
        <v>-13.979323446254089</v>
      </c>
      <c r="O46">
        <f t="shared" si="66"/>
        <v>-1.763988628150466E-2</v>
      </c>
      <c r="P46" t="str">
        <f t="shared" si="67"/>
        <v>-313488.499287258i</v>
      </c>
      <c r="Q46" t="str">
        <f t="shared" si="68"/>
        <v>9360-289899.774504823i</v>
      </c>
      <c r="R46" t="str">
        <f t="shared" si="22"/>
        <v>2525.92731294801-150655.708573158i</v>
      </c>
      <c r="S46" t="str">
        <f t="shared" si="69"/>
        <v>98737054.1447743-11166895.4185724i</v>
      </c>
      <c r="T46" t="str">
        <f t="shared" si="23"/>
        <v>2751.87942067239-150622.101834428i</v>
      </c>
      <c r="U46" t="str">
        <f t="shared" si="24"/>
        <v>0.999999797500041-0.000449999908875018i</v>
      </c>
      <c r="V46">
        <f t="shared" si="70"/>
        <v>43.55922260930609</v>
      </c>
      <c r="W46">
        <f t="shared" si="71"/>
        <v>-88.979118987084917</v>
      </c>
      <c r="X46">
        <f t="shared" si="25"/>
        <v>-8.794462377400096E-7</v>
      </c>
      <c r="Y46">
        <f t="shared" si="72"/>
        <v>-2.5783104404550491E-2</v>
      </c>
      <c r="AA46" s="123">
        <f t="shared" si="26"/>
        <v>17.894432790877005</v>
      </c>
      <c r="AB46" s="123">
        <f t="shared" si="27"/>
        <v>-1.0679425403189096</v>
      </c>
      <c r="AC46">
        <f t="shared" si="28"/>
        <v>29.579899163052001</v>
      </c>
      <c r="AD46">
        <f t="shared" si="29"/>
        <v>-88.996758873366417</v>
      </c>
      <c r="AE46" s="123">
        <f t="shared" si="30"/>
        <v>47.47433195392901</v>
      </c>
      <c r="AF46" s="123">
        <f t="shared" si="31"/>
        <v>-90.064701413685327</v>
      </c>
      <c r="AI46" s="123">
        <f t="shared" si="32"/>
        <v>0</v>
      </c>
      <c r="AJ46" s="123">
        <f t="shared" si="33"/>
        <v>0</v>
      </c>
      <c r="AK46" s="123">
        <f t="shared" si="34"/>
        <v>0</v>
      </c>
      <c r="AL46" s="123">
        <f t="shared" si="35"/>
        <v>0</v>
      </c>
      <c r="AM46" s="123">
        <f t="shared" si="36"/>
        <v>0</v>
      </c>
      <c r="AN46" s="123">
        <f t="shared" si="37"/>
        <v>0</v>
      </c>
      <c r="AO46" s="123">
        <f t="shared" si="38"/>
        <v>0</v>
      </c>
      <c r="AP46" s="123"/>
      <c r="AQ46" s="123">
        <f t="shared" si="39"/>
        <v>0</v>
      </c>
      <c r="AR46" s="123">
        <f t="shared" si="40"/>
        <v>0</v>
      </c>
      <c r="AS46" s="123">
        <f t="shared" si="41"/>
        <v>0</v>
      </c>
      <c r="AW46" t="str">
        <f t="shared" si="73"/>
        <v>17140</v>
      </c>
      <c r="AX46" t="str">
        <f t="shared" si="74"/>
        <v>8506-284764.673829214i</v>
      </c>
      <c r="AY46" t="str">
        <f t="shared" si="42"/>
        <v>17047.8361191252-1023.35715028283i</v>
      </c>
      <c r="AZ46">
        <f t="shared" si="75"/>
        <v>10.669606513967425</v>
      </c>
      <c r="BA46">
        <f t="shared" si="76"/>
        <v>-3.4352618966432811</v>
      </c>
      <c r="BB46">
        <f t="shared" si="77"/>
        <v>-2.0937375777196614</v>
      </c>
      <c r="BC46">
        <f t="shared" si="78"/>
        <v>0.73815200464864794</v>
      </c>
      <c r="BD46" s="123">
        <f t="shared" si="43"/>
        <v>-2.0937433724988579</v>
      </c>
      <c r="BE46" s="123">
        <f t="shared" si="44"/>
        <v>0.66505456018184117</v>
      </c>
      <c r="BF46">
        <f t="shared" si="45"/>
        <v>54.228829123273513</v>
      </c>
      <c r="BG46">
        <f t="shared" si="46"/>
        <v>-92.414380883728199</v>
      </c>
      <c r="BH46" s="123">
        <f t="shared" si="47"/>
        <v>52.135085750774657</v>
      </c>
      <c r="BI46" s="123">
        <f t="shared" si="48"/>
        <v>-91.749326323546356</v>
      </c>
      <c r="BL46" s="123">
        <f t="shared" si="49"/>
        <v>0</v>
      </c>
      <c r="BM46" s="123">
        <f t="shared" si="50"/>
        <v>0</v>
      </c>
      <c r="BN46" s="123">
        <f t="shared" si="51"/>
        <v>0</v>
      </c>
      <c r="BO46" s="123">
        <f t="shared" si="52"/>
        <v>0</v>
      </c>
      <c r="BP46" s="123">
        <f t="shared" si="53"/>
        <v>0</v>
      </c>
      <c r="BQ46" s="123">
        <f t="shared" si="54"/>
        <v>0</v>
      </c>
      <c r="BR46" s="123">
        <f t="shared" si="55"/>
        <v>0</v>
      </c>
      <c r="BS46" s="123"/>
      <c r="BT46" s="123"/>
      <c r="BU46" s="123">
        <f t="shared" si="56"/>
        <v>0</v>
      </c>
      <c r="BV46" s="123">
        <f t="shared" si="57"/>
        <v>0</v>
      </c>
      <c r="BX46" s="123">
        <f t="shared" si="58"/>
        <v>0</v>
      </c>
      <c r="BY46" s="123"/>
    </row>
    <row r="47" spans="5:77" x14ac:dyDescent="0.25">
      <c r="E47">
        <v>36</v>
      </c>
      <c r="F47">
        <v>95</v>
      </c>
      <c r="G47" s="58">
        <f t="shared" si="59"/>
        <v>-6.4565281940218699E-6</v>
      </c>
      <c r="H47" s="58">
        <f t="shared" si="60"/>
        <v>-7.7158410115681184E-2</v>
      </c>
      <c r="I47">
        <f t="shared" si="61"/>
        <v>17.893775790770089</v>
      </c>
      <c r="J47">
        <f t="shared" si="62"/>
        <v>-1.0499333516102576</v>
      </c>
      <c r="K47" t="str">
        <f t="shared" si="63"/>
        <v>37499.9924844549-16.7878788854644i</v>
      </c>
      <c r="L47" t="str">
        <f t="shared" si="64"/>
        <v>1000000000-3350631077.96101i</v>
      </c>
      <c r="M47" t="str">
        <f t="shared" si="65"/>
        <v>149998.159538539-6.16578250163841i</v>
      </c>
      <c r="N47">
        <f t="shared" si="21"/>
        <v>-13.979315414711815</v>
      </c>
      <c r="O47">
        <f t="shared" si="66"/>
        <v>-1.863580548133964E-2</v>
      </c>
      <c r="P47" t="str">
        <f t="shared" si="67"/>
        <v>-296989.104587929i</v>
      </c>
      <c r="Q47" t="str">
        <f t="shared" si="68"/>
        <v>9360-274641.891636148i</v>
      </c>
      <c r="R47" t="str">
        <f t="shared" si="22"/>
        <v>2525.85791939834-142730.698734709i</v>
      </c>
      <c r="S47" t="str">
        <f t="shared" si="69"/>
        <v>98594855.4204535-11770302.743142i</v>
      </c>
      <c r="T47" t="str">
        <f t="shared" si="23"/>
        <v>2728.56890741649-142698.893247888i</v>
      </c>
      <c r="U47" t="str">
        <f t="shared" si="24"/>
        <v>0.999999774375051-0.000474999892828149i</v>
      </c>
      <c r="V47">
        <f t="shared" si="70"/>
        <v>43.089998688684112</v>
      </c>
      <c r="W47">
        <f t="shared" si="71"/>
        <v>-88.931805501736932</v>
      </c>
      <c r="X47">
        <f t="shared" si="25"/>
        <v>-9.7987681330860141E-7</v>
      </c>
      <c r="Y47">
        <f t="shared" si="72"/>
        <v>-2.7215498883906099E-2</v>
      </c>
      <c r="AA47" s="123">
        <f t="shared" si="26"/>
        <v>17.893769334241895</v>
      </c>
      <c r="AB47" s="123">
        <f t="shared" si="27"/>
        <v>-1.1270917617259388</v>
      </c>
      <c r="AC47">
        <f t="shared" si="28"/>
        <v>29.110683273972299</v>
      </c>
      <c r="AD47">
        <f t="shared" si="29"/>
        <v>-88.95044130721827</v>
      </c>
      <c r="AE47" s="123">
        <f t="shared" si="30"/>
        <v>47.004452608214194</v>
      </c>
      <c r="AF47" s="123">
        <f t="shared" si="31"/>
        <v>-90.077533068944206</v>
      </c>
      <c r="AI47" s="123">
        <f t="shared" si="32"/>
        <v>0</v>
      </c>
      <c r="AJ47" s="123">
        <f t="shared" si="33"/>
        <v>0</v>
      </c>
      <c r="AK47" s="123">
        <f t="shared" si="34"/>
        <v>0</v>
      </c>
      <c r="AL47" s="123">
        <f t="shared" si="35"/>
        <v>0</v>
      </c>
      <c r="AM47" s="123">
        <f t="shared" si="36"/>
        <v>0</v>
      </c>
      <c r="AN47" s="123">
        <f t="shared" si="37"/>
        <v>0</v>
      </c>
      <c r="AO47" s="123">
        <f t="shared" si="38"/>
        <v>0</v>
      </c>
      <c r="AP47" s="123"/>
      <c r="AQ47" s="123">
        <f t="shared" si="39"/>
        <v>0</v>
      </c>
      <c r="AR47" s="123">
        <f t="shared" si="40"/>
        <v>0</v>
      </c>
      <c r="AS47" s="123">
        <f t="shared" si="41"/>
        <v>0</v>
      </c>
      <c r="AW47" t="str">
        <f t="shared" si="73"/>
        <v>17140</v>
      </c>
      <c r="AX47" t="str">
        <f t="shared" si="74"/>
        <v>8506-269777.059417151i</v>
      </c>
      <c r="AY47" t="str">
        <f t="shared" si="42"/>
        <v>17037.4054941292-1079.21875170357i</v>
      </c>
      <c r="AZ47">
        <f t="shared" si="75"/>
        <v>10.666060188354255</v>
      </c>
      <c r="BA47">
        <f t="shared" si="76"/>
        <v>-3.6245065445928177</v>
      </c>
      <c r="BB47">
        <f t="shared" si="77"/>
        <v>-2.0930535029571669</v>
      </c>
      <c r="BC47">
        <f t="shared" si="78"/>
        <v>0.77890341429781629</v>
      </c>
      <c r="BD47" s="123">
        <f t="shared" si="43"/>
        <v>-2.0930599594853607</v>
      </c>
      <c r="BE47" s="123">
        <f t="shared" si="44"/>
        <v>0.70174500418213515</v>
      </c>
      <c r="BF47">
        <f t="shared" si="45"/>
        <v>53.75605887703837</v>
      </c>
      <c r="BG47">
        <f t="shared" si="46"/>
        <v>-92.556312046329751</v>
      </c>
      <c r="BH47" s="123">
        <f t="shared" si="47"/>
        <v>51.662998917553011</v>
      </c>
      <c r="BI47" s="123">
        <f t="shared" si="48"/>
        <v>-91.854567042147622</v>
      </c>
      <c r="BL47" s="123">
        <f t="shared" si="49"/>
        <v>0</v>
      </c>
      <c r="BM47" s="123">
        <f t="shared" si="50"/>
        <v>0</v>
      </c>
      <c r="BN47" s="123">
        <f t="shared" si="51"/>
        <v>0</v>
      </c>
      <c r="BO47" s="123">
        <f t="shared" si="52"/>
        <v>0</v>
      </c>
      <c r="BP47" s="123">
        <f t="shared" si="53"/>
        <v>0</v>
      </c>
      <c r="BQ47" s="123">
        <f t="shared" si="54"/>
        <v>0</v>
      </c>
      <c r="BR47" s="123">
        <f t="shared" si="55"/>
        <v>0</v>
      </c>
      <c r="BS47" s="123"/>
      <c r="BT47" s="123"/>
      <c r="BU47" s="123">
        <f t="shared" si="56"/>
        <v>0</v>
      </c>
      <c r="BV47" s="123">
        <f t="shared" si="57"/>
        <v>0</v>
      </c>
      <c r="BX47" s="123">
        <f t="shared" si="58"/>
        <v>0</v>
      </c>
      <c r="BY47" s="123"/>
    </row>
    <row r="48" spans="5:77" x14ac:dyDescent="0.25">
      <c r="E48">
        <v>37</v>
      </c>
      <c r="F48">
        <v>100</v>
      </c>
      <c r="G48" s="58">
        <f t="shared" si="59"/>
        <v>-7.1540472919289319E-6</v>
      </c>
      <c r="H48" s="58">
        <f t="shared" si="60"/>
        <v>-8.1219375198907165E-2</v>
      </c>
      <c r="I48">
        <f t="shared" si="61"/>
        <v>17.893077424512875</v>
      </c>
      <c r="J48">
        <f t="shared" si="62"/>
        <v>-1.1049923452792201</v>
      </c>
      <c r="K48" t="str">
        <f t="shared" si="63"/>
        <v>37499.9916725265-17.6714510757714i</v>
      </c>
      <c r="L48" t="str">
        <f t="shared" si="64"/>
        <v>1000000000-3183099524.06296i</v>
      </c>
      <c r="M48" t="str">
        <f t="shared" si="65"/>
        <v>149997.978573415-6.43343698385606i</v>
      </c>
      <c r="N48">
        <f t="shared" si="21"/>
        <v>-13.979307094572759</v>
      </c>
      <c r="O48">
        <f t="shared" si="66"/>
        <v>-1.9634005562325908E-2</v>
      </c>
      <c r="P48" t="str">
        <f t="shared" si="67"/>
        <v>-282139.649358532i</v>
      </c>
      <c r="Q48" t="str">
        <f t="shared" si="68"/>
        <v>9360-260909.797054341i</v>
      </c>
      <c r="R48" t="str">
        <f t="shared" si="22"/>
        <v>2525.78477897337-135598.4072667i</v>
      </c>
      <c r="S48" t="str">
        <f t="shared" si="69"/>
        <v>98445412.9966396-12371012.8762776i</v>
      </c>
      <c r="T48" t="str">
        <f t="shared" si="23"/>
        <v>2708.65286734293-135568.218266093i</v>
      </c>
      <c r="U48" t="str">
        <f t="shared" si="24"/>
        <v>0.999999750000062-0.000499999875000031i</v>
      </c>
      <c r="V48">
        <f t="shared" si="70"/>
        <v>42.644890039076593</v>
      </c>
      <c r="W48">
        <f t="shared" si="71"/>
        <v>-88.884049055307756</v>
      </c>
      <c r="X48">
        <f t="shared" si="25"/>
        <v>-1.0857360731525995E-6</v>
      </c>
      <c r="Y48">
        <f t="shared" si="72"/>
        <v>-2.8647893329242342E-2</v>
      </c>
      <c r="AA48" s="123">
        <f t="shared" si="26"/>
        <v>17.893070270465582</v>
      </c>
      <c r="AB48" s="123">
        <f t="shared" si="27"/>
        <v>-1.1862117204781273</v>
      </c>
      <c r="AC48">
        <f t="shared" si="28"/>
        <v>28.665582944503832</v>
      </c>
      <c r="AD48">
        <f t="shared" si="29"/>
        <v>-88.90368306087008</v>
      </c>
      <c r="AE48" s="123">
        <f t="shared" si="30"/>
        <v>46.558653214969411</v>
      </c>
      <c r="AF48" s="123">
        <f t="shared" si="31"/>
        <v>-90.089894781348207</v>
      </c>
      <c r="AI48" s="123">
        <f t="shared" si="32"/>
        <v>0</v>
      </c>
      <c r="AJ48" s="123">
        <f t="shared" si="33"/>
        <v>0</v>
      </c>
      <c r="AK48" s="123">
        <f t="shared" si="34"/>
        <v>0</v>
      </c>
      <c r="AL48" s="123">
        <f t="shared" si="35"/>
        <v>0</v>
      </c>
      <c r="AM48" s="123">
        <f t="shared" si="36"/>
        <v>0</v>
      </c>
      <c r="AN48" s="123">
        <f t="shared" si="37"/>
        <v>0</v>
      </c>
      <c r="AO48" s="123">
        <f t="shared" si="38"/>
        <v>0</v>
      </c>
      <c r="AP48" s="123"/>
      <c r="AQ48" s="123">
        <f t="shared" si="39"/>
        <v>0</v>
      </c>
      <c r="AR48" s="123">
        <f t="shared" si="40"/>
        <v>0</v>
      </c>
      <c r="AS48" s="123">
        <f t="shared" si="41"/>
        <v>0</v>
      </c>
      <c r="AW48" t="str">
        <f t="shared" si="73"/>
        <v>17140</v>
      </c>
      <c r="AX48" t="str">
        <f t="shared" si="74"/>
        <v>8506-256288.206446293i</v>
      </c>
      <c r="AY48" t="str">
        <f t="shared" si="42"/>
        <v>17026.4317616425-1134.9216298021i</v>
      </c>
      <c r="AZ48">
        <f t="shared" si="75"/>
        <v>10.662326082147802</v>
      </c>
      <c r="BA48">
        <f t="shared" si="76"/>
        <v>-3.8134932891123943</v>
      </c>
      <c r="BB48">
        <f t="shared" si="77"/>
        <v>-2.0923329442387426</v>
      </c>
      <c r="BC48">
        <f t="shared" si="78"/>
        <v>0.81961333943381154</v>
      </c>
      <c r="BD48" s="123">
        <f t="shared" si="43"/>
        <v>-2.0923400982860345</v>
      </c>
      <c r="BE48" s="123">
        <f t="shared" si="44"/>
        <v>0.73839396423490433</v>
      </c>
      <c r="BF48">
        <f t="shared" si="45"/>
        <v>53.307216121224393</v>
      </c>
      <c r="BG48">
        <f t="shared" si="46"/>
        <v>-92.697542344420157</v>
      </c>
      <c r="BH48" s="123">
        <f t="shared" si="47"/>
        <v>51.214876022938356</v>
      </c>
      <c r="BI48" s="123">
        <f t="shared" si="48"/>
        <v>-91.959148380185255</v>
      </c>
      <c r="BL48" s="123">
        <f t="shared" si="49"/>
        <v>0</v>
      </c>
      <c r="BM48" s="123">
        <f t="shared" si="50"/>
        <v>0</v>
      </c>
      <c r="BN48" s="123">
        <f t="shared" si="51"/>
        <v>0</v>
      </c>
      <c r="BO48" s="123">
        <f t="shared" si="52"/>
        <v>0</v>
      </c>
      <c r="BP48" s="123">
        <f t="shared" si="53"/>
        <v>0</v>
      </c>
      <c r="BQ48" s="123">
        <f t="shared" si="54"/>
        <v>0</v>
      </c>
      <c r="BR48" s="123">
        <f t="shared" si="55"/>
        <v>0</v>
      </c>
      <c r="BS48" s="123"/>
      <c r="BT48" s="123"/>
      <c r="BU48" s="123">
        <f t="shared" si="56"/>
        <v>0</v>
      </c>
      <c r="BV48" s="123">
        <f t="shared" si="57"/>
        <v>0</v>
      </c>
      <c r="BX48" s="123">
        <f t="shared" si="58"/>
        <v>0</v>
      </c>
      <c r="BY48" s="123"/>
    </row>
    <row r="49" spans="5:77" x14ac:dyDescent="0.25">
      <c r="E49">
        <v>38</v>
      </c>
      <c r="F49">
        <v>150</v>
      </c>
      <c r="G49" s="58">
        <f t="shared" si="59"/>
        <v>-1.6096590245304716E-5</v>
      </c>
      <c r="H49" s="58">
        <f t="shared" si="60"/>
        <v>-0.12182898837094308</v>
      </c>
      <c r="I49">
        <f t="shared" si="61"/>
        <v>17.88414716310718</v>
      </c>
      <c r="J49">
        <f t="shared" si="62"/>
        <v>-1.6536400311527368</v>
      </c>
      <c r="K49" t="str">
        <f t="shared" si="63"/>
        <v>37499.98126319-26.5071692557322i</v>
      </c>
      <c r="L49" t="str">
        <f t="shared" si="64"/>
        <v>1000000000-2122066349.37531i</v>
      </c>
      <c r="M49" t="str">
        <f t="shared" si="65"/>
        <v>149995.911053765-8.67571385256634i</v>
      </c>
      <c r="N49">
        <f t="shared" si="21"/>
        <v>-13.979212120132624</v>
      </c>
      <c r="O49">
        <f t="shared" si="66"/>
        <v>-2.9748658470719665E-2</v>
      </c>
      <c r="P49" t="str">
        <f t="shared" si="67"/>
        <v>-188093.099572355i</v>
      </c>
      <c r="Q49" t="str">
        <f t="shared" si="68"/>
        <v>9360-173939.864702894i</v>
      </c>
      <c r="R49" t="str">
        <f t="shared" si="22"/>
        <v>2524.84745634116-90435.1926319686i</v>
      </c>
      <c r="S49" t="str">
        <f t="shared" si="69"/>
        <v>96568854.4214767-18202796.4299806i</v>
      </c>
      <c r="T49" t="str">
        <f t="shared" si="23"/>
        <v>2605.67429921069-90415.1530063078i</v>
      </c>
      <c r="U49" t="str">
        <f t="shared" si="24"/>
        <v>0.999999437500317-0.000749999578125237i</v>
      </c>
      <c r="V49">
        <f t="shared" si="70"/>
        <v>39.128427458246598</v>
      </c>
      <c r="W49">
        <f t="shared" si="71"/>
        <v>-88.392240043911855</v>
      </c>
      <c r="X49">
        <f t="shared" si="25"/>
        <v>-2.4429057691341332E-6</v>
      </c>
      <c r="Y49">
        <f t="shared" si="72"/>
        <v>-4.2971835517631958E-2</v>
      </c>
      <c r="AA49" s="123">
        <f t="shared" si="26"/>
        <v>17.884131066516936</v>
      </c>
      <c r="AB49" s="123">
        <f t="shared" si="27"/>
        <v>-1.77546901952368</v>
      </c>
      <c r="AC49">
        <f t="shared" si="28"/>
        <v>25.149215338113976</v>
      </c>
      <c r="AD49">
        <f t="shared" si="29"/>
        <v>-88.421988702382578</v>
      </c>
      <c r="AE49" s="123">
        <f t="shared" si="30"/>
        <v>43.033346404630912</v>
      </c>
      <c r="AF49" s="123">
        <f t="shared" si="31"/>
        <v>-90.197457721906261</v>
      </c>
      <c r="AI49" s="123">
        <f t="shared" si="32"/>
        <v>0</v>
      </c>
      <c r="AJ49" s="123">
        <f t="shared" si="33"/>
        <v>0</v>
      </c>
      <c r="AK49" s="123">
        <f t="shared" si="34"/>
        <v>0</v>
      </c>
      <c r="AL49" s="123">
        <f t="shared" si="35"/>
        <v>0</v>
      </c>
      <c r="AM49" s="123">
        <f t="shared" si="36"/>
        <v>0</v>
      </c>
      <c r="AN49" s="123">
        <f t="shared" si="37"/>
        <v>0</v>
      </c>
      <c r="AO49" s="123">
        <f t="shared" si="38"/>
        <v>0</v>
      </c>
      <c r="AP49" s="123"/>
      <c r="AQ49" s="123">
        <f t="shared" si="39"/>
        <v>0</v>
      </c>
      <c r="AR49" s="123">
        <f t="shared" si="40"/>
        <v>0</v>
      </c>
      <c r="AS49" s="123">
        <f t="shared" si="41"/>
        <v>0</v>
      </c>
      <c r="AW49" t="str">
        <f t="shared" si="73"/>
        <v>17140</v>
      </c>
      <c r="AX49" t="str">
        <f t="shared" si="74"/>
        <v>8506-170858.804297529i</v>
      </c>
      <c r="AY49" t="str">
        <f t="shared" si="42"/>
        <v>16887.5993814119-1681.54362847689i</v>
      </c>
      <c r="AZ49">
        <f t="shared" si="75"/>
        <v>10.614805291435934</v>
      </c>
      <c r="BA49">
        <f t="shared" si="76"/>
        <v>-5.686352409602808</v>
      </c>
      <c r="BB49">
        <f t="shared" si="77"/>
        <v>-2.0831396074413706</v>
      </c>
      <c r="BC49">
        <f t="shared" si="78"/>
        <v>1.223966110148389</v>
      </c>
      <c r="BD49" s="123">
        <f t="shared" si="43"/>
        <v>-2.0831557040316158</v>
      </c>
      <c r="BE49" s="123">
        <f t="shared" si="44"/>
        <v>1.1021371217774458</v>
      </c>
      <c r="BF49">
        <f t="shared" si="45"/>
        <v>49.743232749682534</v>
      </c>
      <c r="BG49">
        <f t="shared" si="46"/>
        <v>-94.078592453514659</v>
      </c>
      <c r="BH49" s="123">
        <f t="shared" si="47"/>
        <v>47.660077045650915</v>
      </c>
      <c r="BI49" s="123">
        <f t="shared" si="48"/>
        <v>-92.976455331737213</v>
      </c>
      <c r="BL49" s="123">
        <f t="shared" si="49"/>
        <v>0</v>
      </c>
      <c r="BM49" s="123">
        <f t="shared" si="50"/>
        <v>0</v>
      </c>
      <c r="BN49" s="123">
        <f t="shared" si="51"/>
        <v>0</v>
      </c>
      <c r="BO49" s="123">
        <f t="shared" si="52"/>
        <v>0</v>
      </c>
      <c r="BP49" s="123">
        <f t="shared" si="53"/>
        <v>0</v>
      </c>
      <c r="BQ49" s="123">
        <f t="shared" si="54"/>
        <v>0</v>
      </c>
      <c r="BR49" s="123">
        <f t="shared" si="55"/>
        <v>0</v>
      </c>
      <c r="BS49" s="123"/>
      <c r="BT49" s="123"/>
      <c r="BU49" s="123">
        <f t="shared" si="56"/>
        <v>0</v>
      </c>
      <c r="BV49" s="123">
        <f t="shared" si="57"/>
        <v>0</v>
      </c>
      <c r="BX49" s="123">
        <f t="shared" si="58"/>
        <v>0</v>
      </c>
      <c r="BY49" s="123"/>
    </row>
    <row r="50" spans="5:77" x14ac:dyDescent="0.25">
      <c r="E50">
        <v>39</v>
      </c>
      <c r="F50">
        <v>200</v>
      </c>
      <c r="G50" s="58">
        <f t="shared" si="59"/>
        <v>-2.8616120193907092E-5</v>
      </c>
      <c r="H50" s="58">
        <f t="shared" si="60"/>
        <v>-0.16243851223048481</v>
      </c>
      <c r="I50">
        <f t="shared" si="61"/>
        <v>17.871716506295162</v>
      </c>
      <c r="J50">
        <f t="shared" si="62"/>
        <v>-2.1977120226731235</v>
      </c>
      <c r="K50" t="str">
        <f t="shared" si="63"/>
        <v>37499.9666901285-35.3428786061923i</v>
      </c>
      <c r="L50" t="str">
        <f t="shared" si="64"/>
        <v>1000000000-1591549762.03148i</v>
      </c>
      <c r="M50" t="str">
        <f t="shared" si="65"/>
        <v>149993.631115478-10.1348764141619i</v>
      </c>
      <c r="N50">
        <f t="shared" si="21"/>
        <v>-13.979107614826722</v>
      </c>
      <c r="O50">
        <f t="shared" si="66"/>
        <v>-4.010252860003527E-2</v>
      </c>
      <c r="P50" t="str">
        <f t="shared" si="67"/>
        <v>-141069.824679266i</v>
      </c>
      <c r="Q50" t="str">
        <f t="shared" si="68"/>
        <v>9360-130454.89852717i</v>
      </c>
      <c r="R50" t="str">
        <f t="shared" si="22"/>
        <v>2523.5363727979-67864.4277641673i</v>
      </c>
      <c r="S50" t="str">
        <f t="shared" si="69"/>
        <v>94058738.236205-23639534.3658365i</v>
      </c>
      <c r="T50" t="str">
        <f t="shared" si="23"/>
        <v>2568.64873258078-67849.416128335i</v>
      </c>
      <c r="U50" t="str">
        <f t="shared" si="24"/>
        <v>0.999999000001-0.000999999000001i</v>
      </c>
      <c r="V50">
        <f t="shared" si="70"/>
        <v>36.637137953068532</v>
      </c>
      <c r="W50">
        <f t="shared" si="71"/>
        <v>-87.889241138811684</v>
      </c>
      <c r="X50">
        <f t="shared" si="25"/>
        <v>-4.3429426478763223E-6</v>
      </c>
      <c r="Y50">
        <f t="shared" si="72"/>
        <v>-5.7295772334547579E-2</v>
      </c>
      <c r="AA50" s="123">
        <f t="shared" si="26"/>
        <v>17.871687890174968</v>
      </c>
      <c r="AB50" s="123">
        <f t="shared" si="27"/>
        <v>-2.3601505349036085</v>
      </c>
      <c r="AC50">
        <f t="shared" si="28"/>
        <v>22.658030338241808</v>
      </c>
      <c r="AD50">
        <f t="shared" si="29"/>
        <v>-87.929343667411715</v>
      </c>
      <c r="AE50" s="123">
        <f t="shared" si="30"/>
        <v>40.529718228416776</v>
      </c>
      <c r="AF50" s="123">
        <f t="shared" si="31"/>
        <v>-90.289494202315325</v>
      </c>
      <c r="AI50" s="123">
        <f t="shared" si="32"/>
        <v>0</v>
      </c>
      <c r="AJ50" s="123">
        <f t="shared" si="33"/>
        <v>0</v>
      </c>
      <c r="AK50" s="123">
        <f t="shared" si="34"/>
        <v>0</v>
      </c>
      <c r="AL50" s="123">
        <f t="shared" si="35"/>
        <v>0</v>
      </c>
      <c r="AM50" s="123">
        <f t="shared" si="36"/>
        <v>0</v>
      </c>
      <c r="AN50" s="123">
        <f t="shared" si="37"/>
        <v>0</v>
      </c>
      <c r="AO50" s="123">
        <f t="shared" si="38"/>
        <v>0</v>
      </c>
      <c r="AP50" s="123"/>
      <c r="AQ50" s="123">
        <f t="shared" si="39"/>
        <v>0</v>
      </c>
      <c r="AR50" s="123">
        <f t="shared" si="40"/>
        <v>0</v>
      </c>
      <c r="AS50" s="123">
        <f t="shared" si="41"/>
        <v>0</v>
      </c>
      <c r="AW50" t="str">
        <f t="shared" si="73"/>
        <v>17140</v>
      </c>
      <c r="AX50" t="str">
        <f t="shared" si="74"/>
        <v>8506-128144.103223147i</v>
      </c>
      <c r="AY50" t="str">
        <f t="shared" si="42"/>
        <v>16698.8479708092-2204.28258464217i</v>
      </c>
      <c r="AZ50">
        <f t="shared" si="75"/>
        <v>10.549352248354804</v>
      </c>
      <c r="BA50">
        <f t="shared" si="76"/>
        <v>-7.5196887503316994</v>
      </c>
      <c r="BB50">
        <f t="shared" si="77"/>
        <v>-2.0704063740798566</v>
      </c>
      <c r="BC50">
        <f t="shared" si="78"/>
        <v>1.6218839265023073</v>
      </c>
      <c r="BD50" s="123">
        <f t="shared" si="43"/>
        <v>-2.0704349902000505</v>
      </c>
      <c r="BE50" s="123">
        <f t="shared" si="44"/>
        <v>1.4594454142718225</v>
      </c>
      <c r="BF50">
        <f t="shared" si="45"/>
        <v>47.186490201423339</v>
      </c>
      <c r="BG50">
        <f t="shared" si="46"/>
        <v>-95.40892988914338</v>
      </c>
      <c r="BH50" s="123">
        <f t="shared" si="47"/>
        <v>45.116055211223291</v>
      </c>
      <c r="BI50" s="123">
        <f t="shared" si="48"/>
        <v>-93.949484474871554</v>
      </c>
      <c r="BL50" s="123">
        <f t="shared" si="49"/>
        <v>0</v>
      </c>
      <c r="BM50" s="123">
        <f t="shared" si="50"/>
        <v>0</v>
      </c>
      <c r="BN50" s="123">
        <f t="shared" si="51"/>
        <v>0</v>
      </c>
      <c r="BO50" s="123">
        <f t="shared" si="52"/>
        <v>0</v>
      </c>
      <c r="BP50" s="123">
        <f t="shared" si="53"/>
        <v>0</v>
      </c>
      <c r="BQ50" s="123">
        <f t="shared" si="54"/>
        <v>0</v>
      </c>
      <c r="BR50" s="123">
        <f t="shared" si="55"/>
        <v>0</v>
      </c>
      <c r="BS50" s="123"/>
      <c r="BT50" s="123"/>
      <c r="BU50" s="123">
        <f t="shared" si="56"/>
        <v>0</v>
      </c>
      <c r="BV50" s="123">
        <f t="shared" si="57"/>
        <v>0</v>
      </c>
      <c r="BX50" s="123">
        <f t="shared" si="58"/>
        <v>0</v>
      </c>
      <c r="BY50" s="123"/>
    </row>
    <row r="51" spans="5:77" x14ac:dyDescent="0.25">
      <c r="E51">
        <v>40</v>
      </c>
      <c r="F51">
        <v>250</v>
      </c>
      <c r="G51" s="58">
        <f t="shared" si="59"/>
        <v>-4.4712606939006887E-5</v>
      </c>
      <c r="H51" s="58">
        <f t="shared" si="60"/>
        <v>-0.20304791700737643</v>
      </c>
      <c r="I51">
        <f t="shared" si="61"/>
        <v>17.855855860829497</v>
      </c>
      <c r="J51">
        <f t="shared" si="62"/>
        <v>-2.7357529146279695</v>
      </c>
      <c r="K51" t="str">
        <f t="shared" si="63"/>
        <v>37499.9479533519-44.1785761840001i</v>
      </c>
      <c r="L51" t="str">
        <f t="shared" si="64"/>
        <v>1000000000-1273239809.62518i</v>
      </c>
      <c r="M51" t="str">
        <f t="shared" si="65"/>
        <v>149991.415642498-10.9283064658977i</v>
      </c>
      <c r="N51">
        <f t="shared" si="21"/>
        <v>-13.979006401086453</v>
      </c>
      <c r="O51">
        <f t="shared" si="66"/>
        <v>-5.0659767157559821E-2</v>
      </c>
      <c r="P51" t="str">
        <f t="shared" si="67"/>
        <v>-112855.859743413i</v>
      </c>
      <c r="Q51" t="str">
        <f t="shared" si="68"/>
        <v>9360-104363.918821736i</v>
      </c>
      <c r="R51" t="str">
        <f t="shared" si="22"/>
        <v>2521.85269336789-54330.6157661382i</v>
      </c>
      <c r="S51" t="str">
        <f t="shared" si="69"/>
        <v>91016987.1665936-28593823.8746673i</v>
      </c>
      <c r="T51" t="str">
        <f t="shared" si="23"/>
        <v>2550.43434367953-54318.6091187184i</v>
      </c>
      <c r="U51" t="str">
        <f t="shared" si="24"/>
        <v>0.999998437502441-0.00124999804687805i</v>
      </c>
      <c r="V51">
        <f t="shared" si="70"/>
        <v>34.708529976072448</v>
      </c>
      <c r="W51">
        <f t="shared" si="71"/>
        <v>-87.383390095099742</v>
      </c>
      <c r="X51">
        <f t="shared" si="25"/>
        <v>-6.7858459807662682E-6</v>
      </c>
      <c r="Y51">
        <f t="shared" si="72"/>
        <v>-7.1619701989503917E-2</v>
      </c>
      <c r="AA51" s="123">
        <f t="shared" si="26"/>
        <v>17.855811148222557</v>
      </c>
      <c r="AB51" s="123">
        <f t="shared" si="27"/>
        <v>-2.938800831635346</v>
      </c>
      <c r="AC51">
        <f t="shared" si="28"/>
        <v>20.729523574985997</v>
      </c>
      <c r="AD51">
        <f t="shared" si="29"/>
        <v>-87.434049862257297</v>
      </c>
      <c r="AE51" s="123">
        <f t="shared" si="30"/>
        <v>38.585334723208554</v>
      </c>
      <c r="AF51" s="123">
        <f t="shared" si="31"/>
        <v>-90.372850693892644</v>
      </c>
      <c r="AI51" s="123">
        <f t="shared" si="32"/>
        <v>0</v>
      </c>
      <c r="AJ51" s="123">
        <f t="shared" si="33"/>
        <v>0</v>
      </c>
      <c r="AK51" s="123">
        <f t="shared" si="34"/>
        <v>0</v>
      </c>
      <c r="AL51" s="123">
        <f t="shared" si="35"/>
        <v>0</v>
      </c>
      <c r="AM51" s="123">
        <f t="shared" si="36"/>
        <v>0</v>
      </c>
      <c r="AN51" s="123">
        <f t="shared" si="37"/>
        <v>0</v>
      </c>
      <c r="AO51" s="123">
        <f t="shared" si="38"/>
        <v>0</v>
      </c>
      <c r="AP51" s="123"/>
      <c r="AQ51" s="123">
        <f t="shared" si="39"/>
        <v>0</v>
      </c>
      <c r="AR51" s="123">
        <f t="shared" si="40"/>
        <v>0</v>
      </c>
      <c r="AS51" s="123">
        <f t="shared" si="41"/>
        <v>0</v>
      </c>
      <c r="AW51" t="str">
        <f t="shared" si="73"/>
        <v>17140</v>
      </c>
      <c r="AX51" t="str">
        <f t="shared" si="74"/>
        <v>8506-102515.282578517i</v>
      </c>
      <c r="AY51" t="str">
        <f t="shared" si="42"/>
        <v>16465.3153191968-2696.93093285253i</v>
      </c>
      <c r="AZ51">
        <f t="shared" si="75"/>
        <v>10.466980920597997</v>
      </c>
      <c r="BA51">
        <f t="shared" si="76"/>
        <v>-9.3021442063275401</v>
      </c>
      <c r="BB51">
        <f t="shared" si="77"/>
        <v>-2.0542662360537927</v>
      </c>
      <c r="BC51">
        <f t="shared" si="78"/>
        <v>2.0114002016758787</v>
      </c>
      <c r="BD51" s="123">
        <f t="shared" si="43"/>
        <v>-2.0543109486607318</v>
      </c>
      <c r="BE51" s="123">
        <f t="shared" si="44"/>
        <v>1.8083522846685023</v>
      </c>
      <c r="BF51">
        <f t="shared" si="45"/>
        <v>45.175510896670446</v>
      </c>
      <c r="BG51">
        <f t="shared" si="46"/>
        <v>-96.685534301427282</v>
      </c>
      <c r="BH51" s="123">
        <f t="shared" si="47"/>
        <v>43.121199948009711</v>
      </c>
      <c r="BI51" s="123">
        <f t="shared" si="48"/>
        <v>-94.87718201675878</v>
      </c>
      <c r="BL51" s="123">
        <f t="shared" si="49"/>
        <v>0</v>
      </c>
      <c r="BM51" s="123">
        <f t="shared" si="50"/>
        <v>0</v>
      </c>
      <c r="BN51" s="123">
        <f t="shared" si="51"/>
        <v>0</v>
      </c>
      <c r="BO51" s="123">
        <f t="shared" si="52"/>
        <v>0</v>
      </c>
      <c r="BP51" s="123">
        <f t="shared" si="53"/>
        <v>0</v>
      </c>
      <c r="BQ51" s="123">
        <f t="shared" si="54"/>
        <v>0</v>
      </c>
      <c r="BR51" s="123">
        <f t="shared" si="55"/>
        <v>0</v>
      </c>
      <c r="BS51" s="123"/>
      <c r="BT51" s="123"/>
      <c r="BU51" s="123">
        <f t="shared" si="56"/>
        <v>0</v>
      </c>
      <c r="BV51" s="123">
        <f t="shared" si="57"/>
        <v>0</v>
      </c>
      <c r="BX51" s="123">
        <f t="shared" si="58"/>
        <v>0</v>
      </c>
      <c r="BY51" s="123"/>
    </row>
    <row r="52" spans="5:77" x14ac:dyDescent="0.25">
      <c r="E52">
        <v>41</v>
      </c>
      <c r="F52">
        <v>300</v>
      </c>
      <c r="G52" s="58">
        <f t="shared" si="59"/>
        <v>-6.4386011681257947E-5</v>
      </c>
      <c r="H52" s="58">
        <f t="shared" si="60"/>
        <v>-0.243657172932045</v>
      </c>
      <c r="I52">
        <f t="shared" si="61"/>
        <v>17.836653932213661</v>
      </c>
      <c r="J52">
        <f t="shared" si="62"/>
        <v>-3.2663652129498457</v>
      </c>
      <c r="K52" t="str">
        <f t="shared" si="63"/>
        <v>37499.9250528726-53.0142590460169i</v>
      </c>
      <c r="L52" t="str">
        <f t="shared" si="64"/>
        <v>1000000000-1061033174.68765i</v>
      </c>
      <c r="M52" t="str">
        <f t="shared" si="65"/>
        <v>149989.415612713-11.2287017402753i</v>
      </c>
      <c r="N52">
        <f t="shared" si="21"/>
        <v>-13.978915471409865</v>
      </c>
      <c r="O52">
        <f t="shared" si="66"/>
        <v>-6.1367623874335822E-2</v>
      </c>
      <c r="P52" t="str">
        <f t="shared" si="67"/>
        <v>-94046.5497861774i</v>
      </c>
      <c r="Q52" t="str">
        <f t="shared" si="68"/>
        <v>9360-86969.932351447i</v>
      </c>
      <c r="R52" t="str">
        <f t="shared" si="22"/>
        <v>2519.79791150042-45315.2513206285i</v>
      </c>
      <c r="S52" t="str">
        <f t="shared" si="69"/>
        <v>87556301.8795051-33007941.3041086i</v>
      </c>
      <c r="T52" t="str">
        <f t="shared" si="23"/>
        <v>2539.39991852279-45305.2434116411i</v>
      </c>
      <c r="U52" t="str">
        <f t="shared" si="24"/>
        <v>0.999997750005062-0.00149999662500759i</v>
      </c>
      <c r="V52">
        <f t="shared" si="70"/>
        <v>33.136582448886962</v>
      </c>
      <c r="W52">
        <f t="shared" si="71"/>
        <v>-86.877838202496378</v>
      </c>
      <c r="X52">
        <f t="shared" si="25"/>
        <v>-9.7716148536074405E-6</v>
      </c>
      <c r="Y52">
        <f t="shared" si="72"/>
        <v>-8.5943622692021368E-2</v>
      </c>
      <c r="AA52" s="123">
        <f t="shared" si="26"/>
        <v>17.836589546201981</v>
      </c>
      <c r="AB52" s="123">
        <f t="shared" si="27"/>
        <v>-3.5100223858818906</v>
      </c>
      <c r="AC52">
        <f t="shared" si="28"/>
        <v>19.157666977477099</v>
      </c>
      <c r="AD52">
        <f t="shared" si="29"/>
        <v>-86.93920582637071</v>
      </c>
      <c r="AE52" s="123">
        <f t="shared" si="30"/>
        <v>36.994256523679084</v>
      </c>
      <c r="AF52" s="123">
        <f t="shared" si="31"/>
        <v>-90.449228212252606</v>
      </c>
      <c r="AI52" s="123">
        <f t="shared" si="32"/>
        <v>0</v>
      </c>
      <c r="AJ52" s="123">
        <f t="shared" si="33"/>
        <v>0</v>
      </c>
      <c r="AK52" s="123">
        <f t="shared" si="34"/>
        <v>0</v>
      </c>
      <c r="AL52" s="123">
        <f t="shared" si="35"/>
        <v>0</v>
      </c>
      <c r="AM52" s="123">
        <f t="shared" si="36"/>
        <v>0</v>
      </c>
      <c r="AN52" s="123">
        <f t="shared" si="37"/>
        <v>0</v>
      </c>
      <c r="AO52" s="123">
        <f t="shared" si="38"/>
        <v>0</v>
      </c>
      <c r="AP52" s="123"/>
      <c r="AQ52" s="123">
        <f t="shared" si="39"/>
        <v>0</v>
      </c>
      <c r="AR52" s="123">
        <f t="shared" si="40"/>
        <v>0</v>
      </c>
      <c r="AS52" s="123">
        <f t="shared" si="41"/>
        <v>0</v>
      </c>
      <c r="AW52" t="str">
        <f t="shared" si="73"/>
        <v>17140</v>
      </c>
      <c r="AX52" t="str">
        <f t="shared" si="74"/>
        <v>8506-85429.4021487643i</v>
      </c>
      <c r="AY52" t="str">
        <f t="shared" si="42"/>
        <v>16192.9956940533-3154.5664699889i</v>
      </c>
      <c r="AZ52">
        <f t="shared" si="75"/>
        <v>10.368913074230161</v>
      </c>
      <c r="BA52">
        <f t="shared" si="76"/>
        <v>-11.023754116510746</v>
      </c>
      <c r="BB52">
        <f t="shared" si="77"/>
        <v>-2.034884083990999</v>
      </c>
      <c r="BC52">
        <f t="shared" si="78"/>
        <v>2.3906926171095724</v>
      </c>
      <c r="BD52" s="123">
        <f t="shared" si="43"/>
        <v>-2.0349484700026803</v>
      </c>
      <c r="BE52" s="123">
        <f t="shared" si="44"/>
        <v>2.1470354441775275</v>
      </c>
      <c r="BF52">
        <f t="shared" si="45"/>
        <v>43.505495523117119</v>
      </c>
      <c r="BG52">
        <f t="shared" si="46"/>
        <v>-97.901592319007122</v>
      </c>
      <c r="BH52" s="123">
        <f t="shared" si="47"/>
        <v>41.470547053114437</v>
      </c>
      <c r="BI52" s="123">
        <f t="shared" si="48"/>
        <v>-95.754556874829589</v>
      </c>
      <c r="BL52" s="123">
        <f t="shared" si="49"/>
        <v>0</v>
      </c>
      <c r="BM52" s="123">
        <f t="shared" si="50"/>
        <v>0</v>
      </c>
      <c r="BN52" s="123">
        <f t="shared" si="51"/>
        <v>0</v>
      </c>
      <c r="BO52" s="123">
        <f t="shared" si="52"/>
        <v>0</v>
      </c>
      <c r="BP52" s="123">
        <f t="shared" si="53"/>
        <v>0</v>
      </c>
      <c r="BQ52" s="123">
        <f t="shared" si="54"/>
        <v>0</v>
      </c>
      <c r="BR52" s="123">
        <f t="shared" si="55"/>
        <v>0</v>
      </c>
      <c r="BS52" s="123"/>
      <c r="BT52" s="123"/>
      <c r="BU52" s="123">
        <f t="shared" si="56"/>
        <v>0</v>
      </c>
      <c r="BV52" s="123">
        <f t="shared" si="57"/>
        <v>0</v>
      </c>
      <c r="BX52" s="123">
        <f t="shared" si="58"/>
        <v>0</v>
      </c>
      <c r="BY52" s="123"/>
    </row>
    <row r="53" spans="5:77" x14ac:dyDescent="0.25">
      <c r="E53">
        <v>42</v>
      </c>
      <c r="F53">
        <v>350</v>
      </c>
      <c r="G53" s="58">
        <f t="shared" si="59"/>
        <v>-8.76362869847362E-5</v>
      </c>
      <c r="H53" s="58">
        <f t="shared" si="60"/>
        <v>-0.2842662502356425</v>
      </c>
      <c r="I53">
        <f t="shared" si="61"/>
        <v>17.814216434764599</v>
      </c>
      <c r="J53">
        <f t="shared" si="62"/>
        <v>-3.788221475442437</v>
      </c>
      <c r="K53" t="str">
        <f t="shared" si="63"/>
        <v>37499.8979887057-61.8499242491202i</v>
      </c>
      <c r="L53" t="str">
        <f t="shared" si="64"/>
        <v>1000000000-909457006.875131i</v>
      </c>
      <c r="M53" t="str">
        <f t="shared" si="65"/>
        <v>149987.685659206-11.1976838681332i</v>
      </c>
      <c r="N53">
        <f t="shared" si="21"/>
        <v>-13.978837356719662</v>
      </c>
      <c r="O53">
        <f t="shared" si="66"/>
        <v>-7.2176727749648034E-2</v>
      </c>
      <c r="P53" t="str">
        <f t="shared" si="67"/>
        <v>-80611.328388152i</v>
      </c>
      <c r="Q53" t="str">
        <f t="shared" si="68"/>
        <v>9360-74545.6563012403i</v>
      </c>
      <c r="R53" t="str">
        <f t="shared" si="22"/>
        <v>2517.37384576599-38881.8267594138i</v>
      </c>
      <c r="S53" t="str">
        <f t="shared" si="69"/>
        <v>83791100.4704235-36853243.127271i</v>
      </c>
      <c r="T53" t="str">
        <f t="shared" si="23"/>
        <v>2531.56141503786-38873.2441276526i</v>
      </c>
      <c r="U53" t="str">
        <f t="shared" si="24"/>
        <v>0.999996937509379-0.00174999464064141i</v>
      </c>
      <c r="V53">
        <f t="shared" si="70"/>
        <v>31.811382197101384</v>
      </c>
      <c r="W53">
        <f t="shared" si="71"/>
        <v>-86.374245745023359</v>
      </c>
      <c r="X53">
        <f t="shared" si="25"/>
        <v>-1.3300248140581823E-5</v>
      </c>
      <c r="Y53">
        <f t="shared" si="72"/>
        <v>-0.10026753265162704</v>
      </c>
      <c r="AA53" s="123">
        <f t="shared" si="26"/>
        <v>17.814128798477615</v>
      </c>
      <c r="AB53" s="123">
        <f t="shared" si="27"/>
        <v>-4.0724877256780792</v>
      </c>
      <c r="AC53">
        <f t="shared" si="28"/>
        <v>17.832544840381722</v>
      </c>
      <c r="AD53">
        <f t="shared" si="29"/>
        <v>-86.446422472773008</v>
      </c>
      <c r="AE53" s="123">
        <f t="shared" si="30"/>
        <v>35.64667363885934</v>
      </c>
      <c r="AF53" s="123">
        <f t="shared" si="31"/>
        <v>-90.518910198451081</v>
      </c>
      <c r="AI53" s="123">
        <f t="shared" si="32"/>
        <v>0</v>
      </c>
      <c r="AJ53" s="123">
        <f t="shared" si="33"/>
        <v>0</v>
      </c>
      <c r="AK53" s="123">
        <f t="shared" si="34"/>
        <v>0</v>
      </c>
      <c r="AL53" s="123">
        <f t="shared" si="35"/>
        <v>0</v>
      </c>
      <c r="AM53" s="123">
        <f t="shared" si="36"/>
        <v>0</v>
      </c>
      <c r="AN53" s="123">
        <f t="shared" si="37"/>
        <v>0</v>
      </c>
      <c r="AO53" s="123">
        <f t="shared" si="38"/>
        <v>0</v>
      </c>
      <c r="AP53" s="123"/>
      <c r="AQ53" s="123">
        <f t="shared" si="39"/>
        <v>0</v>
      </c>
      <c r="AR53" s="123">
        <f t="shared" si="40"/>
        <v>0</v>
      </c>
      <c r="AS53" s="123">
        <f t="shared" si="41"/>
        <v>0</v>
      </c>
      <c r="AW53" t="str">
        <f t="shared" si="73"/>
        <v>17140</v>
      </c>
      <c r="AX53" t="str">
        <f t="shared" si="74"/>
        <v>8506-73225.201841798i</v>
      </c>
      <c r="AY53" t="str">
        <f t="shared" si="42"/>
        <v>15888.3865756868-3573.64289258527i</v>
      </c>
      <c r="AZ53">
        <f t="shared" si="75"/>
        <v>10.256527550255663</v>
      </c>
      <c r="BA53">
        <f t="shared" si="76"/>
        <v>-12.676115880812846</v>
      </c>
      <c r="BB53">
        <f t="shared" si="77"/>
        <v>-2.0124525531170461</v>
      </c>
      <c r="BC53">
        <f t="shared" si="78"/>
        <v>2.7581090450132226</v>
      </c>
      <c r="BD53" s="123">
        <f t="shared" si="43"/>
        <v>-2.0125401894040307</v>
      </c>
      <c r="BE53" s="123">
        <f t="shared" si="44"/>
        <v>2.4738427947775801</v>
      </c>
      <c r="BF53">
        <f t="shared" si="45"/>
        <v>42.067909747357049</v>
      </c>
      <c r="BG53">
        <f t="shared" si="46"/>
        <v>-99.050361625836203</v>
      </c>
      <c r="BH53" s="123">
        <f t="shared" si="47"/>
        <v>40.055369557953021</v>
      </c>
      <c r="BI53" s="123">
        <f t="shared" si="48"/>
        <v>-96.576518831058621</v>
      </c>
      <c r="BL53" s="123">
        <f t="shared" si="49"/>
        <v>0</v>
      </c>
      <c r="BM53" s="123">
        <f t="shared" si="50"/>
        <v>0</v>
      </c>
      <c r="BN53" s="123">
        <f t="shared" si="51"/>
        <v>0</v>
      </c>
      <c r="BO53" s="123">
        <f t="shared" si="52"/>
        <v>0</v>
      </c>
      <c r="BP53" s="123">
        <f t="shared" si="53"/>
        <v>0</v>
      </c>
      <c r="BQ53" s="123">
        <f t="shared" si="54"/>
        <v>0</v>
      </c>
      <c r="BR53" s="123">
        <f t="shared" si="55"/>
        <v>0</v>
      </c>
      <c r="BS53" s="123"/>
      <c r="BT53" s="123"/>
      <c r="BU53" s="123">
        <f t="shared" si="56"/>
        <v>0</v>
      </c>
      <c r="BV53" s="123">
        <f t="shared" si="57"/>
        <v>0</v>
      </c>
      <c r="BX53" s="123">
        <f t="shared" si="58"/>
        <v>0</v>
      </c>
      <c r="BY53" s="123"/>
    </row>
    <row r="54" spans="5:77" x14ac:dyDescent="0.25">
      <c r="E54">
        <v>43</v>
      </c>
      <c r="F54">
        <v>400</v>
      </c>
      <c r="G54" s="58">
        <f t="shared" si="59"/>
        <v>-1.1446337679299025E-4</v>
      </c>
      <c r="H54" s="58">
        <f t="shared" si="60"/>
        <v>-0.32487511915019113</v>
      </c>
      <c r="I54">
        <f t="shared" si="61"/>
        <v>17.788664591920746</v>
      </c>
      <c r="J54">
        <f t="shared" si="62"/>
        <v>-4.3000750251570947</v>
      </c>
      <c r="K54" t="str">
        <f t="shared" si="63"/>
        <v>37499.8667608694-70.6855688502079i</v>
      </c>
      <c r="L54" t="str">
        <f t="shared" si="64"/>
        <v>1000000000-795774881.01574i</v>
      </c>
      <c r="M54" t="str">
        <f t="shared" si="65"/>
        <v>149986.224315662-10.9606994603926i</v>
      </c>
      <c r="N54">
        <f t="shared" si="21"/>
        <v>-13.978771989795495</v>
      </c>
      <c r="O54">
        <f t="shared" si="66"/>
        <v>-8.3048755781609099E-2</v>
      </c>
      <c r="P54" t="str">
        <f t="shared" si="67"/>
        <v>-70534.912339633i</v>
      </c>
      <c r="Q54" t="str">
        <f t="shared" si="68"/>
        <v>9360-65227.4492635852i</v>
      </c>
      <c r="R54" t="str">
        <f t="shared" si="22"/>
        <v>2514.58263584573-34062.083590823i</v>
      </c>
      <c r="S54" t="str">
        <f t="shared" si="69"/>
        <v>79830008.8590708-40126930.7506537i</v>
      </c>
      <c r="T54" t="str">
        <f t="shared" si="23"/>
        <v>2525.25603241574-34054.5683824195i</v>
      </c>
      <c r="U54" t="str">
        <f t="shared" si="24"/>
        <v>0.999996000016-0.001999992000032i</v>
      </c>
      <c r="V54">
        <f t="shared" si="70"/>
        <v>30.667305370816599</v>
      </c>
      <c r="W54">
        <f t="shared" si="71"/>
        <v>-85.873704298157833</v>
      </c>
      <c r="X54">
        <f t="shared" si="25"/>
        <v>-1.7371744533178545E-5</v>
      </c>
      <c r="Y54">
        <f t="shared" si="72"/>
        <v>-0.11459143007785606</v>
      </c>
      <c r="AA54" s="123">
        <f t="shared" si="26"/>
        <v>17.788550128543953</v>
      </c>
      <c r="AB54" s="123">
        <f t="shared" si="27"/>
        <v>-4.6249501443072862</v>
      </c>
      <c r="AC54">
        <f t="shared" si="28"/>
        <v>16.688533381021102</v>
      </c>
      <c r="AD54">
        <f t="shared" si="29"/>
        <v>-85.956753053939437</v>
      </c>
      <c r="AE54" s="123">
        <f t="shared" si="30"/>
        <v>34.477083509565055</v>
      </c>
      <c r="AF54" s="123">
        <f t="shared" si="31"/>
        <v>-90.581703198246728</v>
      </c>
      <c r="AI54" s="123">
        <f t="shared" si="32"/>
        <v>0</v>
      </c>
      <c r="AJ54" s="123">
        <f t="shared" si="33"/>
        <v>0</v>
      </c>
      <c r="AK54" s="123">
        <f t="shared" si="34"/>
        <v>0</v>
      </c>
      <c r="AL54" s="123">
        <f t="shared" si="35"/>
        <v>0</v>
      </c>
      <c r="AM54" s="123">
        <f t="shared" si="36"/>
        <v>0</v>
      </c>
      <c r="AN54" s="123">
        <f t="shared" si="37"/>
        <v>0</v>
      </c>
      <c r="AO54" s="123">
        <f t="shared" si="38"/>
        <v>0</v>
      </c>
      <c r="AP54" s="123"/>
      <c r="AQ54" s="123">
        <f t="shared" si="39"/>
        <v>0</v>
      </c>
      <c r="AR54" s="123">
        <f t="shared" si="40"/>
        <v>0</v>
      </c>
      <c r="AS54" s="123">
        <f t="shared" si="41"/>
        <v>0</v>
      </c>
      <c r="AW54" t="str">
        <f t="shared" si="73"/>
        <v>17140</v>
      </c>
      <c r="AX54" t="str">
        <f t="shared" si="74"/>
        <v>8506-64072.0516115733i</v>
      </c>
      <c r="AY54" t="str">
        <f t="shared" si="42"/>
        <v>15558.1485526879-3951.97955135398i</v>
      </c>
      <c r="AZ54">
        <f t="shared" si="75"/>
        <v>10.131308076281449</v>
      </c>
      <c r="BA54">
        <f t="shared" si="76"/>
        <v>-14.252470217582445</v>
      </c>
      <c r="BB54">
        <f t="shared" si="77"/>
        <v>-1.9871873708377639</v>
      </c>
      <c r="BC54">
        <f t="shared" si="78"/>
        <v>3.1121876621358995</v>
      </c>
      <c r="BD54" s="123">
        <f t="shared" si="43"/>
        <v>-1.9873018342145568</v>
      </c>
      <c r="BE54" s="123">
        <f t="shared" si="44"/>
        <v>2.7873125429857084</v>
      </c>
      <c r="BF54">
        <f t="shared" si="45"/>
        <v>40.798613447098049</v>
      </c>
      <c r="BG54">
        <f t="shared" si="46"/>
        <v>-100.12617451574027</v>
      </c>
      <c r="BH54" s="123">
        <f t="shared" si="47"/>
        <v>38.811311612883493</v>
      </c>
      <c r="BI54" s="123">
        <f t="shared" si="48"/>
        <v>-97.338861972754572</v>
      </c>
      <c r="BL54" s="123">
        <f t="shared" si="49"/>
        <v>0</v>
      </c>
      <c r="BM54" s="123">
        <f t="shared" si="50"/>
        <v>0</v>
      </c>
      <c r="BN54" s="123">
        <f t="shared" si="51"/>
        <v>0</v>
      </c>
      <c r="BO54" s="123">
        <f t="shared" si="52"/>
        <v>0</v>
      </c>
      <c r="BP54" s="123">
        <f t="shared" si="53"/>
        <v>0</v>
      </c>
      <c r="BQ54" s="123">
        <f t="shared" si="54"/>
        <v>0</v>
      </c>
      <c r="BR54" s="123">
        <f t="shared" si="55"/>
        <v>0</v>
      </c>
      <c r="BS54" s="123"/>
      <c r="BT54" s="123"/>
      <c r="BU54" s="123">
        <f t="shared" si="56"/>
        <v>0</v>
      </c>
      <c r="BV54" s="123">
        <f t="shared" si="57"/>
        <v>0</v>
      </c>
      <c r="BX54" s="123">
        <f t="shared" si="58"/>
        <v>0</v>
      </c>
      <c r="BY54" s="123"/>
    </row>
    <row r="55" spans="5:77" x14ac:dyDescent="0.25">
      <c r="E55">
        <v>44</v>
      </c>
      <c r="F55">
        <v>450</v>
      </c>
      <c r="G55" s="58">
        <f t="shared" si="59"/>
        <v>-1.4486721641513526E-4</v>
      </c>
      <c r="H55" s="58">
        <f t="shared" si="60"/>
        <v>-0.36548374990872873</v>
      </c>
      <c r="I55">
        <f t="shared" si="61"/>
        <v>17.760133467156791</v>
      </c>
      <c r="J55">
        <f t="shared" si="62"/>
        <v>-4.8007690715037006</v>
      </c>
      <c r="K55" t="str">
        <f t="shared" si="63"/>
        <v>37499.8313693845-79.5211899062002i</v>
      </c>
      <c r="L55" t="str">
        <f t="shared" si="64"/>
        <v>1000000000-707355449.791769i</v>
      </c>
      <c r="M55" t="str">
        <f t="shared" si="65"/>
        <v>149985.004265695-10.6057235254842i</v>
      </c>
      <c r="N55">
        <f t="shared" si="21"/>
        <v>-13.978718106047637</v>
      </c>
      <c r="O55">
        <f t="shared" si="66"/>
        <v>-9.3956830632565561E-2</v>
      </c>
      <c r="P55" t="str">
        <f t="shared" si="67"/>
        <v>-62697.6998574516i</v>
      </c>
      <c r="Q55" t="str">
        <f t="shared" si="68"/>
        <v>9360-57979.9549009646i</v>
      </c>
      <c r="R55" t="str">
        <f t="shared" si="22"/>
        <v>2511.42673783137-30318.0963511408i</v>
      </c>
      <c r="S55" t="str">
        <f t="shared" si="69"/>
        <v>75770488.3379985-42847192.7997749i</v>
      </c>
      <c r="T55" t="str">
        <f t="shared" si="23"/>
        <v>2519.69083641061-30311.4102316248i</v>
      </c>
      <c r="U55" t="str">
        <f t="shared" si="24"/>
        <v>0.999994937525629-0.00224998860943266i</v>
      </c>
      <c r="V55">
        <f t="shared" si="70"/>
        <v>29.662007686862868</v>
      </c>
      <c r="W55">
        <f t="shared" si="71"/>
        <v>-85.377042872723095</v>
      </c>
      <c r="X55">
        <f t="shared" si="25"/>
        <v>-2.1986102492940332E-5</v>
      </c>
      <c r="Y55">
        <f t="shared" si="72"/>
        <v>-0.12891531318025223</v>
      </c>
      <c r="AA55" s="123">
        <f t="shared" si="26"/>
        <v>17.759988599940375</v>
      </c>
      <c r="AB55" s="123">
        <f t="shared" si="27"/>
        <v>-5.1662528214124297</v>
      </c>
      <c r="AC55">
        <f t="shared" si="28"/>
        <v>15.683289580815231</v>
      </c>
      <c r="AD55">
        <f t="shared" si="29"/>
        <v>-85.470999703355659</v>
      </c>
      <c r="AE55" s="123">
        <f t="shared" si="30"/>
        <v>33.443278180755605</v>
      </c>
      <c r="AF55" s="123">
        <f t="shared" si="31"/>
        <v>-90.637252524768087</v>
      </c>
      <c r="AI55" s="123">
        <f t="shared" si="32"/>
        <v>0</v>
      </c>
      <c r="AJ55" s="123">
        <f t="shared" si="33"/>
        <v>0</v>
      </c>
      <c r="AK55" s="123">
        <f t="shared" si="34"/>
        <v>0</v>
      </c>
      <c r="AL55" s="123">
        <f t="shared" si="35"/>
        <v>0</v>
      </c>
      <c r="AM55" s="123">
        <f t="shared" si="36"/>
        <v>0</v>
      </c>
      <c r="AN55" s="123">
        <f t="shared" si="37"/>
        <v>0</v>
      </c>
      <c r="AO55" s="123">
        <f t="shared" si="38"/>
        <v>0</v>
      </c>
      <c r="AP55" s="123"/>
      <c r="AQ55" s="123">
        <f t="shared" si="39"/>
        <v>0</v>
      </c>
      <c r="AR55" s="123">
        <f t="shared" si="40"/>
        <v>0</v>
      </c>
      <c r="AS55" s="123">
        <f t="shared" si="41"/>
        <v>0</v>
      </c>
      <c r="AW55" t="str">
        <f t="shared" si="73"/>
        <v>17140</v>
      </c>
      <c r="AX55" t="str">
        <f t="shared" si="74"/>
        <v>8506-56952.9347658429i</v>
      </c>
      <c r="AY55" t="str">
        <f t="shared" si="42"/>
        <v>15208.8059993496-4288.66747014076i</v>
      </c>
      <c r="AZ55">
        <f t="shared" si="75"/>
        <v>9.9947931390472711</v>
      </c>
      <c r="BA55">
        <f t="shared" si="76"/>
        <v>-15.747702011172075</v>
      </c>
      <c r="BB55">
        <f t="shared" si="77"/>
        <v>-1.9593224080431968</v>
      </c>
      <c r="BC55">
        <f t="shared" si="78"/>
        <v>3.4516709261142178</v>
      </c>
      <c r="BD55" s="123">
        <f t="shared" si="43"/>
        <v>-1.9594672752596118</v>
      </c>
      <c r="BE55" s="123">
        <f t="shared" si="44"/>
        <v>3.0861871762054891</v>
      </c>
      <c r="BF55">
        <f t="shared" si="45"/>
        <v>39.656800825910139</v>
      </c>
      <c r="BG55">
        <f t="shared" si="46"/>
        <v>-101.12474488389518</v>
      </c>
      <c r="BH55" s="123">
        <f t="shared" si="47"/>
        <v>37.697333550650526</v>
      </c>
      <c r="BI55" s="123">
        <f t="shared" si="48"/>
        <v>-98.038557707689691</v>
      </c>
      <c r="BL55" s="123">
        <f t="shared" si="49"/>
        <v>0</v>
      </c>
      <c r="BM55" s="123">
        <f t="shared" si="50"/>
        <v>0</v>
      </c>
      <c r="BN55" s="123">
        <f t="shared" si="51"/>
        <v>0</v>
      </c>
      <c r="BO55" s="123">
        <f t="shared" si="52"/>
        <v>0</v>
      </c>
      <c r="BP55" s="123">
        <f t="shared" si="53"/>
        <v>0</v>
      </c>
      <c r="BQ55" s="123">
        <f t="shared" si="54"/>
        <v>0</v>
      </c>
      <c r="BR55" s="123">
        <f t="shared" si="55"/>
        <v>0</v>
      </c>
      <c r="BS55" s="123"/>
      <c r="BT55" s="123"/>
      <c r="BU55" s="123">
        <f t="shared" si="56"/>
        <v>0</v>
      </c>
      <c r="BV55" s="123">
        <f t="shared" si="57"/>
        <v>0</v>
      </c>
      <c r="BX55" s="123">
        <f t="shared" si="58"/>
        <v>0</v>
      </c>
      <c r="BY55" s="123"/>
    </row>
    <row r="56" spans="5:77" x14ac:dyDescent="0.25">
      <c r="E56">
        <v>45</v>
      </c>
      <c r="F56">
        <v>500</v>
      </c>
      <c r="G56" s="58">
        <f t="shared" si="59"/>
        <v>-1.7884773254467183E-4</v>
      </c>
      <c r="H56" s="58">
        <f t="shared" si="60"/>
        <v>-0.40609211274545459</v>
      </c>
      <c r="I56">
        <f t="shared" si="61"/>
        <v>17.728770168520093</v>
      </c>
      <c r="J56">
        <f t="shared" si="62"/>
        <v>-5.2892441280945652</v>
      </c>
      <c r="K56" t="str">
        <f t="shared" si="63"/>
        <v>37499.7918142746-88.3567844740428i</v>
      </c>
      <c r="L56" t="str">
        <f t="shared" si="64"/>
        <v>1000000000-636619904.812592i</v>
      </c>
      <c r="M56" t="str">
        <f t="shared" si="65"/>
        <v>149983.990028216-10.1907381022148i</v>
      </c>
      <c r="N56">
        <f t="shared" si="21"/>
        <v>-13.97867406257145</v>
      </c>
      <c r="O56">
        <f t="shared" si="66"/>
        <v>-0.10488323703457095</v>
      </c>
      <c r="P56" t="str">
        <f t="shared" si="67"/>
        <v>-56427.9298717064i</v>
      </c>
      <c r="Q56" t="str">
        <f t="shared" si="68"/>
        <v>9360-52181.9594108682i</v>
      </c>
      <c r="R56" t="str">
        <f t="shared" si="22"/>
        <v>2507.90891885433-27327.1061529509i</v>
      </c>
      <c r="S56" t="str">
        <f t="shared" si="69"/>
        <v>71695688.4761569-45047720.2702373i</v>
      </c>
      <c r="T56" t="str">
        <f t="shared" si="23"/>
        <v>2514.44966967774-27321.0823969638i</v>
      </c>
      <c r="U56" t="str">
        <f t="shared" si="24"/>
        <v>0.999993750039062-0.00249998437509766i</v>
      </c>
      <c r="V56">
        <f t="shared" si="70"/>
        <v>28.766561272702088</v>
      </c>
      <c r="W56">
        <f t="shared" si="71"/>
        <v>-84.884949320521997</v>
      </c>
      <c r="X56">
        <f t="shared" si="25"/>
        <v>-2.7143320298713954E-5</v>
      </c>
      <c r="Y56">
        <f t="shared" si="72"/>
        <v>-0.14323918016837212</v>
      </c>
      <c r="AA56" s="123">
        <f t="shared" si="26"/>
        <v>17.728591320787547</v>
      </c>
      <c r="AB56" s="123">
        <f t="shared" si="27"/>
        <v>-5.6953362408400201</v>
      </c>
      <c r="AC56">
        <f t="shared" si="28"/>
        <v>14.787887210130638</v>
      </c>
      <c r="AD56">
        <f t="shared" si="29"/>
        <v>-84.989832557556568</v>
      </c>
      <c r="AE56" s="123">
        <f t="shared" si="30"/>
        <v>32.516478530918185</v>
      </c>
      <c r="AF56" s="123">
        <f t="shared" si="31"/>
        <v>-90.685168798396589</v>
      </c>
      <c r="AI56" s="123">
        <f t="shared" si="32"/>
        <v>0</v>
      </c>
      <c r="AJ56" s="123">
        <f t="shared" si="33"/>
        <v>0</v>
      </c>
      <c r="AK56" s="123">
        <f t="shared" si="34"/>
        <v>0</v>
      </c>
      <c r="AL56" s="123">
        <f t="shared" si="35"/>
        <v>0</v>
      </c>
      <c r="AM56" s="123">
        <f t="shared" si="36"/>
        <v>0</v>
      </c>
      <c r="AN56" s="123">
        <f t="shared" si="37"/>
        <v>0</v>
      </c>
      <c r="AO56" s="123">
        <f t="shared" si="38"/>
        <v>0</v>
      </c>
      <c r="AP56" s="123"/>
      <c r="AQ56" s="123">
        <f t="shared" si="39"/>
        <v>0</v>
      </c>
      <c r="AR56" s="123">
        <f t="shared" si="40"/>
        <v>0</v>
      </c>
      <c r="AS56" s="123">
        <f t="shared" si="41"/>
        <v>0</v>
      </c>
      <c r="AW56" t="str">
        <f t="shared" si="73"/>
        <v>17140</v>
      </c>
      <c r="AX56" t="str">
        <f t="shared" si="74"/>
        <v>8506-51257.6412892586i</v>
      </c>
      <c r="AY56" t="str">
        <f t="shared" si="42"/>
        <v>14846.5062748401-4583.91478840416i</v>
      </c>
      <c r="AZ56">
        <f t="shared" si="75"/>
        <v>9.8485306656209755</v>
      </c>
      <c r="BA56">
        <f t="shared" si="76"/>
        <v>-17.158273401808056</v>
      </c>
      <c r="BB56">
        <f t="shared" si="77"/>
        <v>-1.9291046331531778</v>
      </c>
      <c r="BC56">
        <f t="shared" si="78"/>
        <v>3.7755134060710911</v>
      </c>
      <c r="BD56" s="123">
        <f t="shared" si="43"/>
        <v>-1.9292834808857224</v>
      </c>
      <c r="BE56" s="123">
        <f t="shared" si="44"/>
        <v>3.3694212933256367</v>
      </c>
      <c r="BF56">
        <f t="shared" si="45"/>
        <v>38.615091938323062</v>
      </c>
      <c r="BG56">
        <f t="shared" si="46"/>
        <v>-102.04322272233006</v>
      </c>
      <c r="BH56" s="123">
        <f t="shared" si="47"/>
        <v>36.685808457437339</v>
      </c>
      <c r="BI56" s="123">
        <f t="shared" si="48"/>
        <v>-98.673801429004413</v>
      </c>
      <c r="BL56" s="123">
        <f t="shared" si="49"/>
        <v>0</v>
      </c>
      <c r="BM56" s="123">
        <f t="shared" si="50"/>
        <v>0</v>
      </c>
      <c r="BN56" s="123">
        <f t="shared" si="51"/>
        <v>0</v>
      </c>
      <c r="BO56" s="123">
        <f t="shared" si="52"/>
        <v>0</v>
      </c>
      <c r="BP56" s="123">
        <f t="shared" si="53"/>
        <v>0</v>
      </c>
      <c r="BQ56" s="123">
        <f t="shared" si="54"/>
        <v>0</v>
      </c>
      <c r="BR56" s="123">
        <f t="shared" si="55"/>
        <v>0</v>
      </c>
      <c r="BS56" s="123"/>
      <c r="BT56" s="123"/>
      <c r="BU56" s="123">
        <f t="shared" si="56"/>
        <v>0</v>
      </c>
      <c r="BV56" s="123">
        <f t="shared" si="57"/>
        <v>0</v>
      </c>
      <c r="BX56" s="123">
        <f t="shared" si="58"/>
        <v>0</v>
      </c>
      <c r="BY56" s="123"/>
    </row>
    <row r="57" spans="5:77" x14ac:dyDescent="0.25">
      <c r="E57">
        <v>46</v>
      </c>
      <c r="F57">
        <v>550</v>
      </c>
      <c r="G57" s="58">
        <f t="shared" si="59"/>
        <v>-2.1640484327245711E-4</v>
      </c>
      <c r="H57" s="58">
        <f t="shared" si="60"/>
        <v>-0.44670017789587391</v>
      </c>
      <c r="I57">
        <f t="shared" si="61"/>
        <v>17.694731970702907</v>
      </c>
      <c r="J57">
        <f t="shared" si="62"/>
        <v>-5.764543670788095</v>
      </c>
      <c r="K57" t="str">
        <f t="shared" si="63"/>
        <v>37499.7480955659-97.1923496107119i</v>
      </c>
      <c r="L57" t="str">
        <f t="shared" si="64"/>
        <v>1000000000-578745368.011447i</v>
      </c>
      <c r="M57" t="str">
        <f t="shared" si="65"/>
        <v>149983.146647709-9.75233672343702i</v>
      </c>
      <c r="N57">
        <f t="shared" si="21"/>
        <v>-13.978638240662871</v>
      </c>
      <c r="O57">
        <f t="shared" si="66"/>
        <v>-0.11581679373892609</v>
      </c>
      <c r="P57" t="str">
        <f t="shared" si="67"/>
        <v>-51298.1180651877i</v>
      </c>
      <c r="Q57" t="str">
        <f t="shared" si="68"/>
        <v>9360-47438.1449189711i</v>
      </c>
      <c r="R57" t="str">
        <f t="shared" si="22"/>
        <v>2504.03225106597-24883.7177594115i</v>
      </c>
      <c r="S57" t="str">
        <f t="shared" si="69"/>
        <v>67673254.248958-46772385.9157483i</v>
      </c>
      <c r="T57" t="str">
        <f t="shared" si="23"/>
        <v>2509.2979301926-24878.2351659554i</v>
      </c>
      <c r="U57" t="str">
        <f t="shared" si="24"/>
        <v>0.999992437557191-0.00274997920328228i</v>
      </c>
      <c r="V57">
        <f t="shared" si="70"/>
        <v>27.960317735244637</v>
      </c>
      <c r="W57">
        <f t="shared" si="71"/>
        <v>-84.398024669650269</v>
      </c>
      <c r="X57">
        <f t="shared" si="25"/>
        <v>-3.2843396005182155E-5</v>
      </c>
      <c r="Y57">
        <f t="shared" si="72"/>
        <v>-0.15756302925178148</v>
      </c>
      <c r="AA57" s="123">
        <f t="shared" si="26"/>
        <v>17.694515565859636</v>
      </c>
      <c r="AB57" s="123">
        <f t="shared" si="27"/>
        <v>-6.2112438486839689</v>
      </c>
      <c r="AC57">
        <f t="shared" si="28"/>
        <v>13.981679494581766</v>
      </c>
      <c r="AD57">
        <f t="shared" si="29"/>
        <v>-84.513841463389198</v>
      </c>
      <c r="AE57" s="123">
        <f t="shared" si="30"/>
        <v>31.676195060441401</v>
      </c>
      <c r="AF57" s="123">
        <f t="shared" si="31"/>
        <v>-90.725085312073162</v>
      </c>
      <c r="AI57" s="123">
        <f t="shared" si="32"/>
        <v>0</v>
      </c>
      <c r="AJ57" s="123">
        <f t="shared" si="33"/>
        <v>0</v>
      </c>
      <c r="AK57" s="123">
        <f t="shared" si="34"/>
        <v>0</v>
      </c>
      <c r="AL57" s="123">
        <f t="shared" si="35"/>
        <v>0</v>
      </c>
      <c r="AM57" s="123">
        <f t="shared" si="36"/>
        <v>0</v>
      </c>
      <c r="AN57" s="123">
        <f t="shared" si="37"/>
        <v>0</v>
      </c>
      <c r="AO57" s="123">
        <f t="shared" si="38"/>
        <v>0</v>
      </c>
      <c r="AP57" s="123"/>
      <c r="AQ57" s="123">
        <f t="shared" si="39"/>
        <v>0</v>
      </c>
      <c r="AR57" s="123">
        <f t="shared" si="40"/>
        <v>0</v>
      </c>
      <c r="AS57" s="123">
        <f t="shared" si="41"/>
        <v>0</v>
      </c>
      <c r="AW57" t="str">
        <f t="shared" si="73"/>
        <v>17140</v>
      </c>
      <c r="AX57" t="str">
        <f t="shared" si="74"/>
        <v>8506-46597.8557175078i</v>
      </c>
      <c r="AY57" t="str">
        <f t="shared" si="42"/>
        <v>14476.8450697252-4838.85632045202i</v>
      </c>
      <c r="AZ57">
        <f t="shared" si="75"/>
        <v>9.6940393397942692</v>
      </c>
      <c r="BA57">
        <f t="shared" si="76"/>
        <v>-18.482104926419844</v>
      </c>
      <c r="BB57">
        <f t="shared" si="77"/>
        <v>-1.8967891531972791</v>
      </c>
      <c r="BC57">
        <f t="shared" si="78"/>
        <v>4.082883747258637</v>
      </c>
      <c r="BD57" s="123">
        <f t="shared" si="43"/>
        <v>-1.8970055580405516</v>
      </c>
      <c r="BE57" s="123">
        <f t="shared" si="44"/>
        <v>3.6361835693627631</v>
      </c>
      <c r="BF57">
        <f t="shared" si="45"/>
        <v>37.654357075038902</v>
      </c>
      <c r="BG57">
        <f t="shared" si="46"/>
        <v>-102.88012959607011</v>
      </c>
      <c r="BH57" s="123">
        <f t="shared" si="47"/>
        <v>35.757351516998348</v>
      </c>
      <c r="BI57" s="123">
        <f t="shared" si="48"/>
        <v>-99.243946026707349</v>
      </c>
      <c r="BL57" s="123">
        <f t="shared" si="49"/>
        <v>0</v>
      </c>
      <c r="BM57" s="123">
        <f t="shared" si="50"/>
        <v>0</v>
      </c>
      <c r="BN57" s="123">
        <f t="shared" si="51"/>
        <v>0</v>
      </c>
      <c r="BO57" s="123">
        <f t="shared" si="52"/>
        <v>0</v>
      </c>
      <c r="BP57" s="123">
        <f t="shared" si="53"/>
        <v>0</v>
      </c>
      <c r="BQ57" s="123">
        <f t="shared" si="54"/>
        <v>0</v>
      </c>
      <c r="BR57" s="123">
        <f t="shared" si="55"/>
        <v>0</v>
      </c>
      <c r="BS57" s="123"/>
      <c r="BT57" s="123"/>
      <c r="BU57" s="123">
        <f t="shared" si="56"/>
        <v>0</v>
      </c>
      <c r="BV57" s="123">
        <f t="shared" si="57"/>
        <v>0</v>
      </c>
      <c r="BX57" s="123">
        <f t="shared" si="58"/>
        <v>0</v>
      </c>
      <c r="BY57" s="123"/>
    </row>
    <row r="58" spans="5:77" x14ac:dyDescent="0.25">
      <c r="E58">
        <v>47</v>
      </c>
      <c r="F58">
        <v>600</v>
      </c>
      <c r="G58" s="58">
        <f t="shared" si="59"/>
        <v>-2.5753845803018E-4</v>
      </c>
      <c r="H58" s="58">
        <f t="shared" si="60"/>
        <v>-0.48730791559694198</v>
      </c>
      <c r="I58">
        <f t="shared" si="61"/>
        <v>17.658184397806089</v>
      </c>
      <c r="J58">
        <f t="shared" si="62"/>
        <v>-6.2258180318680019</v>
      </c>
      <c r="K58" t="str">
        <f t="shared" si="63"/>
        <v>37499.7002132877-106.027882373216i</v>
      </c>
      <c r="L58" t="str">
        <f t="shared" si="64"/>
        <v>1000000000-530516587.343826i</v>
      </c>
      <c r="M58" t="str">
        <f t="shared" si="65"/>
        <v>149982.443212513-9.31277006695086i</v>
      </c>
      <c r="N58">
        <f t="shared" si="21"/>
        <v>-13.978609208808253</v>
      </c>
      <c r="O58">
        <f t="shared" si="66"/>
        <v>-0.12675070133911112</v>
      </c>
      <c r="P58" t="str">
        <f t="shared" si="67"/>
        <v>-47023.2748930887i</v>
      </c>
      <c r="Q58" t="str">
        <f t="shared" si="68"/>
        <v>9360-43484.9661757235i</v>
      </c>
      <c r="R58" t="str">
        <f t="shared" si="22"/>
        <v>2499.80010499314-22850.9981274304i</v>
      </c>
      <c r="S58" t="str">
        <f t="shared" si="69"/>
        <v>63755628.1675281-48070601.1374593i</v>
      </c>
      <c r="T58" t="str">
        <f t="shared" si="23"/>
        <v>2504.09600024593-22845.9658233465i</v>
      </c>
      <c r="U58" t="str">
        <f t="shared" si="24"/>
        <v>0.999991000080999-0.002999973000243i</v>
      </c>
      <c r="V58">
        <f t="shared" si="70"/>
        <v>27.228016013183371</v>
      </c>
      <c r="W58">
        <f t="shared" si="71"/>
        <v>-83.916809618627624</v>
      </c>
      <c r="X58">
        <f t="shared" si="25"/>
        <v>-3.9086327486256407E-5</v>
      </c>
      <c r="Y58">
        <f t="shared" si="72"/>
        <v>-0.17188685864006162</v>
      </c>
      <c r="AA58" s="123">
        <f t="shared" si="26"/>
        <v>17.657926859348059</v>
      </c>
      <c r="AB58" s="123">
        <f t="shared" si="27"/>
        <v>-6.7131259474649436</v>
      </c>
      <c r="AC58">
        <f t="shared" si="28"/>
        <v>13.249406804375118</v>
      </c>
      <c r="AD58">
        <f t="shared" si="29"/>
        <v>-84.04356031996673</v>
      </c>
      <c r="AE58" s="123">
        <f t="shared" si="30"/>
        <v>30.907333663723179</v>
      </c>
      <c r="AF58" s="123">
        <f t="shared" si="31"/>
        <v>-90.756686267431675</v>
      </c>
      <c r="AI58" s="123">
        <f t="shared" si="32"/>
        <v>0</v>
      </c>
      <c r="AJ58" s="123">
        <f t="shared" si="33"/>
        <v>0</v>
      </c>
      <c r="AK58" s="123">
        <f t="shared" si="34"/>
        <v>0</v>
      </c>
      <c r="AL58" s="123">
        <f t="shared" si="35"/>
        <v>0</v>
      </c>
      <c r="AM58" s="123">
        <f t="shared" si="36"/>
        <v>0</v>
      </c>
      <c r="AN58" s="123">
        <f t="shared" si="37"/>
        <v>0</v>
      </c>
      <c r="AO58" s="123">
        <f t="shared" si="38"/>
        <v>0</v>
      </c>
      <c r="AP58" s="123"/>
      <c r="AQ58" s="123">
        <f t="shared" si="39"/>
        <v>0</v>
      </c>
      <c r="AR58" s="123">
        <f t="shared" si="40"/>
        <v>0</v>
      </c>
      <c r="AS58" s="123">
        <f t="shared" si="41"/>
        <v>0</v>
      </c>
      <c r="AW58" t="str">
        <f t="shared" si="73"/>
        <v>17140</v>
      </c>
      <c r="AX58" t="str">
        <f t="shared" si="74"/>
        <v>8506-42714.7010743822i</v>
      </c>
      <c r="AY58" t="str">
        <f t="shared" si="42"/>
        <v>14104.7569134125-5055.34980627275i</v>
      </c>
      <c r="AZ58">
        <f t="shared" si="75"/>
        <v>9.5327774739710662</v>
      </c>
      <c r="BA58">
        <f t="shared" si="76"/>
        <v>-19.718421304239858</v>
      </c>
      <c r="BB58">
        <f t="shared" si="77"/>
        <v>-1.8626345022582869</v>
      </c>
      <c r="BC58">
        <f t="shared" si="78"/>
        <v>4.3731612877969228</v>
      </c>
      <c r="BD58" s="123">
        <f t="shared" si="43"/>
        <v>-1.862892040716317</v>
      </c>
      <c r="BE58" s="123">
        <f t="shared" si="44"/>
        <v>3.8858533721999811</v>
      </c>
      <c r="BF58">
        <f t="shared" si="45"/>
        <v>36.760793487154437</v>
      </c>
      <c r="BG58">
        <f t="shared" si="46"/>
        <v>-103.63523092286748</v>
      </c>
      <c r="BH58" s="123">
        <f t="shared" si="47"/>
        <v>34.897901446438119</v>
      </c>
      <c r="BI58" s="123">
        <f t="shared" si="48"/>
        <v>-99.749377550667504</v>
      </c>
      <c r="BL58" s="123">
        <f t="shared" si="49"/>
        <v>0</v>
      </c>
      <c r="BM58" s="123">
        <f t="shared" si="50"/>
        <v>0</v>
      </c>
      <c r="BN58" s="123">
        <f t="shared" si="51"/>
        <v>0</v>
      </c>
      <c r="BO58" s="123">
        <f t="shared" si="52"/>
        <v>0</v>
      </c>
      <c r="BP58" s="123">
        <f t="shared" si="53"/>
        <v>0</v>
      </c>
      <c r="BQ58" s="123">
        <f t="shared" si="54"/>
        <v>0</v>
      </c>
      <c r="BR58" s="123">
        <f t="shared" si="55"/>
        <v>0</v>
      </c>
      <c r="BS58" s="123"/>
      <c r="BT58" s="123"/>
      <c r="BU58" s="123">
        <f t="shared" si="56"/>
        <v>0</v>
      </c>
      <c r="BV58" s="123">
        <f t="shared" si="57"/>
        <v>0</v>
      </c>
      <c r="BX58" s="123">
        <f t="shared" si="58"/>
        <v>0</v>
      </c>
      <c r="BY58" s="123"/>
    </row>
    <row r="59" spans="5:77" x14ac:dyDescent="0.25">
      <c r="E59">
        <v>48</v>
      </c>
      <c r="F59">
        <v>650</v>
      </c>
      <c r="G59" s="58">
        <f t="shared" si="59"/>
        <v>-3.0224847765721079E-4</v>
      </c>
      <c r="H59" s="58">
        <f t="shared" si="60"/>
        <v>-0.52791529608721288</v>
      </c>
      <c r="I59">
        <f t="shared" si="61"/>
        <v>17.61929930771467</v>
      </c>
      <c r="J59">
        <f t="shared" si="62"/>
        <v>-6.6723265745540807</v>
      </c>
      <c r="K59" t="str">
        <f t="shared" si="63"/>
        <v>37499.6481674718-114.863379818601i</v>
      </c>
      <c r="L59" t="str">
        <f t="shared" si="64"/>
        <v>1000000000-489707619.086609i</v>
      </c>
      <c r="M59" t="str">
        <f t="shared" si="65"/>
        <v>149981.853778993-8.88500993316296i</v>
      </c>
      <c r="N59">
        <f t="shared" si="21"/>
        <v>-13.978585765521023</v>
      </c>
      <c r="O59">
        <f t="shared" si="66"/>
        <v>-0.13768099531230843</v>
      </c>
      <c r="P59" t="str">
        <f t="shared" si="67"/>
        <v>-43406.0999013126i</v>
      </c>
      <c r="Q59" t="str">
        <f t="shared" si="68"/>
        <v>9360-40139.9687775908i</v>
      </c>
      <c r="R59" t="str">
        <f t="shared" si="22"/>
        <v>2495.21614229574-21134.144859331i</v>
      </c>
      <c r="S59" t="str">
        <f t="shared" si="69"/>
        <v>59981346.5243983-48993598.7814723i</v>
      </c>
      <c r="T59" t="str">
        <f t="shared" si="23"/>
        <v>2498.75733251388-21129.4929563601i</v>
      </c>
      <c r="U59" t="str">
        <f t="shared" si="24"/>
        <v>0.999989437611565-0.00324996567223759i</v>
      </c>
      <c r="V59">
        <f t="shared" si="70"/>
        <v>26.558051981369196</v>
      </c>
      <c r="W59">
        <f t="shared" si="71"/>
        <v>-83.441798281589655</v>
      </c>
      <c r="X59">
        <f t="shared" si="25"/>
        <v>-4.587211239167966E-5</v>
      </c>
      <c r="Y59">
        <f t="shared" si="72"/>
        <v>-0.18621066654280816</v>
      </c>
      <c r="AA59" s="123">
        <f t="shared" si="26"/>
        <v>17.618997059237014</v>
      </c>
      <c r="AB59" s="123">
        <f t="shared" si="27"/>
        <v>-7.2002418706412934</v>
      </c>
      <c r="AC59">
        <f t="shared" si="28"/>
        <v>12.579466215848173</v>
      </c>
      <c r="AD59">
        <f t="shared" si="29"/>
        <v>-83.579479276901964</v>
      </c>
      <c r="AE59" s="123">
        <f t="shared" si="30"/>
        <v>30.198463275085189</v>
      </c>
      <c r="AF59" s="123">
        <f t="shared" si="31"/>
        <v>-90.779721147543256</v>
      </c>
      <c r="AI59" s="123">
        <f t="shared" si="32"/>
        <v>0</v>
      </c>
      <c r="AJ59" s="123">
        <f t="shared" si="33"/>
        <v>0</v>
      </c>
      <c r="AK59" s="123">
        <f t="shared" si="34"/>
        <v>0</v>
      </c>
      <c r="AL59" s="123">
        <f t="shared" si="35"/>
        <v>0</v>
      </c>
      <c r="AM59" s="123">
        <f t="shared" si="36"/>
        <v>0</v>
      </c>
      <c r="AN59" s="123">
        <f t="shared" si="37"/>
        <v>0</v>
      </c>
      <c r="AO59" s="123">
        <f t="shared" si="38"/>
        <v>0</v>
      </c>
      <c r="AP59" s="123"/>
      <c r="AQ59" s="123">
        <f t="shared" si="39"/>
        <v>0</v>
      </c>
      <c r="AR59" s="123">
        <f t="shared" si="40"/>
        <v>0</v>
      </c>
      <c r="AS59" s="123">
        <f t="shared" si="41"/>
        <v>0</v>
      </c>
      <c r="AW59" t="str">
        <f t="shared" si="73"/>
        <v>17140</v>
      </c>
      <c r="AX59" t="str">
        <f t="shared" si="74"/>
        <v>8506-39428.9548378912i</v>
      </c>
      <c r="AY59" t="str">
        <f t="shared" si="42"/>
        <v>13734.4636868942-5235.77702129954i</v>
      </c>
      <c r="AZ59">
        <f t="shared" si="75"/>
        <v>9.3661195789341551</v>
      </c>
      <c r="BA59">
        <f t="shared" si="76"/>
        <v>-20.867577385308078</v>
      </c>
      <c r="BB59">
        <f t="shared" si="77"/>
        <v>-1.8268983074146208</v>
      </c>
      <c r="BC59">
        <f t="shared" si="78"/>
        <v>4.6459280232943057</v>
      </c>
      <c r="BD59" s="123">
        <f t="shared" si="43"/>
        <v>-1.8272005558922779</v>
      </c>
      <c r="BE59" s="123">
        <f t="shared" si="44"/>
        <v>4.118012727207093</v>
      </c>
      <c r="BF59">
        <f t="shared" si="45"/>
        <v>35.92417156030335</v>
      </c>
      <c r="BG59">
        <f t="shared" si="46"/>
        <v>-104.30937566689774</v>
      </c>
      <c r="BH59" s="123">
        <f t="shared" si="47"/>
        <v>34.096971004411074</v>
      </c>
      <c r="BI59" s="123">
        <f t="shared" si="48"/>
        <v>-100.19136293969065</v>
      </c>
      <c r="BL59" s="123">
        <f t="shared" si="49"/>
        <v>0</v>
      </c>
      <c r="BM59" s="123">
        <f t="shared" si="50"/>
        <v>0</v>
      </c>
      <c r="BN59" s="123">
        <f t="shared" si="51"/>
        <v>0</v>
      </c>
      <c r="BO59" s="123">
        <f t="shared" si="52"/>
        <v>0</v>
      </c>
      <c r="BP59" s="123">
        <f t="shared" si="53"/>
        <v>0</v>
      </c>
      <c r="BQ59" s="123">
        <f t="shared" si="54"/>
        <v>0</v>
      </c>
      <c r="BR59" s="123">
        <f t="shared" si="55"/>
        <v>0</v>
      </c>
      <c r="BS59" s="123"/>
      <c r="BT59" s="123"/>
      <c r="BU59" s="123">
        <f t="shared" si="56"/>
        <v>0</v>
      </c>
      <c r="BV59" s="123">
        <f t="shared" si="57"/>
        <v>0</v>
      </c>
      <c r="BX59" s="123">
        <f t="shared" si="58"/>
        <v>0</v>
      </c>
      <c r="BY59" s="123"/>
    </row>
    <row r="60" spans="5:77" x14ac:dyDescent="0.25">
      <c r="E60">
        <v>49</v>
      </c>
      <c r="F60">
        <v>700</v>
      </c>
      <c r="G60" s="58">
        <f t="shared" si="59"/>
        <v>-3.5053479437384709E-4</v>
      </c>
      <c r="H60" s="58">
        <f t="shared" si="60"/>
        <v>-0.56852228960697659</v>
      </c>
      <c r="I60">
        <f t="shared" si="61"/>
        <v>17.578253015537541</v>
      </c>
      <c r="J60">
        <f t="shared" si="62"/>
        <v>-7.1034382343457034</v>
      </c>
      <c r="K60" t="str">
        <f t="shared" si="63"/>
        <v>37499.5919581528-123.698839003947i</v>
      </c>
      <c r="L60" t="str">
        <f t="shared" si="64"/>
        <v>1000000000-454728503.437566i</v>
      </c>
      <c r="M60" t="str">
        <f t="shared" si="65"/>
        <v>149981.357149778-8.47616395650347i</v>
      </c>
      <c r="N60">
        <f t="shared" si="21"/>
        <v>-13.978566929096006</v>
      </c>
      <c r="O60">
        <f t="shared" si="66"/>
        <v>-0.1486055028293487</v>
      </c>
      <c r="P60" t="str">
        <f t="shared" si="67"/>
        <v>-40305.664194076i</v>
      </c>
      <c r="Q60" t="str">
        <f t="shared" si="68"/>
        <v>9360-37272.8281506201i</v>
      </c>
      <c r="R60" t="str">
        <f t="shared" si="22"/>
        <v>2490.28430795468-19665.4396085226i</v>
      </c>
      <c r="S60" t="str">
        <f t="shared" si="69"/>
        <v>56376883.3366101-49591686.3890639i</v>
      </c>
      <c r="T60" t="str">
        <f t="shared" si="23"/>
        <v>2493.22667998093-19661.1132013728i</v>
      </c>
      <c r="U60" t="str">
        <f t="shared" si="24"/>
        <v>0.999987750150061-0.00349995712552521i</v>
      </c>
      <c r="V60">
        <f t="shared" si="70"/>
        <v>25.941391271209362</v>
      </c>
      <c r="W60">
        <f t="shared" si="71"/>
        <v>-82.973445654743188</v>
      </c>
      <c r="X60">
        <f t="shared" si="25"/>
        <v>-5.3200748176918117E-5</v>
      </c>
      <c r="Y60">
        <f t="shared" si="72"/>
        <v>-0.20053445116963217</v>
      </c>
      <c r="AA60" s="123">
        <f t="shared" si="26"/>
        <v>17.577902480743166</v>
      </c>
      <c r="AB60" s="123">
        <f t="shared" si="27"/>
        <v>-7.6719605239526798</v>
      </c>
      <c r="AC60">
        <f t="shared" si="28"/>
        <v>11.962824342113356</v>
      </c>
      <c r="AD60">
        <f t="shared" si="29"/>
        <v>-83.122051157572542</v>
      </c>
      <c r="AE60" s="123">
        <f t="shared" si="30"/>
        <v>29.54072682285652</v>
      </c>
      <c r="AF60" s="123">
        <f t="shared" si="31"/>
        <v>-90.79401168152522</v>
      </c>
      <c r="AI60" s="123">
        <f t="shared" si="32"/>
        <v>0</v>
      </c>
      <c r="AJ60" s="123">
        <f t="shared" si="33"/>
        <v>0</v>
      </c>
      <c r="AK60" s="123">
        <f t="shared" si="34"/>
        <v>0</v>
      </c>
      <c r="AL60" s="123">
        <f t="shared" si="35"/>
        <v>0</v>
      </c>
      <c r="AM60" s="123">
        <f t="shared" si="36"/>
        <v>0</v>
      </c>
      <c r="AN60" s="123">
        <f t="shared" si="37"/>
        <v>0</v>
      </c>
      <c r="AO60" s="123">
        <f t="shared" si="38"/>
        <v>0</v>
      </c>
      <c r="AP60" s="123"/>
      <c r="AQ60" s="123">
        <f t="shared" si="39"/>
        <v>0</v>
      </c>
      <c r="AR60" s="123">
        <f t="shared" si="40"/>
        <v>0</v>
      </c>
      <c r="AS60" s="123">
        <f t="shared" si="41"/>
        <v>0</v>
      </c>
      <c r="AW60" t="str">
        <f t="shared" si="73"/>
        <v>17140</v>
      </c>
      <c r="AX60" t="str">
        <f t="shared" si="74"/>
        <v>8506-36612.600920899i</v>
      </c>
      <c r="AY60" t="str">
        <f t="shared" si="42"/>
        <v>13369.4704528049-5382.86257396527i</v>
      </c>
      <c r="AZ60">
        <f t="shared" si="75"/>
        <v>9.1953401848198197</v>
      </c>
      <c r="BA60">
        <f t="shared" si="76"/>
        <v>-21.930877492847983</v>
      </c>
      <c r="BB60">
        <f t="shared" si="77"/>
        <v>-1.7898334289633957</v>
      </c>
      <c r="BC60">
        <f t="shared" si="78"/>
        <v>4.9009567286438518</v>
      </c>
      <c r="BD60" s="123">
        <f t="shared" si="43"/>
        <v>-1.7901839637577694</v>
      </c>
      <c r="BE60" s="123">
        <f t="shared" si="44"/>
        <v>4.3324344390368754</v>
      </c>
      <c r="BF60">
        <f t="shared" si="45"/>
        <v>35.136731456029182</v>
      </c>
      <c r="BG60">
        <f t="shared" si="46"/>
        <v>-104.90432314759117</v>
      </c>
      <c r="BH60" s="123">
        <f t="shared" si="47"/>
        <v>33.346547492271412</v>
      </c>
      <c r="BI60" s="123">
        <f t="shared" si="48"/>
        <v>-100.5718887085543</v>
      </c>
      <c r="BL60" s="123">
        <f t="shared" si="49"/>
        <v>0</v>
      </c>
      <c r="BM60" s="123">
        <f t="shared" si="50"/>
        <v>0</v>
      </c>
      <c r="BN60" s="123">
        <f t="shared" si="51"/>
        <v>0</v>
      </c>
      <c r="BO60" s="123">
        <f t="shared" si="52"/>
        <v>0</v>
      </c>
      <c r="BP60" s="123">
        <f t="shared" si="53"/>
        <v>0</v>
      </c>
      <c r="BQ60" s="123">
        <f t="shared" si="54"/>
        <v>0</v>
      </c>
      <c r="BR60" s="123">
        <f t="shared" si="55"/>
        <v>0</v>
      </c>
      <c r="BS60" s="123"/>
      <c r="BT60" s="123"/>
      <c r="BU60" s="123">
        <f t="shared" si="56"/>
        <v>0</v>
      </c>
      <c r="BV60" s="123">
        <f t="shared" si="57"/>
        <v>0</v>
      </c>
      <c r="BX60" s="123">
        <f t="shared" si="58"/>
        <v>0</v>
      </c>
      <c r="BY60" s="123"/>
    </row>
    <row r="61" spans="5:77" x14ac:dyDescent="0.25">
      <c r="E61">
        <v>50</v>
      </c>
      <c r="F61">
        <v>750</v>
      </c>
      <c r="G61" s="58">
        <f t="shared" si="59"/>
        <v>-4.0239729174774573E-4</v>
      </c>
      <c r="H61" s="58">
        <f t="shared" si="60"/>
        <v>-0.60912886639841712</v>
      </c>
      <c r="I61">
        <f t="shared" si="61"/>
        <v>17.535224489146493</v>
      </c>
      <c r="J61">
        <f t="shared" si="62"/>
        <v>-7.5186305488239098</v>
      </c>
      <c r="K61" t="str">
        <f t="shared" si="63"/>
        <v>37499.5315853684-132.534256986384i</v>
      </c>
      <c r="L61" t="str">
        <f t="shared" si="64"/>
        <v>1000000000-424413269.875061i</v>
      </c>
      <c r="M61" t="str">
        <f t="shared" si="65"/>
        <v>149980.936236001-8.08970095966886i</v>
      </c>
      <c r="N61">
        <f t="shared" si="21"/>
        <v>-13.978551908087422</v>
      </c>
      <c r="O61">
        <f t="shared" si="66"/>
        <v>-0.15952316288273016</v>
      </c>
      <c r="P61" t="str">
        <f t="shared" si="67"/>
        <v>-37618.6199144709i</v>
      </c>
      <c r="Q61" t="str">
        <f t="shared" si="68"/>
        <v>9360-34787.9729405788i</v>
      </c>
      <c r="R61" t="str">
        <f t="shared" si="22"/>
        <v>2485.00882192155-18395.2201270692i</v>
      </c>
      <c r="S61" t="str">
        <f t="shared" si="69"/>
        <v>52958695.7101873-49912384.4320678i</v>
      </c>
      <c r="T61" t="str">
        <f t="shared" si="23"/>
        <v>2487.46811758135-18391.1752943186i</v>
      </c>
      <c r="U61" t="str">
        <f t="shared" si="24"/>
        <v>0.999985937697751-0.00374994726636657i</v>
      </c>
      <c r="V61">
        <f t="shared" si="70"/>
        <v>25.370858190253426</v>
      </c>
      <c r="W61">
        <f t="shared" si="71"/>
        <v>-82.512171823903429</v>
      </c>
      <c r="X61">
        <f t="shared" si="25"/>
        <v>-6.1072232106051366E-5</v>
      </c>
      <c r="Y61">
        <f t="shared" si="72"/>
        <v>-0.21485821073016392</v>
      </c>
      <c r="AA61" s="123">
        <f t="shared" si="26"/>
        <v>17.534822091854746</v>
      </c>
      <c r="AB61" s="123">
        <f t="shared" si="27"/>
        <v>-8.1277594152223269</v>
      </c>
      <c r="AC61">
        <f t="shared" si="28"/>
        <v>11.392306282166004</v>
      </c>
      <c r="AD61">
        <f t="shared" si="29"/>
        <v>-82.671694986786164</v>
      </c>
      <c r="AE61" s="123">
        <f t="shared" si="30"/>
        <v>28.92712837402075</v>
      </c>
      <c r="AF61" s="123">
        <f t="shared" si="31"/>
        <v>-90.799454402008493</v>
      </c>
      <c r="AI61" s="123">
        <f t="shared" si="32"/>
        <v>0</v>
      </c>
      <c r="AJ61" s="123">
        <f t="shared" si="33"/>
        <v>0</v>
      </c>
      <c r="AK61" s="123">
        <f t="shared" si="34"/>
        <v>0</v>
      </c>
      <c r="AL61" s="123">
        <f t="shared" si="35"/>
        <v>0</v>
      </c>
      <c r="AM61" s="123">
        <f t="shared" si="36"/>
        <v>0</v>
      </c>
      <c r="AN61" s="123">
        <f t="shared" si="37"/>
        <v>0</v>
      </c>
      <c r="AO61" s="123">
        <f t="shared" si="38"/>
        <v>0</v>
      </c>
      <c r="AP61" s="123"/>
      <c r="AQ61" s="123">
        <f t="shared" si="39"/>
        <v>0</v>
      </c>
      <c r="AR61" s="123">
        <f t="shared" si="40"/>
        <v>0</v>
      </c>
      <c r="AS61" s="123">
        <f t="shared" si="41"/>
        <v>0</v>
      </c>
      <c r="AW61" t="str">
        <f t="shared" si="73"/>
        <v>17140</v>
      </c>
      <c r="AX61" t="str">
        <f t="shared" si="74"/>
        <v>8506-34171.7608595057i</v>
      </c>
      <c r="AY61" t="str">
        <f t="shared" si="42"/>
        <v>13012.5966838556-5499.51801801524i</v>
      </c>
      <c r="AZ61">
        <f t="shared" si="75"/>
        <v>9.0216040802982462</v>
      </c>
      <c r="BA61">
        <f t="shared" si="76"/>
        <v>-22.910398518060791</v>
      </c>
      <c r="BB61">
        <f t="shared" si="77"/>
        <v>-1.7516846380277737</v>
      </c>
      <c r="BC61">
        <f t="shared" si="78"/>
        <v>5.1381960980023731</v>
      </c>
      <c r="BD61" s="123">
        <f t="shared" si="43"/>
        <v>-1.7520870353195215</v>
      </c>
      <c r="BE61" s="123">
        <f t="shared" si="44"/>
        <v>4.529067231603956</v>
      </c>
      <c r="BF61">
        <f t="shared" si="45"/>
        <v>34.392462270551675</v>
      </c>
      <c r="BG61">
        <f t="shared" si="46"/>
        <v>-105.42257034196422</v>
      </c>
      <c r="BH61" s="123">
        <f t="shared" si="47"/>
        <v>32.640375235232156</v>
      </c>
      <c r="BI61" s="123">
        <f t="shared" si="48"/>
        <v>-100.89350311036026</v>
      </c>
      <c r="BL61" s="123">
        <f t="shared" si="49"/>
        <v>0</v>
      </c>
      <c r="BM61" s="123">
        <f t="shared" si="50"/>
        <v>0</v>
      </c>
      <c r="BN61" s="123">
        <f t="shared" si="51"/>
        <v>0</v>
      </c>
      <c r="BO61" s="123">
        <f t="shared" si="52"/>
        <v>0</v>
      </c>
      <c r="BP61" s="123">
        <f t="shared" si="53"/>
        <v>0</v>
      </c>
      <c r="BQ61" s="123">
        <f t="shared" si="54"/>
        <v>0</v>
      </c>
      <c r="BR61" s="123">
        <f t="shared" si="55"/>
        <v>0</v>
      </c>
      <c r="BS61" s="123"/>
      <c r="BT61" s="123"/>
      <c r="BU61" s="123">
        <f t="shared" si="56"/>
        <v>0</v>
      </c>
      <c r="BV61" s="123">
        <f t="shared" si="57"/>
        <v>0</v>
      </c>
      <c r="BX61" s="123">
        <f t="shared" si="58"/>
        <v>0</v>
      </c>
      <c r="BY61" s="123"/>
    </row>
    <row r="62" spans="5:77" x14ac:dyDescent="0.25">
      <c r="E62">
        <v>51</v>
      </c>
      <c r="F62">
        <v>800</v>
      </c>
      <c r="G62" s="58">
        <f t="shared" si="59"/>
        <v>-4.5783584478083868E-4</v>
      </c>
      <c r="H62" s="58">
        <f t="shared" si="60"/>
        <v>-0.6497349967057362</v>
      </c>
      <c r="I62">
        <f t="shared" si="61"/>
        <v>17.490393644783325</v>
      </c>
      <c r="J62">
        <f t="shared" si="62"/>
        <v>-7.9174873247946005</v>
      </c>
      <c r="K62" t="str">
        <f t="shared" si="63"/>
        <v>37499.4670491585-141.36963082308i</v>
      </c>
      <c r="L62" t="str">
        <f t="shared" si="64"/>
        <v>1000000000-397887440.50787i</v>
      </c>
      <c r="M62" t="str">
        <f t="shared" si="65"/>
        <v>149980.577339393-7.72687368571192i</v>
      </c>
      <c r="N62">
        <f t="shared" si="21"/>
        <v>-13.978540068070251</v>
      </c>
      <c r="O62">
        <f t="shared" si="66"/>
        <v>-0.17043359160883759</v>
      </c>
      <c r="P62" t="str">
        <f t="shared" si="67"/>
        <v>-35267.4561698165i</v>
      </c>
      <c r="Q62" t="str">
        <f t="shared" si="68"/>
        <v>9360-32613.7246317926i</v>
      </c>
      <c r="R62" t="str">
        <f t="shared" si="22"/>
        <v>2479.3941702614-17286.2377990932i</v>
      </c>
      <c r="S62" t="str">
        <f t="shared" si="69"/>
        <v>49735232.7439469-49999298.9780869i</v>
      </c>
      <c r="T62" t="str">
        <f t="shared" si="23"/>
        <v>2481.45812549518-17282.4388550091i</v>
      </c>
      <c r="U62" t="str">
        <f t="shared" si="24"/>
        <v>0.999984000255996-0.00399993600102398i</v>
      </c>
      <c r="V62">
        <f t="shared" si="70"/>
        <v>24.840654704563548</v>
      </c>
      <c r="W62">
        <f t="shared" si="71"/>
        <v>-82.058364421998959</v>
      </c>
      <c r="X62">
        <f t="shared" si="25"/>
        <v>-6.9486561212231803E-5</v>
      </c>
      <c r="Y62">
        <f t="shared" si="72"/>
        <v>-0.22918194343404966</v>
      </c>
      <c r="AA62" s="123">
        <f t="shared" si="26"/>
        <v>17.489935808938544</v>
      </c>
      <c r="AB62" s="123">
        <f t="shared" si="27"/>
        <v>-8.5672223215003367</v>
      </c>
      <c r="AC62">
        <f t="shared" si="28"/>
        <v>10.862114636493297</v>
      </c>
      <c r="AD62">
        <f t="shared" si="29"/>
        <v>-82.2287980136078</v>
      </c>
      <c r="AE62" s="123">
        <f t="shared" si="30"/>
        <v>28.352050445431843</v>
      </c>
      <c r="AF62" s="123">
        <f t="shared" si="31"/>
        <v>-90.796020335108139</v>
      </c>
      <c r="AI62" s="123">
        <f t="shared" si="32"/>
        <v>0</v>
      </c>
      <c r="AJ62" s="123">
        <f t="shared" si="33"/>
        <v>0</v>
      </c>
      <c r="AK62" s="123">
        <f t="shared" si="34"/>
        <v>0</v>
      </c>
      <c r="AL62" s="123">
        <f t="shared" si="35"/>
        <v>0</v>
      </c>
      <c r="AM62" s="123">
        <f t="shared" si="36"/>
        <v>0</v>
      </c>
      <c r="AN62" s="123">
        <f t="shared" si="37"/>
        <v>0</v>
      </c>
      <c r="AO62" s="123">
        <f t="shared" si="38"/>
        <v>0</v>
      </c>
      <c r="AP62" s="123"/>
      <c r="AQ62" s="123">
        <f t="shared" si="39"/>
        <v>0</v>
      </c>
      <c r="AR62" s="123">
        <f t="shared" si="40"/>
        <v>0</v>
      </c>
      <c r="AS62" s="123">
        <f t="shared" si="41"/>
        <v>0</v>
      </c>
      <c r="AW62" t="str">
        <f t="shared" si="73"/>
        <v>17140</v>
      </c>
      <c r="AX62" t="str">
        <f t="shared" si="74"/>
        <v>8506-32036.0258057866i</v>
      </c>
      <c r="AY62" t="str">
        <f t="shared" si="42"/>
        <v>12666.0314377474-5588.71450965462i</v>
      </c>
      <c r="AZ62">
        <f t="shared" si="75"/>
        <v>8.845961934216664</v>
      </c>
      <c r="BA62">
        <f t="shared" si="76"/>
        <v>-23.808824171673411</v>
      </c>
      <c r="BB62">
        <f t="shared" si="77"/>
        <v>-1.7126858629743078</v>
      </c>
      <c r="BC62">
        <f t="shared" si="78"/>
        <v>5.3577537609944219</v>
      </c>
      <c r="BD62" s="123">
        <f t="shared" si="43"/>
        <v>-1.7131436988190887</v>
      </c>
      <c r="BE62" s="123">
        <f t="shared" si="44"/>
        <v>4.7080187642886857</v>
      </c>
      <c r="BF62">
        <f t="shared" si="45"/>
        <v>33.686616638780208</v>
      </c>
      <c r="BG62">
        <f t="shared" si="46"/>
        <v>-105.86718859367237</v>
      </c>
      <c r="BH62" s="123">
        <f t="shared" si="47"/>
        <v>31.97347293996112</v>
      </c>
      <c r="BI62" s="123">
        <f t="shared" si="48"/>
        <v>-101.15916982938369</v>
      </c>
      <c r="BL62" s="123">
        <f t="shared" si="49"/>
        <v>0</v>
      </c>
      <c r="BM62" s="123">
        <f t="shared" si="50"/>
        <v>0</v>
      </c>
      <c r="BN62" s="123">
        <f t="shared" si="51"/>
        <v>0</v>
      </c>
      <c r="BO62" s="123">
        <f t="shared" si="52"/>
        <v>0</v>
      </c>
      <c r="BP62" s="123">
        <f t="shared" si="53"/>
        <v>0</v>
      </c>
      <c r="BQ62" s="123">
        <f t="shared" si="54"/>
        <v>0</v>
      </c>
      <c r="BR62" s="123">
        <f t="shared" si="55"/>
        <v>0</v>
      </c>
      <c r="BS62" s="123"/>
      <c r="BT62" s="123"/>
      <c r="BU62" s="123">
        <f t="shared" si="56"/>
        <v>0</v>
      </c>
      <c r="BV62" s="123">
        <f t="shared" si="57"/>
        <v>0</v>
      </c>
      <c r="BX62" s="123">
        <f t="shared" si="58"/>
        <v>0</v>
      </c>
      <c r="BY62" s="123"/>
    </row>
    <row r="63" spans="5:77" x14ac:dyDescent="0.25">
      <c r="E63">
        <v>52</v>
      </c>
      <c r="F63">
        <v>850</v>
      </c>
      <c r="G63" s="58">
        <f t="shared" si="59"/>
        <v>-5.1685031981584971E-4</v>
      </c>
      <c r="H63" s="58">
        <f t="shared" si="60"/>
        <v>-0.69034065077531959</v>
      </c>
      <c r="I63">
        <f t="shared" si="61"/>
        <v>17.443939765283854</v>
      </c>
      <c r="J63">
        <f t="shared" si="62"/>
        <v>-8.2996951108580035</v>
      </c>
      <c r="K63" t="str">
        <f t="shared" si="63"/>
        <v>37499.3983495663-150.204957571259i</v>
      </c>
      <c r="L63" t="str">
        <f t="shared" si="64"/>
        <v>1000000000-374482296.948583i</v>
      </c>
      <c r="M63" t="str">
        <f t="shared" si="65"/>
        <v>149980.269491705-7.3876179235498i</v>
      </c>
      <c r="N63">
        <f t="shared" si="21"/>
        <v>-13.978530901051204</v>
      </c>
      <c r="O63">
        <f t="shared" si="66"/>
        <v>-0.1813368075745268</v>
      </c>
      <c r="P63" t="str">
        <f t="shared" si="67"/>
        <v>-33192.8999245332i</v>
      </c>
      <c r="Q63" t="str">
        <f t="shared" si="68"/>
        <v>9360-30695.2702416872i</v>
      </c>
      <c r="R63" t="str">
        <f t="shared" si="22"/>
        <v>2473.44509582385-16310.0066362002i</v>
      </c>
      <c r="S63" t="str">
        <f t="shared" si="69"/>
        <v>46708765.095167-49891560.135971i</v>
      </c>
      <c r="T63" t="str">
        <f t="shared" si="23"/>
        <v>2475.18142749195-16306.4241915359i</v>
      </c>
      <c r="U63" t="str">
        <f t="shared" si="24"/>
        <v>0.999981937826248-0.00424992323576155i</v>
      </c>
      <c r="V63">
        <f t="shared" si="70"/>
        <v>24.346025599657338</v>
      </c>
      <c r="W63">
        <f t="shared" si="71"/>
        <v>-81.612380133202905</v>
      </c>
      <c r="X63">
        <f t="shared" si="25"/>
        <v>-7.8443732350719708E-5</v>
      </c>
      <c r="Y63">
        <f t="shared" si="72"/>
        <v>-0.24350564749095852</v>
      </c>
      <c r="AA63" s="123">
        <f t="shared" si="26"/>
        <v>17.443422914964039</v>
      </c>
      <c r="AB63" s="123">
        <f t="shared" si="27"/>
        <v>-8.9900357616333224</v>
      </c>
      <c r="AC63">
        <f t="shared" si="28"/>
        <v>10.367494698606134</v>
      </c>
      <c r="AD63">
        <f t="shared" si="29"/>
        <v>-81.793716940777429</v>
      </c>
      <c r="AE63" s="123">
        <f t="shared" si="30"/>
        <v>27.810917613570172</v>
      </c>
      <c r="AF63" s="123">
        <f t="shared" si="31"/>
        <v>-90.783752702410752</v>
      </c>
      <c r="AI63" s="123">
        <f t="shared" si="32"/>
        <v>0</v>
      </c>
      <c r="AJ63" s="123">
        <f t="shared" si="33"/>
        <v>0</v>
      </c>
      <c r="AK63" s="123">
        <f t="shared" si="34"/>
        <v>0</v>
      </c>
      <c r="AL63" s="123">
        <f t="shared" si="35"/>
        <v>0</v>
      </c>
      <c r="AM63" s="123">
        <f t="shared" si="36"/>
        <v>0</v>
      </c>
      <c r="AN63" s="123">
        <f t="shared" si="37"/>
        <v>0</v>
      </c>
      <c r="AO63" s="123">
        <f t="shared" si="38"/>
        <v>0</v>
      </c>
      <c r="AP63" s="123"/>
      <c r="AQ63" s="123">
        <f t="shared" si="39"/>
        <v>0</v>
      </c>
      <c r="AR63" s="123">
        <f t="shared" si="40"/>
        <v>0</v>
      </c>
      <c r="AS63" s="123">
        <f t="shared" si="41"/>
        <v>0</v>
      </c>
      <c r="AW63" t="str">
        <f t="shared" si="73"/>
        <v>17140</v>
      </c>
      <c r="AX63" t="str">
        <f t="shared" si="74"/>
        <v>8506-30151.5536995639i</v>
      </c>
      <c r="AY63" t="str">
        <f t="shared" si="42"/>
        <v>12331.4025387157-5653.38394188182i</v>
      </c>
      <c r="AZ63">
        <f t="shared" si="75"/>
        <v>8.6693502076277955</v>
      </c>
      <c r="BA63">
        <f t="shared" si="76"/>
        <v>-24.629295103130566</v>
      </c>
      <c r="BB63">
        <f t="shared" si="77"/>
        <v>-1.6730580081290096</v>
      </c>
      <c r="BC63">
        <f t="shared" si="78"/>
        <v>5.5598779857447695</v>
      </c>
      <c r="BD63" s="123">
        <f t="shared" si="43"/>
        <v>-1.6735748584488255</v>
      </c>
      <c r="BE63" s="123">
        <f t="shared" si="44"/>
        <v>4.8695373349694497</v>
      </c>
      <c r="BF63">
        <f t="shared" si="45"/>
        <v>33.015375807285132</v>
      </c>
      <c r="BG63">
        <f t="shared" si="46"/>
        <v>-106.24167523633346</v>
      </c>
      <c r="BH63" s="123">
        <f t="shared" si="47"/>
        <v>31.341800948836305</v>
      </c>
      <c r="BI63" s="123">
        <f t="shared" si="48"/>
        <v>-101.37213790136401</v>
      </c>
      <c r="BL63" s="123">
        <f t="shared" si="49"/>
        <v>0</v>
      </c>
      <c r="BM63" s="123">
        <f t="shared" si="50"/>
        <v>0</v>
      </c>
      <c r="BN63" s="123">
        <f t="shared" si="51"/>
        <v>0</v>
      </c>
      <c r="BO63" s="123">
        <f t="shared" si="52"/>
        <v>0</v>
      </c>
      <c r="BP63" s="123">
        <f t="shared" si="53"/>
        <v>0</v>
      </c>
      <c r="BQ63" s="123">
        <f t="shared" si="54"/>
        <v>0</v>
      </c>
      <c r="BR63" s="123">
        <f t="shared" si="55"/>
        <v>0</v>
      </c>
      <c r="BS63" s="123"/>
      <c r="BT63" s="123"/>
      <c r="BU63" s="123">
        <f t="shared" si="56"/>
        <v>0</v>
      </c>
      <c r="BV63" s="123">
        <f t="shared" si="57"/>
        <v>0</v>
      </c>
      <c r="BX63" s="123">
        <f t="shared" si="58"/>
        <v>0</v>
      </c>
      <c r="BY63" s="123"/>
    </row>
    <row r="64" spans="5:77" x14ac:dyDescent="0.25">
      <c r="E64">
        <v>53</v>
      </c>
      <c r="F64">
        <v>900</v>
      </c>
      <c r="G64" s="58">
        <f t="shared" si="59"/>
        <v>-5.7944057458547552E-4</v>
      </c>
      <c r="H64" s="58">
        <f t="shared" si="60"/>
        <v>-0.73094579885588573</v>
      </c>
      <c r="I64">
        <f t="shared" si="61"/>
        <v>17.39604005796409</v>
      </c>
      <c r="J64">
        <f t="shared" si="62"/>
        <v>-8.6650386548990408</v>
      </c>
      <c r="K64" t="str">
        <f t="shared" si="63"/>
        <v>37499.3254866376-159.040234288193i</v>
      </c>
      <c r="L64" t="str">
        <f t="shared" si="64"/>
        <v>1000000000-353677724.895884i</v>
      </c>
      <c r="M64" t="str">
        <f t="shared" si="65"/>
        <v>149980.003895645-7.07111602772034i</v>
      </c>
      <c r="N64">
        <f t="shared" si="21"/>
        <v>-13.978523999580212</v>
      </c>
      <c r="O64">
        <f t="shared" si="66"/>
        <v>-0.19223305959668446</v>
      </c>
      <c r="P64" t="str">
        <f t="shared" si="67"/>
        <v>-31348.8499287258i</v>
      </c>
      <c r="Q64" t="str">
        <f t="shared" si="68"/>
        <v>9360-28989.9774504823i</v>
      </c>
      <c r="R64" t="str">
        <f t="shared" si="22"/>
        <v>2467.16658847687-15444.3692772455i</v>
      </c>
      <c r="S64" t="str">
        <f t="shared" si="69"/>
        <v>43876965.1639811-49623668.187639i</v>
      </c>
      <c r="T64" t="str">
        <f t="shared" si="23"/>
        <v>2468.62839616871-15440.9788391206i</v>
      </c>
      <c r="U64" t="str">
        <f t="shared" si="24"/>
        <v>0.999979750410054-0.00449990887684524i</v>
      </c>
      <c r="V64">
        <f t="shared" si="70"/>
        <v>23.88301958218009</v>
      </c>
      <c r="W64">
        <f t="shared" si="71"/>
        <v>-81.17454568321908</v>
      </c>
      <c r="X64">
        <f t="shared" si="25"/>
        <v>-8.7943742159342088E-5</v>
      </c>
      <c r="Y64">
        <f t="shared" si="72"/>
        <v>-0.25782932111057977</v>
      </c>
      <c r="AA64" s="123">
        <f t="shared" si="26"/>
        <v>17.395460617389503</v>
      </c>
      <c r="AB64" s="123">
        <f t="shared" si="27"/>
        <v>-9.3959844537549273</v>
      </c>
      <c r="AC64">
        <f t="shared" si="28"/>
        <v>9.9044955825998784</v>
      </c>
      <c r="AD64">
        <f t="shared" si="29"/>
        <v>-81.366778742815768</v>
      </c>
      <c r="AE64" s="123">
        <f t="shared" si="30"/>
        <v>27.299956199989381</v>
      </c>
      <c r="AF64" s="123">
        <f t="shared" si="31"/>
        <v>-90.762763196570688</v>
      </c>
      <c r="AI64" s="123">
        <f t="shared" si="32"/>
        <v>0</v>
      </c>
      <c r="AJ64" s="123">
        <f t="shared" si="33"/>
        <v>0</v>
      </c>
      <c r="AK64" s="123">
        <f t="shared" si="34"/>
        <v>0</v>
      </c>
      <c r="AL64" s="123">
        <f t="shared" si="35"/>
        <v>0</v>
      </c>
      <c r="AM64" s="123">
        <f t="shared" si="36"/>
        <v>0</v>
      </c>
      <c r="AN64" s="123">
        <f t="shared" si="37"/>
        <v>0</v>
      </c>
      <c r="AO64" s="123">
        <f t="shared" si="38"/>
        <v>0</v>
      </c>
      <c r="AP64" s="123"/>
      <c r="AQ64" s="123">
        <f t="shared" si="39"/>
        <v>0</v>
      </c>
      <c r="AR64" s="123">
        <f t="shared" si="40"/>
        <v>0</v>
      </c>
      <c r="AS64" s="123">
        <f t="shared" si="41"/>
        <v>0</v>
      </c>
      <c r="AW64" t="str">
        <f t="shared" si="73"/>
        <v>17140</v>
      </c>
      <c r="AX64" t="str">
        <f t="shared" si="74"/>
        <v>8506-28476.4673829214i</v>
      </c>
      <c r="AY64" t="str">
        <f t="shared" si="42"/>
        <v>12009.8518192569-5696.34630501773i</v>
      </c>
      <c r="AZ64">
        <f t="shared" si="75"/>
        <v>8.4925943115071103</v>
      </c>
      <c r="BA64">
        <f t="shared" si="76"/>
        <v>-25.37527735384046</v>
      </c>
      <c r="BB64">
        <f t="shared" si="77"/>
        <v>-1.6330073251388795</v>
      </c>
      <c r="BC64">
        <f t="shared" si="78"/>
        <v>5.7449387990031484</v>
      </c>
      <c r="BD64" s="123">
        <f t="shared" si="43"/>
        <v>-1.6335867657134648</v>
      </c>
      <c r="BE64" s="123">
        <f t="shared" si="44"/>
        <v>5.0139930001472628</v>
      </c>
      <c r="BF64">
        <f t="shared" si="45"/>
        <v>32.375613893687202</v>
      </c>
      <c r="BG64">
        <f t="shared" si="46"/>
        <v>-106.54982303705954</v>
      </c>
      <c r="BH64" s="123">
        <f t="shared" si="47"/>
        <v>30.742027127973738</v>
      </c>
      <c r="BI64" s="123">
        <f t="shared" si="48"/>
        <v>-101.53583003691227</v>
      </c>
      <c r="BL64" s="123">
        <f t="shared" si="49"/>
        <v>0</v>
      </c>
      <c r="BM64" s="123">
        <f t="shared" si="50"/>
        <v>0</v>
      </c>
      <c r="BN64" s="123">
        <f t="shared" si="51"/>
        <v>0</v>
      </c>
      <c r="BO64" s="123">
        <f t="shared" si="52"/>
        <v>0</v>
      </c>
      <c r="BP64" s="123">
        <f t="shared" si="53"/>
        <v>0</v>
      </c>
      <c r="BQ64" s="123">
        <f t="shared" si="54"/>
        <v>0</v>
      </c>
      <c r="BR64" s="123">
        <f t="shared" si="55"/>
        <v>0</v>
      </c>
      <c r="BS64" s="123"/>
      <c r="BT64" s="123"/>
      <c r="BU64" s="123">
        <f t="shared" si="56"/>
        <v>0</v>
      </c>
      <c r="BV64" s="123">
        <f t="shared" si="57"/>
        <v>0</v>
      </c>
      <c r="BX64" s="123">
        <f t="shared" si="58"/>
        <v>0</v>
      </c>
      <c r="BY64" s="123"/>
    </row>
    <row r="65" spans="5:77" x14ac:dyDescent="0.25">
      <c r="E65">
        <v>54</v>
      </c>
      <c r="F65">
        <v>950</v>
      </c>
      <c r="G65" s="58">
        <f t="shared" si="59"/>
        <v>-6.4560645823450303E-4</v>
      </c>
      <c r="H65" s="58">
        <f t="shared" si="60"/>
        <v>-0.77155041119859447</v>
      </c>
      <c r="I65">
        <f t="shared" si="61"/>
        <v>17.346868363863656</v>
      </c>
      <c r="J65">
        <f t="shared" si="62"/>
        <v>-9.0133955302142041</v>
      </c>
      <c r="K65" t="str">
        <f t="shared" si="63"/>
        <v>37499.2484604207-167.87545803121i</v>
      </c>
      <c r="L65" t="str">
        <f t="shared" si="64"/>
        <v>1000000000-335063107.796101i</v>
      </c>
      <c r="M65" t="str">
        <f t="shared" si="65"/>
        <v>149979.773470941-6.77614726441456i</v>
      </c>
      <c r="N65">
        <f t="shared" si="21"/>
        <v>-13.978519035728352</v>
      </c>
      <c r="O65">
        <f t="shared" si="66"/>
        <v>-0.20312271969193504</v>
      </c>
      <c r="P65" t="str">
        <f t="shared" si="67"/>
        <v>-29698.9104587929i</v>
      </c>
      <c r="Q65" t="str">
        <f t="shared" si="68"/>
        <v>9360-27464.1891636148i</v>
      </c>
      <c r="R65" t="str">
        <f t="shared" si="22"/>
        <v>2460.56387494037-14671.8316221996i</v>
      </c>
      <c r="S65" t="str">
        <f t="shared" si="69"/>
        <v>41234217.9519307-49225613.912736i</v>
      </c>
      <c r="T65" t="str">
        <f t="shared" si="23"/>
        <v>2461.79338373104-14668.612562695i</v>
      </c>
      <c r="U65" t="str">
        <f t="shared" si="24"/>
        <v>0.999977438009055-0.00474989283054301i</v>
      </c>
      <c r="V65">
        <f t="shared" si="70"/>
        <v>23.44831513919037</v>
      </c>
      <c r="W65">
        <f t="shared" si="71"/>
        <v>-80.745158566445554</v>
      </c>
      <c r="X65">
        <f t="shared" si="25"/>
        <v>-9.7986587071025372E-5</v>
      </c>
      <c r="Y65">
        <f t="shared" si="72"/>
        <v>-0.27215296250262561</v>
      </c>
      <c r="AA65" s="123">
        <f t="shared" si="26"/>
        <v>17.346222757405421</v>
      </c>
      <c r="AB65" s="123">
        <f t="shared" si="27"/>
        <v>-9.7849459414127988</v>
      </c>
      <c r="AC65">
        <f t="shared" si="28"/>
        <v>9.4697961034620182</v>
      </c>
      <c r="AD65">
        <f t="shared" si="29"/>
        <v>-80.948281286137487</v>
      </c>
      <c r="AE65" s="123">
        <f t="shared" si="30"/>
        <v>26.816018860867437</v>
      </c>
      <c r="AF65" s="123">
        <f t="shared" si="31"/>
        <v>-90.733227227550287</v>
      </c>
      <c r="AI65" s="123">
        <f t="shared" si="32"/>
        <v>0</v>
      </c>
      <c r="AJ65" s="123">
        <f t="shared" si="33"/>
        <v>0</v>
      </c>
      <c r="AK65" s="123">
        <f t="shared" si="34"/>
        <v>0</v>
      </c>
      <c r="AL65" s="123">
        <f t="shared" si="35"/>
        <v>0</v>
      </c>
      <c r="AM65" s="123">
        <f t="shared" si="36"/>
        <v>0</v>
      </c>
      <c r="AN65" s="123">
        <f t="shared" si="37"/>
        <v>0</v>
      </c>
      <c r="AO65" s="123">
        <f t="shared" si="38"/>
        <v>0</v>
      </c>
      <c r="AP65" s="123"/>
      <c r="AQ65" s="123">
        <f t="shared" si="39"/>
        <v>0</v>
      </c>
      <c r="AR65" s="123">
        <f t="shared" si="40"/>
        <v>0</v>
      </c>
      <c r="AS65" s="123">
        <f t="shared" si="41"/>
        <v>0</v>
      </c>
      <c r="AW65" t="str">
        <f t="shared" si="73"/>
        <v>17140</v>
      </c>
      <c r="AX65" t="str">
        <f t="shared" si="74"/>
        <v>8506-26977.7059417151i</v>
      </c>
      <c r="AY65" t="str">
        <f t="shared" si="42"/>
        <v>11702.110537197-5720.25980156946i</v>
      </c>
      <c r="AZ65">
        <f t="shared" si="75"/>
        <v>8.3164140768013759</v>
      </c>
      <c r="BA65">
        <f t="shared" si="76"/>
        <v>-26.050449880837501</v>
      </c>
      <c r="BB65">
        <f t="shared" si="77"/>
        <v>-1.5927242994734103</v>
      </c>
      <c r="BC65">
        <f t="shared" si="78"/>
        <v>5.9134091520483105</v>
      </c>
      <c r="BD65" s="123">
        <f t="shared" si="43"/>
        <v>-1.5933699059316448</v>
      </c>
      <c r="BE65" s="123">
        <f t="shared" si="44"/>
        <v>5.1418587408497158</v>
      </c>
      <c r="BF65">
        <f t="shared" si="45"/>
        <v>31.764729215991746</v>
      </c>
      <c r="BG65">
        <f t="shared" si="46"/>
        <v>-106.79560844728306</v>
      </c>
      <c r="BH65" s="123">
        <f t="shared" si="47"/>
        <v>30.171359310060101</v>
      </c>
      <c r="BI65" s="123">
        <f t="shared" si="48"/>
        <v>-101.65374970643335</v>
      </c>
      <c r="BL65" s="123">
        <f t="shared" si="49"/>
        <v>0</v>
      </c>
      <c r="BM65" s="123">
        <f t="shared" si="50"/>
        <v>0</v>
      </c>
      <c r="BN65" s="123">
        <f t="shared" si="51"/>
        <v>0</v>
      </c>
      <c r="BO65" s="123">
        <f t="shared" si="52"/>
        <v>0</v>
      </c>
      <c r="BP65" s="123">
        <f t="shared" si="53"/>
        <v>0</v>
      </c>
      <c r="BQ65" s="123">
        <f t="shared" si="54"/>
        <v>0</v>
      </c>
      <c r="BR65" s="123">
        <f t="shared" si="55"/>
        <v>0</v>
      </c>
      <c r="BS65" s="123"/>
      <c r="BT65" s="123"/>
      <c r="BU65" s="123">
        <f t="shared" si="56"/>
        <v>0</v>
      </c>
      <c r="BV65" s="123">
        <f t="shared" si="57"/>
        <v>0</v>
      </c>
      <c r="BX65" s="123">
        <f t="shared" si="58"/>
        <v>0</v>
      </c>
      <c r="BY65" s="123"/>
    </row>
    <row r="66" spans="5:77" x14ac:dyDescent="0.25">
      <c r="E66">
        <v>55</v>
      </c>
      <c r="F66">
        <v>1000</v>
      </c>
      <c r="G66" s="58">
        <f t="shared" si="59"/>
        <v>-7.153478112704992E-4</v>
      </c>
      <c r="H66" s="58">
        <f t="shared" si="60"/>
        <v>-0.81215445805723885</v>
      </c>
      <c r="I66">
        <f t="shared" si="61"/>
        <v>17.296594025034334</v>
      </c>
      <c r="J66">
        <f t="shared" si="62"/>
        <v>-9.3447301119121491</v>
      </c>
      <c r="K66" t="str">
        <f t="shared" si="63"/>
        <v>37499.1672709672-176.710625857698i</v>
      </c>
      <c r="L66" t="str">
        <f t="shared" si="64"/>
        <v>1000000000-318309952.406296i</v>
      </c>
      <c r="M66" t="str">
        <f t="shared" si="65"/>
        <v>149979.572493691-6.50130336554379i</v>
      </c>
      <c r="N66">
        <f t="shared" si="21"/>
        <v>-13.978515744385954</v>
      </c>
      <c r="O66">
        <f t="shared" si="66"/>
        <v>-0.21400621721008148</v>
      </c>
      <c r="P66" t="str">
        <f t="shared" si="67"/>
        <v>-28213.9649358532i</v>
      </c>
      <c r="Q66" t="str">
        <f t="shared" si="68"/>
        <v>9360-26090.9797054341i</v>
      </c>
      <c r="R66" t="str">
        <f t="shared" si="22"/>
        <v>2453.64240825672-13978.3970779583i</v>
      </c>
      <c r="S66" t="str">
        <f t="shared" si="69"/>
        <v>38772673.5516293-48723168.4193641i</v>
      </c>
      <c r="T66" t="str">
        <f t="shared" si="23"/>
        <v>2454.67361782094-13975.331860736i</v>
      </c>
      <c r="U66" t="str">
        <f t="shared" si="24"/>
        <v>0.999975000624984-0.00499987500312492i</v>
      </c>
      <c r="V66">
        <f t="shared" si="70"/>
        <v>23.039091189525195</v>
      </c>
      <c r="W66">
        <f t="shared" si="71"/>
        <v>-80.324487656248621</v>
      </c>
      <c r="X66">
        <f t="shared" si="25"/>
        <v>-1.0857226333114956E-4</v>
      </c>
      <c r="Y66">
        <f t="shared" si="72"/>
        <v>-0.28647656987683245</v>
      </c>
      <c r="AA66" s="123">
        <f t="shared" si="26"/>
        <v>17.295878677223065</v>
      </c>
      <c r="AB66" s="123">
        <f t="shared" si="27"/>
        <v>-10.156884569969389</v>
      </c>
      <c r="AC66">
        <f t="shared" si="28"/>
        <v>9.0605754451392411</v>
      </c>
      <c r="AD66">
        <f t="shared" si="29"/>
        <v>-80.538493873458705</v>
      </c>
      <c r="AE66" s="123">
        <f t="shared" si="30"/>
        <v>26.356454122362308</v>
      </c>
      <c r="AF66" s="123">
        <f t="shared" si="31"/>
        <v>-90.695378443428098</v>
      </c>
      <c r="AI66" s="123">
        <f t="shared" si="32"/>
        <v>0</v>
      </c>
      <c r="AJ66" s="123">
        <f t="shared" si="33"/>
        <v>0</v>
      </c>
      <c r="AK66" s="123">
        <f t="shared" si="34"/>
        <v>0</v>
      </c>
      <c r="AL66" s="123">
        <f t="shared" si="35"/>
        <v>0</v>
      </c>
      <c r="AM66" s="123">
        <f t="shared" si="36"/>
        <v>0</v>
      </c>
      <c r="AN66" s="123">
        <f t="shared" si="37"/>
        <v>0</v>
      </c>
      <c r="AO66" s="123">
        <f t="shared" si="38"/>
        <v>0</v>
      </c>
      <c r="AP66" s="123"/>
      <c r="AQ66" s="123">
        <f t="shared" si="39"/>
        <v>0</v>
      </c>
      <c r="AR66" s="123">
        <f t="shared" si="40"/>
        <v>0</v>
      </c>
      <c r="AS66" s="123">
        <f t="shared" si="41"/>
        <v>0</v>
      </c>
      <c r="AW66" t="str">
        <f t="shared" si="73"/>
        <v>17140</v>
      </c>
      <c r="AX66" t="str">
        <f t="shared" si="74"/>
        <v>8506-25628.8206446293i</v>
      </c>
      <c r="AY66" t="str">
        <f t="shared" si="42"/>
        <v>11408.5709553874-5727.58976143628i</v>
      </c>
      <c r="AZ66">
        <f t="shared" si="75"/>
        <v>8.14143074636352</v>
      </c>
      <c r="BA66">
        <f t="shared" si="76"/>
        <v>-26.658610653386617</v>
      </c>
      <c r="BB66">
        <f t="shared" si="77"/>
        <v>-1.5523830019559615</v>
      </c>
      <c r="BC66">
        <f t="shared" si="78"/>
        <v>6.0658466488017106</v>
      </c>
      <c r="BD66" s="123">
        <f t="shared" si="43"/>
        <v>-1.5530983497672319</v>
      </c>
      <c r="BE66" s="123">
        <f t="shared" si="44"/>
        <v>5.2536921907444718</v>
      </c>
      <c r="BF66">
        <f t="shared" si="45"/>
        <v>31.180521935888713</v>
      </c>
      <c r="BG66">
        <f t="shared" si="46"/>
        <v>-106.98309830963524</v>
      </c>
      <c r="BH66" s="123">
        <f t="shared" si="47"/>
        <v>29.627423586121481</v>
      </c>
      <c r="BI66" s="123">
        <f t="shared" si="48"/>
        <v>-101.72940611889076</v>
      </c>
      <c r="BL66" s="123">
        <f t="shared" si="49"/>
        <v>0</v>
      </c>
      <c r="BM66" s="123">
        <f t="shared" si="50"/>
        <v>0</v>
      </c>
      <c r="BN66" s="123">
        <f t="shared" si="51"/>
        <v>0</v>
      </c>
      <c r="BO66" s="123">
        <f t="shared" si="52"/>
        <v>0</v>
      </c>
      <c r="BP66" s="123">
        <f t="shared" si="53"/>
        <v>0</v>
      </c>
      <c r="BQ66" s="123">
        <f t="shared" si="54"/>
        <v>0</v>
      </c>
      <c r="BR66" s="123">
        <f t="shared" si="55"/>
        <v>0</v>
      </c>
      <c r="BS66" s="123"/>
      <c r="BT66" s="123"/>
      <c r="BU66" s="123">
        <f t="shared" si="56"/>
        <v>0</v>
      </c>
      <c r="BV66" s="123">
        <f t="shared" si="57"/>
        <v>0</v>
      </c>
      <c r="BX66" s="123">
        <f t="shared" si="58"/>
        <v>25.348077532123263</v>
      </c>
      <c r="BY66" s="123"/>
    </row>
    <row r="67" spans="5:77" x14ac:dyDescent="0.25">
      <c r="E67">
        <v>56</v>
      </c>
      <c r="F67">
        <v>1500</v>
      </c>
      <c r="G67" s="58">
        <f t="shared" si="59"/>
        <v>-1.6093709144566182E-3</v>
      </c>
      <c r="H67" s="58">
        <f t="shared" si="60"/>
        <v>-1.2181572830084431</v>
      </c>
      <c r="I67">
        <f t="shared" si="61"/>
        <v>16.765748346832329</v>
      </c>
      <c r="J67">
        <f t="shared" si="62"/>
        <v>-11.762582760839788</v>
      </c>
      <c r="K67" t="str">
        <f t="shared" si="63"/>
        <v>37498.1264116826-265.058581387344i</v>
      </c>
      <c r="L67" t="str">
        <f t="shared" si="64"/>
        <v>1000000000-212206634.937531i</v>
      </c>
      <c r="M67" t="str">
        <f t="shared" si="65"/>
        <v>149978.47250259-4.56759264514148i</v>
      </c>
      <c r="N67">
        <f t="shared" si="21"/>
        <v>-13.978541941759515</v>
      </c>
      <c r="O67">
        <f t="shared" si="66"/>
        <v>-0.32259132067555546</v>
      </c>
      <c r="P67" t="str">
        <f t="shared" si="67"/>
        <v>-18809.3099572355i</v>
      </c>
      <c r="Q67" t="str">
        <f t="shared" si="68"/>
        <v>9360-17393.9864702894i</v>
      </c>
      <c r="R67" t="str">
        <f t="shared" si="22"/>
        <v>2368.23535331151-9649.27507410718i</v>
      </c>
      <c r="S67" t="str">
        <f t="shared" si="69"/>
        <v>21963269.8723097-41399779.7548135i</v>
      </c>
      <c r="T67" t="str">
        <f t="shared" si="23"/>
        <v>2368.24875040251-9647.16913598736i</v>
      </c>
      <c r="U67" t="str">
        <f t="shared" si="24"/>
        <v>0.999943753163884-0.00749957814872913i</v>
      </c>
      <c r="V67">
        <f t="shared" si="70"/>
        <v>19.941891962229839</v>
      </c>
      <c r="W67">
        <f t="shared" si="71"/>
        <v>-76.637138327179173</v>
      </c>
      <c r="X67">
        <f t="shared" si="25"/>
        <v>-2.4428377565909336E-4</v>
      </c>
      <c r="Y67">
        <f t="shared" si="72"/>
        <v>-0.42971037879974944</v>
      </c>
      <c r="AA67" s="123">
        <f t="shared" si="26"/>
        <v>16.764138975917874</v>
      </c>
      <c r="AB67" s="123">
        <f t="shared" si="27"/>
        <v>-12.980740043848231</v>
      </c>
      <c r="AC67">
        <f t="shared" si="28"/>
        <v>5.9633500204703243</v>
      </c>
      <c r="AD67">
        <f t="shared" si="29"/>
        <v>-76.959729647854729</v>
      </c>
      <c r="AE67" s="123">
        <f t="shared" si="30"/>
        <v>22.727488996388196</v>
      </c>
      <c r="AF67" s="123">
        <f t="shared" si="31"/>
        <v>-89.940469691702958</v>
      </c>
      <c r="AI67" s="123">
        <f t="shared" si="32"/>
        <v>0</v>
      </c>
      <c r="AJ67" s="123">
        <f t="shared" si="33"/>
        <v>0</v>
      </c>
      <c r="AK67" s="123">
        <f t="shared" si="34"/>
        <v>0</v>
      </c>
      <c r="AL67" s="123">
        <f t="shared" si="35"/>
        <v>0</v>
      </c>
      <c r="AM67" s="123">
        <f t="shared" si="36"/>
        <v>0</v>
      </c>
      <c r="AN67" s="123">
        <f t="shared" si="37"/>
        <v>0</v>
      </c>
      <c r="AO67" s="123">
        <f t="shared" si="38"/>
        <v>0</v>
      </c>
      <c r="AP67" s="123"/>
      <c r="AQ67" s="123">
        <f t="shared" si="39"/>
        <v>0</v>
      </c>
      <c r="AR67" s="123">
        <f t="shared" si="40"/>
        <v>0</v>
      </c>
      <c r="AS67" s="123">
        <f t="shared" si="41"/>
        <v>0</v>
      </c>
      <c r="AW67" t="str">
        <f t="shared" si="73"/>
        <v>17140</v>
      </c>
      <c r="AX67" t="str">
        <f t="shared" si="74"/>
        <v>8506-17085.8804297529i</v>
      </c>
      <c r="AY67" t="str">
        <f t="shared" si="42"/>
        <v>9206.21991548505-5285.64368244473i</v>
      </c>
      <c r="AZ67">
        <f t="shared" si="75"/>
        <v>6.5395505982138369</v>
      </c>
      <c r="BA67">
        <f t="shared" si="76"/>
        <v>-29.861791117166963</v>
      </c>
      <c r="BB67">
        <f t="shared" si="77"/>
        <v>-1.1726794286357718</v>
      </c>
      <c r="BC67">
        <f t="shared" si="78"/>
        <v>6.8611819758550743</v>
      </c>
      <c r="BD67" s="123">
        <f t="shared" si="43"/>
        <v>-1.1742887995502285</v>
      </c>
      <c r="BE67" s="123">
        <f t="shared" si="44"/>
        <v>5.6430246928466312</v>
      </c>
      <c r="BF67">
        <f t="shared" si="45"/>
        <v>26.481442560443675</v>
      </c>
      <c r="BG67">
        <f t="shared" si="46"/>
        <v>-106.49892944434613</v>
      </c>
      <c r="BH67" s="123">
        <f t="shared" si="47"/>
        <v>25.307153760893446</v>
      </c>
      <c r="BI67" s="123">
        <f t="shared" si="48"/>
        <v>-100.85590475149949</v>
      </c>
      <c r="BL67" s="123">
        <f t="shared" si="49"/>
        <v>0</v>
      </c>
      <c r="BM67" s="123">
        <f t="shared" si="50"/>
        <v>0</v>
      </c>
      <c r="BN67" s="123">
        <f t="shared" si="51"/>
        <v>0</v>
      </c>
      <c r="BO67" s="123">
        <f t="shared" si="52"/>
        <v>0</v>
      </c>
      <c r="BP67" s="123">
        <f t="shared" si="53"/>
        <v>0</v>
      </c>
      <c r="BQ67" s="123">
        <f t="shared" si="54"/>
        <v>0</v>
      </c>
      <c r="BR67" s="123">
        <f t="shared" si="55"/>
        <v>0</v>
      </c>
      <c r="BS67" s="123"/>
      <c r="BT67" s="123"/>
      <c r="BU67" s="123">
        <f t="shared" si="56"/>
        <v>0</v>
      </c>
      <c r="BV67" s="123">
        <f t="shared" si="57"/>
        <v>0</v>
      </c>
      <c r="BX67" s="123">
        <f t="shared" si="58"/>
        <v>0</v>
      </c>
      <c r="BY67" s="123"/>
    </row>
    <row r="68" spans="5:77" x14ac:dyDescent="0.25">
      <c r="E68">
        <v>57</v>
      </c>
      <c r="F68">
        <v>2000</v>
      </c>
      <c r="G68" s="58">
        <f t="shared" si="59"/>
        <v>-2.860701622766415E-3</v>
      </c>
      <c r="H68" s="58">
        <f t="shared" si="60"/>
        <v>-1.6240708636679955</v>
      </c>
      <c r="I68">
        <f t="shared" si="61"/>
        <v>16.257499792059942</v>
      </c>
      <c r="J68">
        <f t="shared" si="62"/>
        <v>-12.831076795159113</v>
      </c>
      <c r="K68" t="str">
        <f t="shared" si="63"/>
        <v>37496.6693057541-353.397708952808i</v>
      </c>
      <c r="L68" t="str">
        <f t="shared" si="64"/>
        <v>1000000000-159154976.203148i</v>
      </c>
      <c r="M68" t="str">
        <f t="shared" si="65"/>
        <v>149978.058980546-3.49149870424745i</v>
      </c>
      <c r="N68">
        <f t="shared" si="21"/>
        <v>-13.978630791720985</v>
      </c>
      <c r="O68">
        <f t="shared" si="66"/>
        <v>-0.43091211162252296</v>
      </c>
      <c r="P68" t="str">
        <f t="shared" si="67"/>
        <v>-14106.9824679266i</v>
      </c>
      <c r="Q68" t="str">
        <f t="shared" si="68"/>
        <v>9360-13045.489852717i</v>
      </c>
      <c r="R68" t="str">
        <f t="shared" si="22"/>
        <v>2258.19017307058-7556.18693704539i</v>
      </c>
      <c r="S68" t="str">
        <f t="shared" si="69"/>
        <v>13667654.7594377-34350555.8808091i</v>
      </c>
      <c r="T68" t="str">
        <f t="shared" si="23"/>
        <v>2257.85248403366-7554.5392121123i</v>
      </c>
      <c r="U68" t="str">
        <f t="shared" si="24"/>
        <v>0.999900009999-0.00999900009999i</v>
      </c>
      <c r="V68">
        <f t="shared" si="70"/>
        <v>17.935301788322246</v>
      </c>
      <c r="W68">
        <f t="shared" si="71"/>
        <v>-73.932936260868829</v>
      </c>
      <c r="X68">
        <f t="shared" si="25"/>
        <v>-4.3427276862828968E-4</v>
      </c>
      <c r="Y68">
        <f t="shared" si="72"/>
        <v>-0.57293881688002213</v>
      </c>
      <c r="AA68" s="123">
        <f t="shared" si="26"/>
        <v>16.254639090437177</v>
      </c>
      <c r="AB68" s="123">
        <f t="shared" si="27"/>
        <v>-14.455147658827109</v>
      </c>
      <c r="AC68">
        <f t="shared" si="28"/>
        <v>3.956670996601261</v>
      </c>
      <c r="AD68">
        <f t="shared" si="29"/>
        <v>-74.363848372491347</v>
      </c>
      <c r="AE68" s="123">
        <f t="shared" si="30"/>
        <v>20.211310087038438</v>
      </c>
      <c r="AF68" s="123">
        <f t="shared" si="31"/>
        <v>-88.818996031318449</v>
      </c>
      <c r="AI68" s="123">
        <f t="shared" si="32"/>
        <v>0</v>
      </c>
      <c r="AJ68" s="123">
        <f t="shared" si="33"/>
        <v>0</v>
      </c>
      <c r="AK68" s="123">
        <f t="shared" si="34"/>
        <v>0</v>
      </c>
      <c r="AL68" s="123">
        <f t="shared" si="35"/>
        <v>0</v>
      </c>
      <c r="AM68" s="123">
        <f t="shared" si="36"/>
        <v>0</v>
      </c>
      <c r="AN68" s="123">
        <f t="shared" si="37"/>
        <v>0</v>
      </c>
      <c r="AO68" s="123">
        <f t="shared" si="38"/>
        <v>0</v>
      </c>
      <c r="AP68" s="123"/>
      <c r="AQ68" s="123">
        <f t="shared" si="39"/>
        <v>0</v>
      </c>
      <c r="AR68" s="123">
        <f t="shared" si="40"/>
        <v>0</v>
      </c>
      <c r="AS68" s="123">
        <f t="shared" si="41"/>
        <v>0</v>
      </c>
      <c r="AW68" t="str">
        <f t="shared" si="73"/>
        <v>17140</v>
      </c>
      <c r="AX68" t="str">
        <f t="shared" si="74"/>
        <v>8506-12814.4103223147i</v>
      </c>
      <c r="AY68" t="str">
        <f t="shared" si="42"/>
        <v>7973.39899317922-4580.23031125106i</v>
      </c>
      <c r="AZ68">
        <f t="shared" si="75"/>
        <v>5.2919210062054436</v>
      </c>
      <c r="BA68">
        <f t="shared" si="76"/>
        <v>-29.874740349950251</v>
      </c>
      <c r="BB68">
        <f t="shared" si="77"/>
        <v>-0.87432975152013204</v>
      </c>
      <c r="BC68">
        <f t="shared" si="78"/>
        <v>6.8113501329782009</v>
      </c>
      <c r="BD68" s="123">
        <f t="shared" si="43"/>
        <v>-0.87719045314289845</v>
      </c>
      <c r="BE68" s="123">
        <f t="shared" si="44"/>
        <v>5.1872792693102054</v>
      </c>
      <c r="BF68">
        <f t="shared" si="45"/>
        <v>23.227222794527691</v>
      </c>
      <c r="BG68">
        <f t="shared" si="46"/>
        <v>-103.80767661081907</v>
      </c>
      <c r="BH68" s="123">
        <f t="shared" si="47"/>
        <v>22.350032341384793</v>
      </c>
      <c r="BI68" s="123">
        <f t="shared" si="48"/>
        <v>-98.620397341508863</v>
      </c>
      <c r="BL68" s="123">
        <f t="shared" si="49"/>
        <v>0</v>
      </c>
      <c r="BM68" s="123">
        <f t="shared" si="50"/>
        <v>0</v>
      </c>
      <c r="BN68" s="123">
        <f t="shared" si="51"/>
        <v>0</v>
      </c>
      <c r="BO68" s="123">
        <f t="shared" si="52"/>
        <v>0</v>
      </c>
      <c r="BP68" s="123">
        <f t="shared" si="53"/>
        <v>0</v>
      </c>
      <c r="BQ68" s="123">
        <f t="shared" si="54"/>
        <v>0</v>
      </c>
      <c r="BR68" s="123">
        <f t="shared" si="55"/>
        <v>0</v>
      </c>
      <c r="BS68" s="123"/>
      <c r="BT68" s="123"/>
      <c r="BU68" s="123">
        <f t="shared" si="56"/>
        <v>0</v>
      </c>
      <c r="BV68" s="123">
        <f t="shared" si="57"/>
        <v>0</v>
      </c>
      <c r="BX68" s="123">
        <f t="shared" si="58"/>
        <v>0</v>
      </c>
      <c r="BY68" s="123"/>
    </row>
    <row r="69" spans="5:77" x14ac:dyDescent="0.25">
      <c r="E69">
        <v>58</v>
      </c>
      <c r="F69">
        <v>2500</v>
      </c>
      <c r="G69" s="58">
        <f t="shared" si="59"/>
        <v>-4.469038594240163E-3</v>
      </c>
      <c r="H69" s="58">
        <f t="shared" si="60"/>
        <v>-2.0298655195543707</v>
      </c>
      <c r="I69">
        <f t="shared" si="61"/>
        <v>15.824038430035024</v>
      </c>
      <c r="J69">
        <f t="shared" si="62"/>
        <v>-13.022804437583336</v>
      </c>
      <c r="K69" t="str">
        <f t="shared" si="63"/>
        <v>37494.7960502324-441.725067423907i</v>
      </c>
      <c r="L69" t="str">
        <f t="shared" si="64"/>
        <v>1000000000-127323980.962518i</v>
      </c>
      <c r="M69" t="str">
        <f t="shared" si="65"/>
        <v>149977.862152271-2.8182561643251i</v>
      </c>
      <c r="N69">
        <f t="shared" si="21"/>
        <v>-13.978760532927907</v>
      </c>
      <c r="O69">
        <f t="shared" si="66"/>
        <v>-0.5391067557687671</v>
      </c>
      <c r="P69" t="str">
        <f t="shared" si="67"/>
        <v>-11285.5859743413i</v>
      </c>
      <c r="Q69" t="str">
        <f t="shared" si="68"/>
        <v>9360-10436.3918821736i</v>
      </c>
      <c r="R69" t="str">
        <f t="shared" si="22"/>
        <v>2130.88372869227-6340.39268700574i</v>
      </c>
      <c r="S69" t="str">
        <f t="shared" si="69"/>
        <v>9199970.31086149-28902553.1288399i</v>
      </c>
      <c r="T69" t="str">
        <f t="shared" si="23"/>
        <v>2130.39154293256-6339.00249000296i</v>
      </c>
      <c r="U69" t="str">
        <f t="shared" si="24"/>
        <v>0.999843774410248-0.0124980471801281i</v>
      </c>
      <c r="V69">
        <f t="shared" si="70"/>
        <v>16.504487095104935</v>
      </c>
      <c r="W69">
        <f t="shared" si="71"/>
        <v>-72.139873650800027</v>
      </c>
      <c r="X69">
        <f t="shared" si="25"/>
        <v>-6.7853211903576923E-4</v>
      </c>
      <c r="Y69">
        <f t="shared" si="72"/>
        <v>-0.71616009446328555</v>
      </c>
      <c r="AA69" s="123">
        <f t="shared" si="26"/>
        <v>15.819569391440783</v>
      </c>
      <c r="AB69" s="123">
        <f t="shared" si="27"/>
        <v>-15.052669957137706</v>
      </c>
      <c r="AC69">
        <f t="shared" si="28"/>
        <v>2.5257265621770273</v>
      </c>
      <c r="AD69">
        <f t="shared" si="29"/>
        <v>-72.678980406568797</v>
      </c>
      <c r="AE69" s="123">
        <f t="shared" si="30"/>
        <v>18.345295953617811</v>
      </c>
      <c r="AF69" s="123">
        <f t="shared" si="31"/>
        <v>-87.731650363706507</v>
      </c>
      <c r="AI69" s="123">
        <f t="shared" si="32"/>
        <v>0</v>
      </c>
      <c r="AJ69" s="123">
        <f t="shared" si="33"/>
        <v>0</v>
      </c>
      <c r="AK69" s="123">
        <f t="shared" si="34"/>
        <v>0</v>
      </c>
      <c r="AL69" s="123">
        <f t="shared" si="35"/>
        <v>0</v>
      </c>
      <c r="AM69" s="123">
        <f t="shared" si="36"/>
        <v>0</v>
      </c>
      <c r="AN69" s="123">
        <f t="shared" si="37"/>
        <v>0</v>
      </c>
      <c r="AO69" s="123">
        <f t="shared" si="38"/>
        <v>0</v>
      </c>
      <c r="AP69" s="123"/>
      <c r="AQ69" s="123">
        <f t="shared" si="39"/>
        <v>17.512720302165306</v>
      </c>
      <c r="AR69" s="123">
        <f t="shared" si="40"/>
        <v>0</v>
      </c>
      <c r="AS69" s="123">
        <f t="shared" si="41"/>
        <v>0</v>
      </c>
      <c r="AW69" t="str">
        <f t="shared" si="73"/>
        <v>17140</v>
      </c>
      <c r="AX69" t="str">
        <f t="shared" si="74"/>
        <v>8506-10251.5282578517i</v>
      </c>
      <c r="AY69" t="str">
        <f t="shared" si="42"/>
        <v>7263.0184625748-3948.14611764774i</v>
      </c>
      <c r="AZ69">
        <f t="shared" si="75"/>
        <v>4.3673048526441036</v>
      </c>
      <c r="BA69">
        <f t="shared" si="76"/>
        <v>-28.528321885617007</v>
      </c>
      <c r="BB69">
        <f t="shared" si="77"/>
        <v>-0.6591452334636958</v>
      </c>
      <c r="BC69">
        <f t="shared" si="78"/>
        <v>6.4123351793684291</v>
      </c>
      <c r="BD69" s="123">
        <f t="shared" si="43"/>
        <v>-0.66361427205793599</v>
      </c>
      <c r="BE69" s="123">
        <f t="shared" si="44"/>
        <v>4.382469659814058</v>
      </c>
      <c r="BF69">
        <f t="shared" si="45"/>
        <v>20.871791947749038</v>
      </c>
      <c r="BG69">
        <f t="shared" si="46"/>
        <v>-100.66819553641703</v>
      </c>
      <c r="BH69" s="123">
        <f t="shared" si="47"/>
        <v>20.208177675691104</v>
      </c>
      <c r="BI69" s="123">
        <f t="shared" si="48"/>
        <v>-96.285725876602967</v>
      </c>
      <c r="BL69" s="123">
        <f t="shared" si="49"/>
        <v>0</v>
      </c>
      <c r="BM69" s="123">
        <f t="shared" si="50"/>
        <v>0</v>
      </c>
      <c r="BN69" s="123">
        <f t="shared" si="51"/>
        <v>0</v>
      </c>
      <c r="BO69" s="123">
        <f t="shared" si="52"/>
        <v>0</v>
      </c>
      <c r="BP69" s="123">
        <f t="shared" si="53"/>
        <v>0</v>
      </c>
      <c r="BQ69" s="123">
        <f t="shared" si="54"/>
        <v>0</v>
      </c>
      <c r="BR69" s="123">
        <f t="shared" si="55"/>
        <v>0</v>
      </c>
      <c r="BS69" s="123"/>
      <c r="BT69" s="123"/>
      <c r="BU69" s="123">
        <f t="shared" si="56"/>
        <v>0</v>
      </c>
      <c r="BV69" s="123">
        <f t="shared" si="57"/>
        <v>0</v>
      </c>
      <c r="BX69" s="123">
        <f t="shared" si="58"/>
        <v>0</v>
      </c>
      <c r="BY69" s="123"/>
    </row>
    <row r="70" spans="5:77" x14ac:dyDescent="0.25">
      <c r="E70">
        <v>59</v>
      </c>
      <c r="F70">
        <v>3000</v>
      </c>
      <c r="G70" s="58">
        <f t="shared" si="59"/>
        <v>-6.4339948088992741E-3</v>
      </c>
      <c r="H70" s="58">
        <f t="shared" si="60"/>
        <v>-2.43551162803639</v>
      </c>
      <c r="I70">
        <f t="shared" si="61"/>
        <v>15.473739011280658</v>
      </c>
      <c r="J70">
        <f t="shared" si="62"/>
        <v>-12.722406159031699</v>
      </c>
      <c r="K70" t="str">
        <f t="shared" si="63"/>
        <v>37492.5067698689-530.037716976748i</v>
      </c>
      <c r="L70" t="str">
        <f t="shared" si="64"/>
        <v>1000000000-106103317.468765i</v>
      </c>
      <c r="M70" t="str">
        <f t="shared" si="65"/>
        <v>149977.753745793-2.3600473655612i</v>
      </c>
      <c r="N70">
        <f t="shared" si="21"/>
        <v>-13.978925221053418</v>
      </c>
      <c r="O70">
        <f t="shared" si="66"/>
        <v>-0.64723186685487211</v>
      </c>
      <c r="P70" t="str">
        <f t="shared" si="67"/>
        <v>-9404.65497861774i</v>
      </c>
      <c r="Q70" t="str">
        <f t="shared" si="68"/>
        <v>9360-8696.9932351447i</v>
      </c>
      <c r="R70" t="str">
        <f t="shared" si="22"/>
        <v>1993.52338000257-5549.30680225907i</v>
      </c>
      <c r="S70" t="str">
        <f t="shared" si="69"/>
        <v>6573660.57800507-24782111.3790914i</v>
      </c>
      <c r="T70" t="str">
        <f t="shared" si="23"/>
        <v>1992.95763485754-5548.07470475338i</v>
      </c>
      <c r="U70" t="str">
        <f t="shared" si="24"/>
        <v>0.999775050613612-0.0149966257592042i</v>
      </c>
      <c r="V70">
        <f t="shared" si="70"/>
        <v>15.408947583434923</v>
      </c>
      <c r="W70">
        <f t="shared" si="71"/>
        <v>-71.100282856862847</v>
      </c>
      <c r="X70">
        <f t="shared" si="25"/>
        <v>-9.7705266997797973E-4</v>
      </c>
      <c r="Y70">
        <f t="shared" si="72"/>
        <v>-0.85937242243203782</v>
      </c>
      <c r="AA70" s="123">
        <f t="shared" si="26"/>
        <v>15.467305016471759</v>
      </c>
      <c r="AB70" s="123">
        <f t="shared" si="27"/>
        <v>-15.15791778706809</v>
      </c>
      <c r="AC70">
        <f t="shared" si="28"/>
        <v>1.4300223623815054</v>
      </c>
      <c r="AD70">
        <f t="shared" si="29"/>
        <v>-71.747514723717714</v>
      </c>
      <c r="AE70" s="123">
        <f t="shared" si="30"/>
        <v>16.897327378853262</v>
      </c>
      <c r="AF70" s="123">
        <f t="shared" si="31"/>
        <v>-86.905432510785801</v>
      </c>
      <c r="AI70" s="123">
        <f t="shared" si="32"/>
        <v>0</v>
      </c>
      <c r="AJ70" s="123">
        <f t="shared" si="33"/>
        <v>0</v>
      </c>
      <c r="AK70" s="123">
        <f t="shared" si="34"/>
        <v>0</v>
      </c>
      <c r="AL70" s="123">
        <f t="shared" si="35"/>
        <v>0</v>
      </c>
      <c r="AM70" s="123">
        <f t="shared" si="36"/>
        <v>0</v>
      </c>
      <c r="AN70" s="123">
        <f t="shared" si="37"/>
        <v>0</v>
      </c>
      <c r="AO70" s="123">
        <f t="shared" si="38"/>
        <v>0</v>
      </c>
      <c r="AP70" s="123"/>
      <c r="AQ70" s="123">
        <f t="shared" si="39"/>
        <v>0</v>
      </c>
      <c r="AR70" s="123">
        <f t="shared" si="40"/>
        <v>0</v>
      </c>
      <c r="AS70" s="123">
        <f t="shared" si="41"/>
        <v>0</v>
      </c>
      <c r="AW70" t="str">
        <f t="shared" si="73"/>
        <v>17140</v>
      </c>
      <c r="AX70" t="str">
        <f t="shared" si="74"/>
        <v>8506-8542.94021487643i</v>
      </c>
      <c r="AY70" t="str">
        <f t="shared" si="42"/>
        <v>6828.95517605623-3434.71260562515i</v>
      </c>
      <c r="AZ70">
        <f t="shared" si="75"/>
        <v>3.6870984708183063</v>
      </c>
      <c r="BA70">
        <f t="shared" si="76"/>
        <v>-26.700715131896938</v>
      </c>
      <c r="BB70">
        <f t="shared" si="77"/>
        <v>-0.50684608655177743</v>
      </c>
      <c r="BC70">
        <f t="shared" si="78"/>
        <v>5.9127054163662969</v>
      </c>
      <c r="BD70" s="123">
        <f t="shared" si="43"/>
        <v>-0.51328008136067671</v>
      </c>
      <c r="BE70" s="123">
        <f t="shared" si="44"/>
        <v>3.4771937883299069</v>
      </c>
      <c r="BF70">
        <f t="shared" si="45"/>
        <v>19.096046054253229</v>
      </c>
      <c r="BG70">
        <f t="shared" si="46"/>
        <v>-97.800997988759789</v>
      </c>
      <c r="BH70" s="123">
        <f t="shared" si="47"/>
        <v>18.582765972892552</v>
      </c>
      <c r="BI70" s="123">
        <f t="shared" si="48"/>
        <v>-94.323804200429876</v>
      </c>
      <c r="BL70" s="123">
        <f t="shared" si="49"/>
        <v>0</v>
      </c>
      <c r="BM70" s="123">
        <f t="shared" si="50"/>
        <v>0</v>
      </c>
      <c r="BN70" s="123">
        <f t="shared" si="51"/>
        <v>0</v>
      </c>
      <c r="BO70" s="123">
        <f t="shared" si="52"/>
        <v>0</v>
      </c>
      <c r="BP70" s="123">
        <f t="shared" si="53"/>
        <v>0</v>
      </c>
      <c r="BQ70" s="123">
        <f t="shared" si="54"/>
        <v>0</v>
      </c>
      <c r="BR70" s="123">
        <f t="shared" si="55"/>
        <v>0</v>
      </c>
      <c r="BS70" s="123"/>
      <c r="BT70" s="123"/>
      <c r="BU70" s="123">
        <f t="shared" si="56"/>
        <v>0</v>
      </c>
      <c r="BV70" s="123">
        <f t="shared" si="57"/>
        <v>0</v>
      </c>
      <c r="BX70" s="123">
        <f t="shared" si="58"/>
        <v>0</v>
      </c>
      <c r="BY70" s="123"/>
    </row>
    <row r="71" spans="5:77" x14ac:dyDescent="0.25">
      <c r="E71">
        <v>60</v>
      </c>
      <c r="F71">
        <v>3500</v>
      </c>
      <c r="G71" s="58">
        <f t="shared" si="59"/>
        <v>-8.7550978825494848E-3</v>
      </c>
      <c r="H71" s="58">
        <f t="shared" si="60"/>
        <v>-2.8409796386636681</v>
      </c>
      <c r="I71">
        <f t="shared" si="61"/>
        <v>15.196869649480355</v>
      </c>
      <c r="J71">
        <f t="shared" si="62"/>
        <v>-12.178748299206257</v>
      </c>
      <c r="K71" t="str">
        <f t="shared" si="63"/>
        <v>37489.8016170955-618.332719419734i</v>
      </c>
      <c r="L71" t="str">
        <f t="shared" si="64"/>
        <v>1000000000-90945700.6875131i</v>
      </c>
      <c r="M71" t="str">
        <f t="shared" si="65"/>
        <v>149977.687865495-2.02888837318041i</v>
      </c>
      <c r="N71">
        <f t="shared" si="21"/>
        <v>-13.979122726652911</v>
      </c>
      <c r="O71">
        <f t="shared" si="66"/>
        <v>-0.75531355855661908</v>
      </c>
      <c r="P71" t="str">
        <f t="shared" si="67"/>
        <v>-8061.1328388152i</v>
      </c>
      <c r="Q71" t="str">
        <f t="shared" si="68"/>
        <v>9360-7454.56563012403i</v>
      </c>
      <c r="R71" t="str">
        <f t="shared" si="22"/>
        <v>1852.40359269448-4990.47732738068i</v>
      </c>
      <c r="S71" t="str">
        <f t="shared" si="69"/>
        <v>4915353.53794902-21618849.4927892i</v>
      </c>
      <c r="T71" t="str">
        <f t="shared" si="23"/>
        <v>1851.80532758105-4989.34823755718i</v>
      </c>
      <c r="U71" t="str">
        <f t="shared" si="24"/>
        <v>0.999693843760348-0.0174946422658061i</v>
      </c>
      <c r="V71">
        <f t="shared" si="70"/>
        <v>14.520028783219015</v>
      </c>
      <c r="W71">
        <f t="shared" si="71"/>
        <v>-70.640092412755038</v>
      </c>
      <c r="X71">
        <f t="shared" si="25"/>
        <v>-1.3298232320420092E-3</v>
      </c>
      <c r="Y71">
        <f t="shared" si="72"/>
        <v>-1.0025740123396638</v>
      </c>
      <c r="AA71" s="123">
        <f t="shared" si="26"/>
        <v>15.188114551597806</v>
      </c>
      <c r="AB71" s="123">
        <f t="shared" si="27"/>
        <v>-15.019727937869925</v>
      </c>
      <c r="AC71">
        <f t="shared" si="28"/>
        <v>0.54090605656610435</v>
      </c>
      <c r="AD71">
        <f t="shared" si="29"/>
        <v>-71.395405971311661</v>
      </c>
      <c r="AE71" s="123">
        <f t="shared" si="30"/>
        <v>15.729020608163911</v>
      </c>
      <c r="AF71" s="123">
        <f t="shared" si="31"/>
        <v>-86.415133909181591</v>
      </c>
      <c r="AI71" s="123">
        <f t="shared" si="32"/>
        <v>0</v>
      </c>
      <c r="AJ71" s="123">
        <f t="shared" si="33"/>
        <v>0</v>
      </c>
      <c r="AK71" s="123">
        <f t="shared" si="34"/>
        <v>0</v>
      </c>
      <c r="AL71" s="123">
        <f t="shared" si="35"/>
        <v>0</v>
      </c>
      <c r="AM71" s="123">
        <f t="shared" si="36"/>
        <v>0</v>
      </c>
      <c r="AN71" s="123">
        <f t="shared" si="37"/>
        <v>0</v>
      </c>
      <c r="AO71" s="123">
        <f t="shared" si="38"/>
        <v>0</v>
      </c>
      <c r="AP71" s="123"/>
      <c r="AQ71" s="123">
        <f t="shared" si="39"/>
        <v>0</v>
      </c>
      <c r="AR71" s="123">
        <f t="shared" si="40"/>
        <v>0</v>
      </c>
      <c r="AS71" s="123">
        <f t="shared" si="41"/>
        <v>0</v>
      </c>
      <c r="AW71" t="str">
        <f t="shared" si="73"/>
        <v>17140</v>
      </c>
      <c r="AX71" t="str">
        <f t="shared" si="74"/>
        <v>8506-7322.5201841798i</v>
      </c>
      <c r="AY71" t="str">
        <f t="shared" si="42"/>
        <v>6548.28936320427-3024.1758918712i</v>
      </c>
      <c r="AZ71">
        <f t="shared" si="75"/>
        <v>3.1827820252466905</v>
      </c>
      <c r="BA71">
        <f t="shared" si="76"/>
        <v>-24.788766300926625</v>
      </c>
      <c r="BB71">
        <f t="shared" si="77"/>
        <v>-0.39818025438919713</v>
      </c>
      <c r="BC71">
        <f t="shared" si="78"/>
        <v>5.4164942262235014</v>
      </c>
      <c r="BD71" s="123">
        <f t="shared" si="43"/>
        <v>-0.4069353522717466</v>
      </c>
      <c r="BE71" s="123">
        <f t="shared" si="44"/>
        <v>2.5755145875598333</v>
      </c>
      <c r="BF71">
        <f t="shared" si="45"/>
        <v>17.702810808465706</v>
      </c>
      <c r="BG71">
        <f t="shared" si="46"/>
        <v>-95.428858713681663</v>
      </c>
      <c r="BH71" s="123">
        <f t="shared" si="47"/>
        <v>17.295875456193961</v>
      </c>
      <c r="BI71" s="123">
        <f t="shared" si="48"/>
        <v>-92.853344126121826</v>
      </c>
      <c r="BL71" s="123">
        <f t="shared" si="49"/>
        <v>0</v>
      </c>
      <c r="BM71" s="123">
        <f t="shared" si="50"/>
        <v>0</v>
      </c>
      <c r="BN71" s="123">
        <f t="shared" si="51"/>
        <v>0</v>
      </c>
      <c r="BO71" s="123">
        <f t="shared" si="52"/>
        <v>0</v>
      </c>
      <c r="BP71" s="123">
        <f t="shared" si="53"/>
        <v>0</v>
      </c>
      <c r="BQ71" s="123">
        <f t="shared" si="54"/>
        <v>0</v>
      </c>
      <c r="BR71" s="123">
        <f t="shared" si="55"/>
        <v>0</v>
      </c>
      <c r="BS71" s="123"/>
      <c r="BT71" s="123"/>
      <c r="BU71" s="123">
        <f t="shared" si="56"/>
        <v>0</v>
      </c>
      <c r="BV71" s="123">
        <f t="shared" si="57"/>
        <v>0</v>
      </c>
      <c r="BX71" s="123">
        <f t="shared" si="58"/>
        <v>0</v>
      </c>
      <c r="BY71" s="123"/>
    </row>
    <row r="72" spans="5:77" x14ac:dyDescent="0.25">
      <c r="E72">
        <v>61</v>
      </c>
      <c r="F72">
        <v>4000</v>
      </c>
      <c r="G72" s="58">
        <f t="shared" si="59"/>
        <v>-1.1431790449202605E-2</v>
      </c>
      <c r="H72" s="58">
        <f t="shared" si="60"/>
        <v>-3.2462400874094008</v>
      </c>
      <c r="I72">
        <f t="shared" si="61"/>
        <v>14.979279592830515</v>
      </c>
      <c r="J72">
        <f t="shared" si="62"/>
        <v>-11.53611795040525</v>
      </c>
      <c r="K72" t="str">
        <f t="shared" si="63"/>
        <v>37486.6807719989-706.607138519193i</v>
      </c>
      <c r="L72" t="str">
        <f t="shared" si="64"/>
        <v>1000000000-79577488.101574i</v>
      </c>
      <c r="M72" t="str">
        <f t="shared" si="65"/>
        <v>149977.644897433-1.77869610408186i</v>
      </c>
      <c r="N72">
        <f t="shared" si="21"/>
        <v>-13.979352136956742</v>
      </c>
      <c r="O72">
        <f t="shared" si="66"/>
        <v>-0.86336514341439874</v>
      </c>
      <c r="P72" t="str">
        <f t="shared" si="67"/>
        <v>-7053.4912339633i</v>
      </c>
      <c r="Q72" t="str">
        <f t="shared" si="68"/>
        <v>9360-6522.74492635852i</v>
      </c>
      <c r="R72" t="str">
        <f t="shared" si="22"/>
        <v>1712.52495459861-4569.55499314332i</v>
      </c>
      <c r="S72" t="str">
        <f t="shared" si="69"/>
        <v>3807177.60857323-19136957.9482765i</v>
      </c>
      <c r="T72" t="str">
        <f t="shared" si="23"/>
        <v>1711.91792549409-4568.49655105825i</v>
      </c>
      <c r="U72" t="str">
        <f t="shared" si="24"/>
        <v>0.999600159936026-0.0199920031987205i</v>
      </c>
      <c r="V72">
        <f t="shared" si="70"/>
        <v>13.764365513709414</v>
      </c>
      <c r="W72">
        <f t="shared" si="71"/>
        <v>-70.603678691147664</v>
      </c>
      <c r="X72">
        <f t="shared" si="25"/>
        <v>-1.7368305846464187E-3</v>
      </c>
      <c r="Y72">
        <f t="shared" si="72"/>
        <v>-1.1457630765443418</v>
      </c>
      <c r="AA72" s="123">
        <f t="shared" si="26"/>
        <v>14.967847802381312</v>
      </c>
      <c r="AB72" s="123">
        <f t="shared" si="27"/>
        <v>-14.782358037814651</v>
      </c>
      <c r="AC72">
        <f t="shared" si="28"/>
        <v>-0.2149866232473272</v>
      </c>
      <c r="AD72">
        <f t="shared" si="29"/>
        <v>-71.467043834562062</v>
      </c>
      <c r="AE72" s="123">
        <f t="shared" si="30"/>
        <v>14.752861179133985</v>
      </c>
      <c r="AF72" s="123">
        <f t="shared" si="31"/>
        <v>-86.249401872376708</v>
      </c>
      <c r="AI72" s="123">
        <f t="shared" si="32"/>
        <v>0</v>
      </c>
      <c r="AJ72" s="123">
        <f t="shared" si="33"/>
        <v>0</v>
      </c>
      <c r="AK72" s="123">
        <f t="shared" si="34"/>
        <v>0</v>
      </c>
      <c r="AL72" s="123">
        <f t="shared" si="35"/>
        <v>0</v>
      </c>
      <c r="AM72" s="123">
        <f t="shared" si="36"/>
        <v>0</v>
      </c>
      <c r="AN72" s="123">
        <f t="shared" si="37"/>
        <v>0</v>
      </c>
      <c r="AO72" s="123">
        <f t="shared" si="38"/>
        <v>0</v>
      </c>
      <c r="AP72" s="123"/>
      <c r="AQ72" s="123">
        <f t="shared" si="39"/>
        <v>0</v>
      </c>
      <c r="AR72" s="123">
        <f t="shared" si="40"/>
        <v>0</v>
      </c>
      <c r="AS72" s="123">
        <f t="shared" si="41"/>
        <v>0</v>
      </c>
      <c r="AW72" t="str">
        <f t="shared" si="73"/>
        <v>17140</v>
      </c>
      <c r="AX72" t="str">
        <f t="shared" si="74"/>
        <v>8506-6407.20516115733i</v>
      </c>
      <c r="AY72" t="str">
        <f t="shared" si="42"/>
        <v>6357.80271130937-2693.74366828026i</v>
      </c>
      <c r="AZ72">
        <f t="shared" si="75"/>
        <v>2.8037720325122004</v>
      </c>
      <c r="BA72">
        <f t="shared" si="76"/>
        <v>-22.96194012096273</v>
      </c>
      <c r="BB72">
        <f t="shared" si="77"/>
        <v>-0.31923412964645564</v>
      </c>
      <c r="BC72">
        <f t="shared" si="78"/>
        <v>4.9611372950419916</v>
      </c>
      <c r="BD72" s="123">
        <f t="shared" si="43"/>
        <v>-0.33066592009565826</v>
      </c>
      <c r="BE72" s="123">
        <f t="shared" si="44"/>
        <v>1.7148972076325908</v>
      </c>
      <c r="BF72">
        <f t="shared" si="45"/>
        <v>16.568137546221614</v>
      </c>
      <c r="BG72">
        <f t="shared" si="46"/>
        <v>-93.565618812110387</v>
      </c>
      <c r="BH72" s="123">
        <f t="shared" si="47"/>
        <v>16.237471626125956</v>
      </c>
      <c r="BI72" s="123">
        <f t="shared" si="48"/>
        <v>-91.850721604477798</v>
      </c>
      <c r="BL72" s="123">
        <f t="shared" si="49"/>
        <v>0</v>
      </c>
      <c r="BM72" s="123">
        <f t="shared" si="50"/>
        <v>0</v>
      </c>
      <c r="BN72" s="123">
        <f t="shared" si="51"/>
        <v>0</v>
      </c>
      <c r="BO72" s="123">
        <f t="shared" si="52"/>
        <v>0</v>
      </c>
      <c r="BP72" s="123">
        <f t="shared" si="53"/>
        <v>0</v>
      </c>
      <c r="BQ72" s="123">
        <f t="shared" si="54"/>
        <v>0</v>
      </c>
      <c r="BR72" s="123">
        <f t="shared" si="55"/>
        <v>0</v>
      </c>
      <c r="BS72" s="123"/>
      <c r="BT72" s="123"/>
      <c r="BU72" s="123">
        <f t="shared" si="56"/>
        <v>0</v>
      </c>
      <c r="BV72" s="123">
        <f t="shared" si="57"/>
        <v>0</v>
      </c>
      <c r="BX72" s="123">
        <f t="shared" si="58"/>
        <v>0</v>
      </c>
      <c r="BY72" s="123"/>
    </row>
    <row r="73" spans="5:77" x14ac:dyDescent="0.25">
      <c r="E73">
        <v>62</v>
      </c>
      <c r="F73">
        <v>4500</v>
      </c>
      <c r="G73" s="58">
        <f t="shared" si="59"/>
        <v>-1.4463430611526594E-2</v>
      </c>
      <c r="H73" s="58">
        <f t="shared" si="60"/>
        <v>-3.6512636108082934</v>
      </c>
      <c r="I73">
        <f t="shared" si="61"/>
        <v>14.807776737113835</v>
      </c>
      <c r="J73">
        <f t="shared" si="62"/>
        <v>-10.872739234555878</v>
      </c>
      <c r="K73" t="str">
        <f t="shared" si="63"/>
        <v>37483.1444422908-794.858040324531i</v>
      </c>
      <c r="L73" t="str">
        <f t="shared" si="64"/>
        <v>1000000000-70735544.9791769i</v>
      </c>
      <c r="M73" t="str">
        <f t="shared" si="65"/>
        <v>149977.61534292-1.58315344465724i</v>
      </c>
      <c r="N73">
        <f t="shared" si="21"/>
        <v>-13.979613007065282</v>
      </c>
      <c r="O73">
        <f t="shared" si="66"/>
        <v>-0.97139389535452736</v>
      </c>
      <c r="P73" t="str">
        <f t="shared" si="67"/>
        <v>-6269.76998574516i</v>
      </c>
      <c r="Q73" t="str">
        <f t="shared" si="68"/>
        <v>9360-5797.99549009646i</v>
      </c>
      <c r="R73" t="str">
        <f t="shared" si="22"/>
        <v>1577.52039809312-4235.8868449819i</v>
      </c>
      <c r="S73" t="str">
        <f t="shared" si="69"/>
        <v>3032370.10014241-17147645.3657639i</v>
      </c>
      <c r="T73" t="str">
        <f t="shared" si="23"/>
        <v>1576.9194017705-4234.87951768843i</v>
      </c>
      <c r="U73" t="str">
        <f t="shared" si="24"/>
        <v>0.999494006159382-0.0224886151385861i</v>
      </c>
      <c r="V73">
        <f t="shared" si="70"/>
        <v>13.098546330527604</v>
      </c>
      <c r="W73">
        <f t="shared" si="71"/>
        <v>-70.865400650922624</v>
      </c>
      <c r="X73">
        <f t="shared" si="25"/>
        <v>-2.1980594777616471E-3</v>
      </c>
      <c r="Y73">
        <f t="shared" si="72"/>
        <v>-1.2889378283427966</v>
      </c>
      <c r="AA73" s="123">
        <f t="shared" si="26"/>
        <v>14.793313306502309</v>
      </c>
      <c r="AB73" s="123">
        <f t="shared" si="27"/>
        <v>-14.524002845364171</v>
      </c>
      <c r="AC73">
        <f t="shared" si="28"/>
        <v>-0.88106667653767801</v>
      </c>
      <c r="AD73">
        <f t="shared" si="29"/>
        <v>-71.836794546277147</v>
      </c>
      <c r="AE73" s="123">
        <f t="shared" si="30"/>
        <v>13.912246629964631</v>
      </c>
      <c r="AF73" s="123">
        <f t="shared" si="31"/>
        <v>-86.360797391641313</v>
      </c>
      <c r="AI73" s="123">
        <f t="shared" si="32"/>
        <v>0</v>
      </c>
      <c r="AJ73" s="123">
        <f t="shared" si="33"/>
        <v>0</v>
      </c>
      <c r="AK73" s="123">
        <f t="shared" si="34"/>
        <v>0</v>
      </c>
      <c r="AL73" s="123">
        <f t="shared" si="35"/>
        <v>0</v>
      </c>
      <c r="AM73" s="123">
        <f t="shared" si="36"/>
        <v>0</v>
      </c>
      <c r="AN73" s="123">
        <f t="shared" si="37"/>
        <v>0</v>
      </c>
      <c r="AO73" s="123">
        <f t="shared" si="38"/>
        <v>0</v>
      </c>
      <c r="AP73" s="123"/>
      <c r="AQ73" s="123">
        <f t="shared" si="39"/>
        <v>0</v>
      </c>
      <c r="AR73" s="123">
        <f t="shared" si="40"/>
        <v>0</v>
      </c>
      <c r="AS73" s="123">
        <f t="shared" si="41"/>
        <v>0</v>
      </c>
      <c r="AW73" t="str">
        <f t="shared" si="73"/>
        <v>17140</v>
      </c>
      <c r="AX73" t="str">
        <f t="shared" si="74"/>
        <v>8506-5695.29347658429i</v>
      </c>
      <c r="AY73" t="str">
        <f t="shared" si="42"/>
        <v>6223.19726660561-2424.33110008027i</v>
      </c>
      <c r="AZ73">
        <f t="shared" si="75"/>
        <v>2.5144904098111533</v>
      </c>
      <c r="BA73">
        <f t="shared" si="76"/>
        <v>-21.28408172421484</v>
      </c>
      <c r="BB73">
        <f t="shared" si="77"/>
        <v>-0.260671773300299</v>
      </c>
      <c r="BC73">
        <f t="shared" si="78"/>
        <v>4.5561798685028627</v>
      </c>
      <c r="BD73" s="123">
        <f t="shared" si="43"/>
        <v>-0.27513520391182561</v>
      </c>
      <c r="BE73" s="123">
        <f t="shared" si="44"/>
        <v>0.90491625769456929</v>
      </c>
      <c r="BF73">
        <f t="shared" si="45"/>
        <v>15.613036740338757</v>
      </c>
      <c r="BG73">
        <f t="shared" si="46"/>
        <v>-92.149482375137467</v>
      </c>
      <c r="BH73" s="123">
        <f t="shared" si="47"/>
        <v>15.337901536426932</v>
      </c>
      <c r="BI73" s="123">
        <f t="shared" si="48"/>
        <v>-91.244566117442901</v>
      </c>
      <c r="BL73" s="123">
        <f t="shared" si="49"/>
        <v>0</v>
      </c>
      <c r="BM73" s="123">
        <f t="shared" si="50"/>
        <v>0</v>
      </c>
      <c r="BN73" s="123">
        <f t="shared" si="51"/>
        <v>0</v>
      </c>
      <c r="BO73" s="123">
        <f t="shared" si="52"/>
        <v>0</v>
      </c>
      <c r="BP73" s="123">
        <f t="shared" si="53"/>
        <v>0</v>
      </c>
      <c r="BQ73" s="123">
        <f t="shared" si="54"/>
        <v>0</v>
      </c>
      <c r="BR73" s="123">
        <f t="shared" si="55"/>
        <v>0</v>
      </c>
      <c r="BS73" s="123"/>
      <c r="BT73" s="123"/>
      <c r="BU73" s="123">
        <f t="shared" si="56"/>
        <v>0</v>
      </c>
      <c r="BV73" s="123">
        <f t="shared" si="57"/>
        <v>0</v>
      </c>
      <c r="BX73" s="123">
        <f t="shared" si="58"/>
        <v>0</v>
      </c>
      <c r="BY73" s="123"/>
    </row>
    <row r="74" spans="5:77" x14ac:dyDescent="0.25">
      <c r="E74">
        <v>63</v>
      </c>
      <c r="F74">
        <v>5000</v>
      </c>
      <c r="G74" s="58">
        <f t="shared" si="59"/>
        <v>-1.784929245844798E-2</v>
      </c>
      <c r="H74" s="58">
        <f t="shared" si="60"/>
        <v>-4.0560209599730435</v>
      </c>
      <c r="I74">
        <f t="shared" si="61"/>
        <v>14.671613913625317</v>
      </c>
      <c r="J74">
        <f t="shared" si="62"/>
        <v>-10.228519154761564</v>
      </c>
      <c r="K74" t="str">
        <f t="shared" si="63"/>
        <v>37479.1928632733-883.082493492873i</v>
      </c>
      <c r="L74" t="str">
        <f t="shared" si="64"/>
        <v>1000000000-63661990.4812592i</v>
      </c>
      <c r="M74" t="str">
        <f t="shared" si="65"/>
        <v>149977.594154766-1.42618677800442i</v>
      </c>
      <c r="N74">
        <f t="shared" si="21"/>
        <v>-13.97990509761091</v>
      </c>
      <c r="O74">
        <f t="shared" si="66"/>
        <v>-1.0794039589866358</v>
      </c>
      <c r="P74" t="str">
        <f t="shared" si="67"/>
        <v>-5642.79298717064i</v>
      </c>
      <c r="Q74" t="str">
        <f t="shared" si="68"/>
        <v>9360-5218.19594108682i</v>
      </c>
      <c r="R74" t="str">
        <f t="shared" si="22"/>
        <v>1449.78269328409-3960.52014741233i</v>
      </c>
      <c r="S74" t="str">
        <f t="shared" si="69"/>
        <v>2470453.30571766-15522312.6832323i</v>
      </c>
      <c r="T74" t="str">
        <f t="shared" si="23"/>
        <v>1449.19718834322-3959.55203605328i</v>
      </c>
      <c r="U74" t="str">
        <f t="shared" si="24"/>
        <v>0.999375390381012-0.0249843847595253i</v>
      </c>
      <c r="V74">
        <f t="shared" si="70"/>
        <v>12.496170445639006</v>
      </c>
      <c r="W74">
        <f t="shared" si="71"/>
        <v>-71.32947065037142</v>
      </c>
      <c r="X74">
        <f t="shared" si="25"/>
        <v>-2.7134926337472106E-3</v>
      </c>
      <c r="Y74">
        <f t="shared" si="72"/>
        <v>-1.4320964821038593</v>
      </c>
      <c r="AA74" s="123">
        <f t="shared" si="26"/>
        <v>14.653764621166868</v>
      </c>
      <c r="AB74" s="123">
        <f t="shared" si="27"/>
        <v>-14.284540114734607</v>
      </c>
      <c r="AC74">
        <f t="shared" si="28"/>
        <v>-1.4837346519719041</v>
      </c>
      <c r="AD74">
        <f t="shared" si="29"/>
        <v>-72.408874609358051</v>
      </c>
      <c r="AE74" s="123">
        <f t="shared" si="30"/>
        <v>13.170029969194964</v>
      </c>
      <c r="AF74" s="123">
        <f t="shared" si="31"/>
        <v>-86.693414724092662</v>
      </c>
      <c r="AI74" s="123">
        <f t="shared" si="32"/>
        <v>0</v>
      </c>
      <c r="AJ74" s="123">
        <f t="shared" si="33"/>
        <v>0</v>
      </c>
      <c r="AK74" s="123">
        <f t="shared" si="34"/>
        <v>0</v>
      </c>
      <c r="AL74" s="123">
        <f t="shared" si="35"/>
        <v>0</v>
      </c>
      <c r="AM74" s="123">
        <f t="shared" si="36"/>
        <v>0</v>
      </c>
      <c r="AN74" s="123">
        <f t="shared" si="37"/>
        <v>0</v>
      </c>
      <c r="AO74" s="123">
        <f t="shared" si="38"/>
        <v>0</v>
      </c>
      <c r="AP74" s="123"/>
      <c r="AQ74" s="123">
        <f t="shared" si="39"/>
        <v>0</v>
      </c>
      <c r="AR74" s="123">
        <f t="shared" si="40"/>
        <v>0</v>
      </c>
      <c r="AS74" s="123">
        <f t="shared" si="41"/>
        <v>0</v>
      </c>
      <c r="AW74" t="str">
        <f t="shared" si="73"/>
        <v>17140</v>
      </c>
      <c r="AX74" t="str">
        <f t="shared" si="74"/>
        <v>8506-5125.76412892586i</v>
      </c>
      <c r="AY74" t="str">
        <f t="shared" si="42"/>
        <v>6124.83443193019-2201.55737904513i</v>
      </c>
      <c r="AZ74">
        <f t="shared" si="75"/>
        <v>2.2902057389867929</v>
      </c>
      <c r="BA74">
        <f t="shared" si="76"/>
        <v>-19.770859435733755</v>
      </c>
      <c r="BB74">
        <f t="shared" si="77"/>
        <v>-0.21632439639971632</v>
      </c>
      <c r="BC74">
        <f t="shared" si="78"/>
        <v>4.2003048875692324</v>
      </c>
      <c r="BD74" s="123">
        <f t="shared" si="43"/>
        <v>-0.23417368885816431</v>
      </c>
      <c r="BE74" s="123">
        <f t="shared" si="44"/>
        <v>0.14428392759618891</v>
      </c>
      <c r="BF74">
        <f t="shared" si="45"/>
        <v>14.786376184625798</v>
      </c>
      <c r="BG74">
        <f t="shared" si="46"/>
        <v>-91.100330086105174</v>
      </c>
      <c r="BH74" s="123">
        <f t="shared" si="47"/>
        <v>14.552202495767634</v>
      </c>
      <c r="BI74" s="123">
        <f t="shared" si="48"/>
        <v>-90.956046158508983</v>
      </c>
      <c r="BL74" s="123">
        <f t="shared" si="49"/>
        <v>0</v>
      </c>
      <c r="BM74" s="123">
        <f t="shared" si="50"/>
        <v>0</v>
      </c>
      <c r="BN74" s="123">
        <f t="shared" si="51"/>
        <v>0</v>
      </c>
      <c r="BO74" s="123">
        <f t="shared" si="52"/>
        <v>0</v>
      </c>
      <c r="BP74" s="123">
        <f t="shared" si="53"/>
        <v>0</v>
      </c>
      <c r="BQ74" s="123">
        <f t="shared" si="54"/>
        <v>0</v>
      </c>
      <c r="BR74" s="123">
        <f t="shared" si="55"/>
        <v>0</v>
      </c>
      <c r="BS74" s="123"/>
      <c r="BT74" s="123"/>
      <c r="BU74" s="123">
        <f t="shared" si="56"/>
        <v>0</v>
      </c>
      <c r="BV74" s="123">
        <f t="shared" si="57"/>
        <v>0</v>
      </c>
      <c r="BX74" s="123">
        <f t="shared" si="58"/>
        <v>0</v>
      </c>
      <c r="BY74" s="123"/>
    </row>
    <row r="75" spans="5:77" x14ac:dyDescent="0.25">
      <c r="E75">
        <v>64</v>
      </c>
      <c r="F75">
        <v>5500</v>
      </c>
      <c r="G75" s="58">
        <f t="shared" si="59"/>
        <v>-2.1588566649200218E-2</v>
      </c>
      <c r="H75" s="58">
        <f t="shared" si="60"/>
        <v>-4.4604830144724543</v>
      </c>
      <c r="I75">
        <f t="shared" si="61"/>
        <v>14.562500662822833</v>
      </c>
      <c r="J75">
        <f t="shared" si="62"/>
        <v>-9.6220956465181562</v>
      </c>
      <c r="K75" t="str">
        <f t="shared" si="63"/>
        <v>37474.8262977995-971.277569613091i</v>
      </c>
      <c r="L75" t="str">
        <f t="shared" si="64"/>
        <v>1000000000-57874536.8011447i</v>
      </c>
      <c r="M75" t="str">
        <f t="shared" si="65"/>
        <v>149977.578452092-1.29744208323667i</v>
      </c>
      <c r="N75">
        <f t="shared" si="21"/>
        <v>-13.980228268911484</v>
      </c>
      <c r="O75">
        <f t="shared" si="66"/>
        <v>-1.1873977317666948</v>
      </c>
      <c r="P75" t="str">
        <f t="shared" si="67"/>
        <v>-5129.81180651877i</v>
      </c>
      <c r="Q75" t="str">
        <f t="shared" si="68"/>
        <v>9360-4743.81449189711i</v>
      </c>
      <c r="R75" t="str">
        <f t="shared" si="22"/>
        <v>1330.68959855959-3726.10114248389i</v>
      </c>
      <c r="S75" t="str">
        <f t="shared" si="69"/>
        <v>2050488.54690633-14171956.5131156i</v>
      </c>
      <c r="T75" t="str">
        <f t="shared" si="23"/>
        <v>1330.12554964969-3725.16500263926i</v>
      </c>
      <c r="U75" t="str">
        <f t="shared" si="24"/>
        <v>0.999244321481879-0.0274792188407517i</v>
      </c>
      <c r="V75">
        <f t="shared" si="70"/>
        <v>11.940774651172514</v>
      </c>
      <c r="W75">
        <f t="shared" si="71"/>
        <v>-71.925390901317911</v>
      </c>
      <c r="X75">
        <f t="shared" si="25"/>
        <v>-3.2831107495560861E-3</v>
      </c>
      <c r="Y75">
        <f t="shared" si="72"/>
        <v>-1.5752372534018613</v>
      </c>
      <c r="AA75" s="123">
        <f t="shared" si="26"/>
        <v>14.540912096173633</v>
      </c>
      <c r="AB75" s="123">
        <f t="shared" si="27"/>
        <v>-14.08257866099061</v>
      </c>
      <c r="AC75">
        <f t="shared" si="28"/>
        <v>-2.0394536177389693</v>
      </c>
      <c r="AD75">
        <f t="shared" si="29"/>
        <v>-73.112788633084605</v>
      </c>
      <c r="AE75" s="123">
        <f t="shared" si="30"/>
        <v>12.501458478434664</v>
      </c>
      <c r="AF75" s="123">
        <f t="shared" si="31"/>
        <v>-87.195367294075211</v>
      </c>
      <c r="AI75" s="123">
        <f t="shared" si="32"/>
        <v>0</v>
      </c>
      <c r="AJ75" s="123">
        <f t="shared" si="33"/>
        <v>0</v>
      </c>
      <c r="AK75" s="123">
        <f t="shared" si="34"/>
        <v>0</v>
      </c>
      <c r="AL75" s="123">
        <f t="shared" si="35"/>
        <v>0</v>
      </c>
      <c r="AM75" s="123">
        <f t="shared" si="36"/>
        <v>0</v>
      </c>
      <c r="AN75" s="123">
        <f t="shared" si="37"/>
        <v>0</v>
      </c>
      <c r="AO75" s="123">
        <f t="shared" si="38"/>
        <v>0</v>
      </c>
      <c r="AP75" s="123"/>
      <c r="AQ75" s="123">
        <f t="shared" si="39"/>
        <v>0</v>
      </c>
      <c r="AR75" s="123">
        <f t="shared" si="40"/>
        <v>0</v>
      </c>
      <c r="AS75" s="123">
        <f t="shared" si="41"/>
        <v>0</v>
      </c>
      <c r="AW75" t="str">
        <f t="shared" si="73"/>
        <v>17140</v>
      </c>
      <c r="AX75" t="str">
        <f t="shared" si="74"/>
        <v>8506-4659.78557175078i</v>
      </c>
      <c r="AY75" t="str">
        <f t="shared" si="42"/>
        <v>6050.9084872169-2014.84787628054i</v>
      </c>
      <c r="AZ75">
        <f t="shared" si="75"/>
        <v>2.1136732438187029</v>
      </c>
      <c r="BA75">
        <f t="shared" si="76"/>
        <v>-18.416870185923734</v>
      </c>
      <c r="BB75">
        <f t="shared" si="77"/>
        <v>-0.18208798100582141</v>
      </c>
      <c r="BC75">
        <f t="shared" si="78"/>
        <v>3.8884862132182318</v>
      </c>
      <c r="BD75" s="123">
        <f t="shared" si="43"/>
        <v>-0.20367654765502163</v>
      </c>
      <c r="BE75" s="123">
        <f t="shared" si="44"/>
        <v>-0.57199680125422248</v>
      </c>
      <c r="BF75">
        <f t="shared" si="45"/>
        <v>14.054447894991217</v>
      </c>
      <c r="BG75">
        <f t="shared" si="46"/>
        <v>-90.342261087241639</v>
      </c>
      <c r="BH75" s="123">
        <f t="shared" si="47"/>
        <v>13.850771347336195</v>
      </c>
      <c r="BI75" s="123">
        <f t="shared" si="48"/>
        <v>-90.914257888495854</v>
      </c>
      <c r="BL75" s="123">
        <f t="shared" si="49"/>
        <v>0</v>
      </c>
      <c r="BM75" s="123">
        <f t="shared" si="50"/>
        <v>0</v>
      </c>
      <c r="BN75" s="123">
        <f t="shared" si="51"/>
        <v>0</v>
      </c>
      <c r="BO75" s="123">
        <f t="shared" si="52"/>
        <v>0</v>
      </c>
      <c r="BP75" s="123">
        <f t="shared" si="53"/>
        <v>0</v>
      </c>
      <c r="BQ75" s="123">
        <f t="shared" si="54"/>
        <v>0</v>
      </c>
      <c r="BR75" s="123">
        <f t="shared" si="55"/>
        <v>0</v>
      </c>
      <c r="BS75" s="123"/>
      <c r="BT75" s="123"/>
      <c r="BU75" s="123">
        <f t="shared" si="56"/>
        <v>0</v>
      </c>
      <c r="BV75" s="123">
        <f t="shared" si="57"/>
        <v>0</v>
      </c>
      <c r="BX75" s="123">
        <f t="shared" si="58"/>
        <v>0</v>
      </c>
      <c r="BY75" s="123"/>
    </row>
    <row r="76" spans="5:77" x14ac:dyDescent="0.25">
      <c r="E76">
        <v>65</v>
      </c>
      <c r="F76">
        <v>6000</v>
      </c>
      <c r="G76" s="58">
        <f t="shared" ref="G76:G107" si="79">20*LOG(IMABS(IMDIV(1,IMSUM(0,IMSUM(COMPLEX(0,2*PI*F76/Wsh),COMPLEX(1-(F76/fsw_sh)^2,0))))))</f>
        <v>-2.5680361062691313E-2</v>
      </c>
      <c r="H76" s="58">
        <f t="shared" ref="H76:H107" si="80">180/PI*IMARGUMENT(IMDIV(1,IMSUM(0,IMSUM(COMPLEX(0,2*PI*F76/Wsh),COMPLEX(1-(F76/fsw_sh)^2,0)))))</f>
        <v>-4.8646207960552221</v>
      </c>
      <c r="I76">
        <f t="shared" ref="I76:I107" si="81">20*LOG(IMABS(IMPRODUCT(A_COMP2VOUT,IMDIV(COMPLEX(1, 2*PI*F76/Wesr_zero),COMPLEX(1, 2*PI*F76/Wload_pole)))))</f>
        <v>14.474181956007811</v>
      </c>
      <c r="J76">
        <f t="shared" ref="J76:J107" si="82">180/PI*(IMARGUMENT(IMPRODUCT(A_COMP2VOUT,IMDIV(COMPLEX(1, 2*PI*F76/Wesr_zero),COMPLEX(1, 2*PI*F76/Wload_pole)))))</f>
        <v>-9.0606444264846182</v>
      </c>
      <c r="K76" t="str">
        <f t="shared" ref="K76:K107" si="83">IMDIV(IMPRODUCT(COMPLEX(R.fbb,0),IMDIV(COMPLEX(1,0),COMPLEX(0,2*PI*F76*C.fbb))),IMSUM(COMPLEX(R.fbb,0),IMDIV(COMPLEX(1,0),COMPLEX(0,2*PI*F76*C.fbb))) )</f>
        <v>37470.0450362306-1059.44034352915i</v>
      </c>
      <c r="L76" t="str">
        <f t="shared" ref="L76:L107" si="84">IMSUM(COMPLEX(R.ff,0),IMDIV(COMPLEX(1,0),COMPLEX(0,2*PI*F76*C.ff)))</f>
        <v>1000000000-53051658.7343827i</v>
      </c>
      <c r="M76" t="str">
        <f t="shared" ref="M76:M107" si="85">IMDIV(IMPRODUCT(COMPLEX(R.fbt,0),L76),IMSUM(COMPLEX(R.fbt,0),L76))</f>
        <v>149977.566494176-1.18995620174556i</v>
      </c>
      <c r="N76">
        <f t="shared" si="21"/>
        <v>-13.980582433440043</v>
      </c>
      <c r="O76">
        <f t="shared" ref="O76:O107" si="86">180/PI*IMARGUMENT((IMDIV(K76,IMSUM(K76,M76))))</f>
        <v>-1.2953765755008937</v>
      </c>
      <c r="P76" t="str">
        <f t="shared" ref="P76:P107" si="87">IMDIV(COMPLEX(1,0),COMPLEX(0,2*PI*F76*C.hf))</f>
        <v>-4702.32748930887i</v>
      </c>
      <c r="Q76" t="str">
        <f t="shared" ref="Q76:Q107" si="88">IMSUM(R.comp,0,IMDIV(COMPLEX(1,0),COMPLEX(0,2*PI*F76*C.comp)))</f>
        <v>9360-4348.49661757235i</v>
      </c>
      <c r="R76" t="str">
        <f t="shared" si="22"/>
        <v>1220.85102522435-3521.80314208545i</v>
      </c>
      <c r="S76" t="str">
        <f t="shared" ref="S76:S107" si="89">IMDIV(IMPRODUCT(COMPLEX(R.eaout,0),IMDIV(1,COMPLEX(0,2*PI*F76*C.eaout))),IMSUM(COMPLEX(R.eaout,0),IMDIV(1,COMPLEX(0,2*PI*F76*C.eaout))))</f>
        <v>1728641.40861098-13033646.4483863i</v>
      </c>
      <c r="T76" t="str">
        <f t="shared" si="23"/>
        <v>1220.3119889621-3520.89457985752i</v>
      </c>
      <c r="U76" t="str">
        <f t="shared" si="24"/>
        <v>0.999100809271656-0.0299730242781497i</v>
      </c>
      <c r="V76">
        <f t="shared" ref="V76:V107" si="90">20*LOG(IMABS(IMPRODUCT(IMPRODUCT(COMPLEX(GM,0),T76),U76)))</f>
        <v>11.421820928265735</v>
      </c>
      <c r="W76">
        <f t="shared" ref="W76:W107" si="91">180/PI*IMARGUMENT((IMPRODUCT(IMPRODUCT(COMPLEX(GM,0),T76),U76)))</f>
        <v>-72.602493656338723</v>
      </c>
      <c r="X76">
        <f t="shared" si="25"/>
        <v>-3.9068924990976498E-3</v>
      </c>
      <c r="Y76">
        <f t="shared" ref="Y76:Y107" si="92">180/PI*IMARGUMENT((U76))</f>
        <v>-1.718358359149764</v>
      </c>
      <c r="AA76" s="123">
        <f t="shared" si="26"/>
        <v>14.448501594945119</v>
      </c>
      <c r="AB76" s="123">
        <f t="shared" si="27"/>
        <v>-13.92526522253984</v>
      </c>
      <c r="AC76">
        <f t="shared" si="28"/>
        <v>-2.5587615051743082</v>
      </c>
      <c r="AD76">
        <f t="shared" si="29"/>
        <v>-73.897870231839619</v>
      </c>
      <c r="AE76" s="123">
        <f t="shared" si="30"/>
        <v>11.889740089770811</v>
      </c>
      <c r="AF76" s="123">
        <f t="shared" si="31"/>
        <v>-87.823135454379454</v>
      </c>
      <c r="AI76" s="123">
        <f t="shared" si="32"/>
        <v>0</v>
      </c>
      <c r="AJ76" s="123">
        <f t="shared" si="33"/>
        <v>0</v>
      </c>
      <c r="AK76" s="123">
        <f t="shared" si="34"/>
        <v>0</v>
      </c>
      <c r="AL76" s="123">
        <f t="shared" si="35"/>
        <v>0</v>
      </c>
      <c r="AM76" s="123">
        <f t="shared" si="36"/>
        <v>0</v>
      </c>
      <c r="AN76" s="123">
        <f t="shared" si="37"/>
        <v>0</v>
      </c>
      <c r="AO76" s="123">
        <f t="shared" si="38"/>
        <v>0</v>
      </c>
      <c r="AP76" s="123"/>
      <c r="AQ76" s="123">
        <f t="shared" si="39"/>
        <v>0</v>
      </c>
      <c r="AR76" s="123">
        <f t="shared" si="40"/>
        <v>0</v>
      </c>
      <c r="AS76" s="123">
        <f t="shared" si="41"/>
        <v>0</v>
      </c>
      <c r="AW76" t="str">
        <f t="shared" ref="AW76:AW107" si="93">COMPLEX(R.imon,0)</f>
        <v>17140</v>
      </c>
      <c r="AX76" t="str">
        <f t="shared" ref="AX76:AX107" si="94">IMSUM(R.imonhf,0,IMDIV(COMPLEX(1,0),COMPLEX(0,2*PI*F76*C.imon)))</f>
        <v>8506-4271.47010743822i</v>
      </c>
      <c r="AY76" t="str">
        <f t="shared" si="42"/>
        <v>5994.01397252452-1856.41995376611i</v>
      </c>
      <c r="AZ76">
        <f t="shared" ref="AZ76:AZ107" si="95">20*LOG(IMABS(IMDIV(IMPRODUCT(IMPRODUCT(COMPLEX(-1,0),COMPLEX(GM.imon,0)),AY76),COMPLEX(A.s_typ,0))))</f>
        <v>1.9727502721985621</v>
      </c>
      <c r="BA76">
        <f t="shared" ref="BA76:BA107" si="96">180/PI*(IMARGUMENT(IMDIV(IMPRODUCT(IMPRODUCT(COMPLEX(1,0),COMPLEX(GM.imon,0)),AY76),COMPLEX(A.s_typ,0))))</f>
        <v>-17.208400650964105</v>
      </c>
      <c r="BB76">
        <f t="shared" ref="BB76:BB107" si="97">20*LOG(IMABS(IMPRODUCT(A_COMP2CS,IMPRODUCT(IMDIV(COMPLEX(1, 2*PI*F76/Wesr_zero),COMPLEX(1, 2*PI*F76/Wload_pole)),IMDIV(COMPLEX(1, 2*PI*F76/WloadZ),COMPLEX(1, 2*PI*F76/Wesr_zero))))))</f>
        <v>-0.15518925999993094</v>
      </c>
      <c r="BC76">
        <f t="shared" ref="BC76:BC107" si="98">180/PI*(IMARGUMENT(IMPRODUCT(A_COMP2CS,IMPRODUCT(IMDIV(COMPLEX(1, 2*PI*F76/Wesr_zero),COMPLEX(1, 2*PI*F76/Wload_pole)),IMDIV(COMPLEX(1, 2*PI*F76/WloadZ),COMPLEX(1, 2*PI*F76/Wesr_zero))))))</f>
        <v>3.6148936572028005</v>
      </c>
      <c r="BD76" s="123">
        <f t="shared" si="43"/>
        <v>-0.18086962106262225</v>
      </c>
      <c r="BE76" s="123">
        <f t="shared" si="44"/>
        <v>-1.2497271388524216</v>
      </c>
      <c r="BF76">
        <f t="shared" si="45"/>
        <v>13.394571200464297</v>
      </c>
      <c r="BG76">
        <f t="shared" si="46"/>
        <v>-89.810894307302831</v>
      </c>
      <c r="BH76" s="123">
        <f t="shared" si="47"/>
        <v>13.213701579401674</v>
      </c>
      <c r="BI76" s="123">
        <f t="shared" si="48"/>
        <v>-91.060621446155253</v>
      </c>
      <c r="BL76" s="123">
        <f t="shared" si="49"/>
        <v>0</v>
      </c>
      <c r="BM76" s="123">
        <f t="shared" si="50"/>
        <v>0</v>
      </c>
      <c r="BN76" s="123">
        <f t="shared" si="51"/>
        <v>0</v>
      </c>
      <c r="BO76" s="123">
        <f t="shared" si="52"/>
        <v>0</v>
      </c>
      <c r="BP76" s="123">
        <f t="shared" si="53"/>
        <v>0</v>
      </c>
      <c r="BQ76" s="123">
        <f t="shared" si="54"/>
        <v>0</v>
      </c>
      <c r="BR76" s="123">
        <f t="shared" si="55"/>
        <v>0</v>
      </c>
      <c r="BS76" s="123"/>
      <c r="BT76" s="123"/>
      <c r="BU76" s="123">
        <f t="shared" si="56"/>
        <v>0</v>
      </c>
      <c r="BV76" s="123">
        <f t="shared" si="57"/>
        <v>0</v>
      </c>
      <c r="BX76" s="123">
        <f t="shared" si="58"/>
        <v>0</v>
      </c>
      <c r="BY76" s="123"/>
    </row>
    <row r="77" spans="5:77" x14ac:dyDescent="0.25">
      <c r="E77">
        <v>66</v>
      </c>
      <c r="F77">
        <v>6500</v>
      </c>
      <c r="G77" s="58">
        <f t="shared" si="79"/>
        <v>-3.0123701511140907E-2</v>
      </c>
      <c r="H77" s="58">
        <f t="shared" si="80"/>
        <v>-5.2684054822031712</v>
      </c>
      <c r="I77">
        <f t="shared" si="81"/>
        <v>14.401970020704457</v>
      </c>
      <c r="J77">
        <f t="shared" si="82"/>
        <v>-8.5453513701562702</v>
      </c>
      <c r="K77" t="str">
        <f t="shared" si="83"/>
        <v>37464.8493963867-1147.56789366271i</v>
      </c>
      <c r="L77" t="str">
        <f t="shared" si="84"/>
        <v>1000000000-48970761.9086609i</v>
      </c>
      <c r="M77" t="str">
        <f t="shared" si="85"/>
        <v>149977.557179277-1.0988771986202i</v>
      </c>
      <c r="N77">
        <f t="shared" ref="N77:N138" si="99">20*LOG(IMABS(IMDIV(K77,IMSUM(K77,M77))))</f>
        <v>-13.980967532611883</v>
      </c>
      <c r="O77">
        <f t="shared" si="86"/>
        <v>-1.4033412073325178</v>
      </c>
      <c r="P77" t="str">
        <f t="shared" si="87"/>
        <v>-4340.60999013126i</v>
      </c>
      <c r="Q77" t="str">
        <f t="shared" si="88"/>
        <v>9360-4013.99687775909i</v>
      </c>
      <c r="R77" t="str">
        <f t="shared" ref="R77:R138" si="100">IMDIV(IMPRODUCT(P77,Q77),IMSUM(P77,Q77))</f>
        <v>1120.33438598315-3340.61497352138i</v>
      </c>
      <c r="S77" t="str">
        <f t="shared" si="89"/>
        <v>1476701.388355-12061902.4969169i</v>
      </c>
      <c r="T77" t="str">
        <f t="shared" ref="T77:T138" si="101">IMDIV(IMPRODUCT(R77,S77),IMSUM(R77,S77))</f>
        <v>1119.82222590163-3339.73132447594i</v>
      </c>
      <c r="U77" t="str">
        <f t="shared" ref="U77:U138" si="102">IMDIV(COMPLEX(1,0),IMSUM(COMPLEX(1,0),COMPLEX(0,F77/200000)))</f>
        <v>0.998944864486886-0.0324657080958238i</v>
      </c>
      <c r="V77">
        <f t="shared" si="90"/>
        <v>10.932365528802087</v>
      </c>
      <c r="W77">
        <f t="shared" si="91"/>
        <v>-73.325011393412893</v>
      </c>
      <c r="X77">
        <f t="shared" ref="X77:X138" si="103">20*LOG(IMABS(U77))</f>
        <v>-4.5848145359586217E-3</v>
      </c>
      <c r="Y77">
        <f t="shared" si="92"/>
        <v>-1.8614580177320734</v>
      </c>
      <c r="AA77" s="123">
        <f t="shared" ref="AA77:AA138" si="104">G77+I77</f>
        <v>14.371846319193317</v>
      </c>
      <c r="AB77" s="123">
        <f t="shared" ref="AB77:AB138" si="105">H77+J77</f>
        <v>-13.813756852359441</v>
      </c>
      <c r="AC77">
        <f t="shared" ref="AC77:AC138" si="106">N77+V77</f>
        <v>-3.0486020038097958</v>
      </c>
      <c r="AD77">
        <f t="shared" ref="AD77:AD138" si="107">O77+W77</f>
        <v>-74.72835260074541</v>
      </c>
      <c r="AE77" s="123">
        <f t="shared" ref="AE77:AE138" si="108">AA77+AC77</f>
        <v>11.323244315383521</v>
      </c>
      <c r="AF77" s="123">
        <f t="shared" ref="AF77:AF138" si="109">AB77+AD77</f>
        <v>-88.542109453104857</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17140</v>
      </c>
      <c r="AX77" t="str">
        <f t="shared" si="94"/>
        <v>8506-3942.89548378912i</v>
      </c>
      <c r="AY77" t="str">
        <f t="shared" ref="AY77:AY138" si="120">IMDIV(IMPRODUCT(AW77,AX77),IMSUM(AW77,AX77))</f>
        <v>5949.33107627142-1720.48810574548i</v>
      </c>
      <c r="AZ77">
        <f t="shared" si="95"/>
        <v>1.8587767085202103</v>
      </c>
      <c r="BA77">
        <f t="shared" si="96"/>
        <v>-16.129353131486745</v>
      </c>
      <c r="BB77">
        <f t="shared" si="97"/>
        <v>-0.13371883233519991</v>
      </c>
      <c r="BC77">
        <f t="shared" si="98"/>
        <v>3.3740029993358078</v>
      </c>
      <c r="BD77" s="123">
        <f t="shared" ref="BD77:BD138" si="121">G77+BB77</f>
        <v>-0.16384253384634082</v>
      </c>
      <c r="BE77" s="123">
        <f t="shared" ref="BE77:BE138" si="122">H77+BC77</f>
        <v>-1.8944024828673633</v>
      </c>
      <c r="BF77">
        <f t="shared" ref="BF77:BF138" si="123">AZ77+V77</f>
        <v>12.791142237322298</v>
      </c>
      <c r="BG77">
        <f t="shared" ref="BG77:BG138" si="124">BA77+W77</f>
        <v>-89.454364524899631</v>
      </c>
      <c r="BH77" s="123">
        <f t="shared" ref="BH77:BH138" si="125">BD77+BF77</f>
        <v>12.627299703475957</v>
      </c>
      <c r="BI77" s="123">
        <f t="shared" ref="BI77:BI138" si="126">BE77+BG77</f>
        <v>-91.348767007766995</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c r="BU77" s="123">
        <f t="shared" ref="BU77:BU137" si="134">IF(AND(AD78&lt;$BU$7,AD77&gt;=$BU$7),(($BU$7-AD77)/(AD78-AD77)*(F78-F77)+F77),0)</f>
        <v>0</v>
      </c>
      <c r="BV77" s="123">
        <f t="shared" ref="BV77:BV137" si="135">IF(BU77=0,0,BH77)</f>
        <v>0</v>
      </c>
      <c r="BX77" s="123">
        <f t="shared" ref="BX77:BX138" si="136">IF(AND(F78&gt;$BX$7,F77&lt;=$BX$7),(($BX$7-F77)/(F78-F77)*(BH78-BH77)+BH77),0)</f>
        <v>0</v>
      </c>
      <c r="BY77" s="123"/>
    </row>
    <row r="78" spans="5:77" x14ac:dyDescent="0.25">
      <c r="E78">
        <v>67</v>
      </c>
      <c r="F78">
        <v>7000</v>
      </c>
      <c r="G78" s="58">
        <f t="shared" si="79"/>
        <v>-3.4917532516885626E-2</v>
      </c>
      <c r="H78" s="58">
        <f t="shared" si="80"/>
        <v>-5.6718084194986389</v>
      </c>
      <c r="I78">
        <f t="shared" si="81"/>
        <v>14.342347158241031</v>
      </c>
      <c r="J78">
        <f t="shared" si="82"/>
        <v>-8.074417520151103</v>
      </c>
      <c r="K78" t="str">
        <f t="shared" si="83"/>
        <v>37459.2397234945-1235.65730233484i</v>
      </c>
      <c r="L78" t="str">
        <f t="shared" si="84"/>
        <v>1000000000-45472850.3437566i</v>
      </c>
      <c r="M78" t="str">
        <f t="shared" si="85"/>
        <v>149977.549782683-1.0207222638855i</v>
      </c>
      <c r="N78">
        <f t="shared" si="99"/>
        <v>-13.981383524651264</v>
      </c>
      <c r="O78">
        <f t="shared" si="86"/>
        <v>-1.5112919265002218</v>
      </c>
      <c r="P78" t="str">
        <f t="shared" si="87"/>
        <v>-4030.5664194076i</v>
      </c>
      <c r="Q78" t="str">
        <f t="shared" si="88"/>
        <v>9360-3727.28281506201i</v>
      </c>
      <c r="R78" t="str">
        <f t="shared" si="100"/>
        <v>1028.84920159526-3177.82528789259i</v>
      </c>
      <c r="S78" t="str">
        <f t="shared" si="89"/>
        <v>1275873.66031374-11223168.5559066i</v>
      </c>
      <c r="T78" t="str">
        <f t="shared" si="101"/>
        <v>1028.36459210829-3176.96491519226i</v>
      </c>
      <c r="U78" t="str">
        <f t="shared" si="102"/>
        <v>0.998776498788983-0.0349571774576144i</v>
      </c>
      <c r="V78">
        <f t="shared" si="90"/>
        <v>10.467681021028996</v>
      </c>
      <c r="W78">
        <f t="shared" si="91"/>
        <v>-74.068091614176609</v>
      </c>
      <c r="X78">
        <f t="shared" si="103"/>
        <v>-5.3168514962532573E-3</v>
      </c>
      <c r="Y78">
        <f t="shared" si="92"/>
        <v>-2.0045344491374539</v>
      </c>
      <c r="AA78" s="123">
        <f t="shared" si="104"/>
        <v>14.307429625724145</v>
      </c>
      <c r="AB78" s="123">
        <f t="shared" si="105"/>
        <v>-13.746225939649742</v>
      </c>
      <c r="AC78">
        <f t="shared" si="106"/>
        <v>-3.5137025036222678</v>
      </c>
      <c r="AD78">
        <f t="shared" si="107"/>
        <v>-75.57938354067683</v>
      </c>
      <c r="AE78" s="123">
        <f t="shared" si="108"/>
        <v>10.793727122101878</v>
      </c>
      <c r="AF78" s="123">
        <f t="shared" si="109"/>
        <v>-89.325609480326577</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17140</v>
      </c>
      <c r="AX78" t="str">
        <f t="shared" si="94"/>
        <v>8506-3661.2600920899i</v>
      </c>
      <c r="AY78" t="str">
        <f t="shared" si="120"/>
        <v>5913.620841673-1602.69414298731i</v>
      </c>
      <c r="AZ78">
        <f t="shared" si="95"/>
        <v>1.7654893762266879</v>
      </c>
      <c r="BA78">
        <f t="shared" si="96"/>
        <v>-15.163896263067603</v>
      </c>
      <c r="BB78">
        <f t="shared" si="97"/>
        <v>-0.11633647338108644</v>
      </c>
      <c r="BC78">
        <f t="shared" si="98"/>
        <v>3.1609570315618303</v>
      </c>
      <c r="BD78" s="123">
        <f t="shared" si="121"/>
        <v>-0.15125400589797205</v>
      </c>
      <c r="BE78" s="123">
        <f t="shared" si="122"/>
        <v>-2.5108513879368086</v>
      </c>
      <c r="BF78">
        <f t="shared" si="123"/>
        <v>12.233170397255684</v>
      </c>
      <c r="BG78">
        <f t="shared" si="124"/>
        <v>-89.231987877244208</v>
      </c>
      <c r="BH78" s="123">
        <f t="shared" si="125"/>
        <v>12.081916391357712</v>
      </c>
      <c r="BI78" s="123">
        <f t="shared" si="126"/>
        <v>-91.742839265181019</v>
      </c>
      <c r="BL78" s="123">
        <f t="shared" si="127"/>
        <v>0</v>
      </c>
      <c r="BM78" s="123">
        <f t="shared" si="128"/>
        <v>0</v>
      </c>
      <c r="BN78" s="123">
        <f t="shared" si="129"/>
        <v>0</v>
      </c>
      <c r="BO78" s="123">
        <f t="shared" si="130"/>
        <v>0</v>
      </c>
      <c r="BP78" s="123">
        <f t="shared" si="131"/>
        <v>0</v>
      </c>
      <c r="BQ78" s="123">
        <f t="shared" si="132"/>
        <v>0</v>
      </c>
      <c r="BR78" s="123">
        <f t="shared" si="133"/>
        <v>0</v>
      </c>
      <c r="BS78" s="123"/>
      <c r="BT78" s="123"/>
      <c r="BU78" s="123">
        <f t="shared" si="134"/>
        <v>0</v>
      </c>
      <c r="BV78" s="123">
        <f t="shared" si="135"/>
        <v>0</v>
      </c>
      <c r="BX78" s="123">
        <f t="shared" si="136"/>
        <v>0</v>
      </c>
      <c r="BY78" s="123"/>
    </row>
    <row r="79" spans="5:77" x14ac:dyDescent="0.25">
      <c r="E79">
        <v>68</v>
      </c>
      <c r="F79">
        <v>7500</v>
      </c>
      <c r="G79" s="58">
        <f t="shared" si="79"/>
        <v>-4.0060718150899552E-2</v>
      </c>
      <c r="H79" s="58">
        <f t="shared" si="80"/>
        <v>-6.0748011367907928</v>
      </c>
      <c r="I79">
        <f t="shared" si="81"/>
        <v>14.292659099384666</v>
      </c>
      <c r="J79">
        <f t="shared" si="82"/>
        <v>-7.6446889945820429</v>
      </c>
      <c r="K79" t="str">
        <f t="shared" si="83"/>
        <v>37453.2163901305-1323.70565608691i</v>
      </c>
      <c r="L79" t="str">
        <f t="shared" si="84"/>
        <v>1000000000-42441326.9875061i</v>
      </c>
      <c r="M79" t="str">
        <f t="shared" si="85"/>
        <v>149977.543811935-0.952927481440984i</v>
      </c>
      <c r="N79">
        <f t="shared" si="99"/>
        <v>-13.981830377886343</v>
      </c>
      <c r="O79">
        <f t="shared" si="86"/>
        <v>-1.6192287519253288</v>
      </c>
      <c r="P79" t="str">
        <f t="shared" si="87"/>
        <v>-3761.86199144709i</v>
      </c>
      <c r="Q79" t="str">
        <f t="shared" si="88"/>
        <v>9360-3478.79729405788i</v>
      </c>
      <c r="R79" t="str">
        <f t="shared" si="100"/>
        <v>945.88764562512-3030.14723029966i</v>
      </c>
      <c r="S79" t="str">
        <f t="shared" si="89"/>
        <v>1113258.43014602-10492211.3342379i</v>
      </c>
      <c r="T79" t="str">
        <f t="shared" si="101"/>
        <v>945.430438861706-3029.30908755043i</v>
      </c>
      <c r="U79" t="str">
        <f t="shared" si="102"/>
        <v>0.998595724762053-0.037447339678577i</v>
      </c>
      <c r="V79">
        <f t="shared" si="90"/>
        <v>10.024429900379809</v>
      </c>
      <c r="W79">
        <f t="shared" si="91"/>
        <v>-74.814749793697729</v>
      </c>
      <c r="X79">
        <f t="shared" si="103"/>
        <v>-6.1029760017995132E-3</v>
      </c>
      <c r="Y79">
        <f t="shared" si="92"/>
        <v>-2.1475858750910586</v>
      </c>
      <c r="AA79" s="123">
        <f t="shared" si="104"/>
        <v>14.252598381233767</v>
      </c>
      <c r="AB79" s="123">
        <f t="shared" si="105"/>
        <v>-13.719490131372837</v>
      </c>
      <c r="AC79">
        <f t="shared" si="106"/>
        <v>-3.9574004775065337</v>
      </c>
      <c r="AD79">
        <f t="shared" si="107"/>
        <v>-76.433978545623063</v>
      </c>
      <c r="AE79" s="123">
        <f t="shared" si="108"/>
        <v>10.295197903727233</v>
      </c>
      <c r="AF79" s="123">
        <f t="shared" si="109"/>
        <v>-90.1534686769959</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17140</v>
      </c>
      <c r="AX79" t="str">
        <f t="shared" si="94"/>
        <v>8506-3417.17608595057i</v>
      </c>
      <c r="AY79" t="str">
        <f t="shared" si="120"/>
        <v>5884.64511948697-1499.70870843703i</v>
      </c>
      <c r="AZ79">
        <f t="shared" si="95"/>
        <v>1.688294050408047</v>
      </c>
      <c r="BA79">
        <f t="shared" si="96"/>
        <v>-14.297547974785386</v>
      </c>
      <c r="BB79">
        <f t="shared" si="97"/>
        <v>-0.10208369040764126</v>
      </c>
      <c r="BC79">
        <f t="shared" si="98"/>
        <v>2.9716228570742436</v>
      </c>
      <c r="BD79" s="123">
        <f t="shared" si="121"/>
        <v>-0.14214440855854082</v>
      </c>
      <c r="BE79" s="123">
        <f t="shared" si="122"/>
        <v>-3.1031782797165492</v>
      </c>
      <c r="BF79">
        <f t="shared" si="123"/>
        <v>11.712723950787856</v>
      </c>
      <c r="BG79">
        <f t="shared" si="124"/>
        <v>-89.112297768483117</v>
      </c>
      <c r="BH79" s="123">
        <f t="shared" si="125"/>
        <v>11.570579542229314</v>
      </c>
      <c r="BI79" s="123">
        <f t="shared" si="126"/>
        <v>-92.215476048199662</v>
      </c>
      <c r="BL79" s="123">
        <f t="shared" si="127"/>
        <v>0</v>
      </c>
      <c r="BM79" s="123">
        <f t="shared" si="128"/>
        <v>0</v>
      </c>
      <c r="BN79" s="123">
        <f t="shared" si="129"/>
        <v>0</v>
      </c>
      <c r="BO79" s="123">
        <f t="shared" si="130"/>
        <v>0</v>
      </c>
      <c r="BP79" s="123">
        <f t="shared" si="131"/>
        <v>0</v>
      </c>
      <c r="BQ79" s="123">
        <f t="shared" si="132"/>
        <v>0</v>
      </c>
      <c r="BR79" s="123">
        <f t="shared" si="133"/>
        <v>0</v>
      </c>
      <c r="BS79" s="123"/>
      <c r="BT79" s="123"/>
      <c r="BU79" s="123">
        <f t="shared" si="134"/>
        <v>0</v>
      </c>
      <c r="BV79" s="123">
        <f t="shared" si="135"/>
        <v>0</v>
      </c>
      <c r="BX79" s="123">
        <f t="shared" si="136"/>
        <v>0</v>
      </c>
      <c r="BY79" s="123"/>
    </row>
    <row r="80" spans="5:77" x14ac:dyDescent="0.25">
      <c r="E80">
        <v>69</v>
      </c>
      <c r="F80">
        <v>8000</v>
      </c>
      <c r="G80" s="58">
        <f t="shared" si="79"/>
        <v>-4.5552042931778926E-2</v>
      </c>
      <c r="H80" s="58">
        <f t="shared" si="80"/>
        <v>-6.4773553581459362</v>
      </c>
      <c r="I80">
        <f t="shared" si="81"/>
        <v>14.250887537639825</v>
      </c>
      <c r="J80">
        <f t="shared" si="82"/>
        <v>-7.2525270356731726</v>
      </c>
      <c r="K80" t="str">
        <f t="shared" si="83"/>
        <v>37446.779796158-1411.71004600046i</v>
      </c>
      <c r="L80" t="str">
        <f t="shared" si="84"/>
        <v>1000000000-39788744.050787i</v>
      </c>
      <c r="M80" t="str">
        <f t="shared" si="85"/>
        <v>149977.538922951-0.893564011193324i</v>
      </c>
      <c r="N80">
        <f t="shared" si="99"/>
        <v>-13.982308066864737</v>
      </c>
      <c r="O80">
        <f t="shared" si="86"/>
        <v>-1.7271515089563829</v>
      </c>
      <c r="P80" t="str">
        <f t="shared" si="87"/>
        <v>-3526.74561698165i</v>
      </c>
      <c r="Q80" t="str">
        <f t="shared" si="88"/>
        <v>9360-3261.37246317926i</v>
      </c>
      <c r="R80" t="str">
        <f t="shared" si="100"/>
        <v>870.825655425073-2895.19995712492i</v>
      </c>
      <c r="S80" t="str">
        <f t="shared" si="89"/>
        <v>979770.607532322-9849726.40786778i</v>
      </c>
      <c r="T80" t="str">
        <f t="shared" si="101"/>
        <v>870.395150652008-2894.38332002999i</v>
      </c>
      <c r="U80" t="str">
        <f t="shared" si="102"/>
        <v>0.998402555910543-0.0399361022364217i</v>
      </c>
      <c r="V80">
        <f t="shared" si="90"/>
        <v>9.6001625736899641</v>
      </c>
      <c r="W80">
        <f t="shared" si="91"/>
        <v>-75.553611286574508</v>
      </c>
      <c r="X80">
        <f t="shared" si="103"/>
        <v>-6.9431586635440327E-3</v>
      </c>
      <c r="Y80">
        <f t="shared" si="92"/>
        <v>-2.2906105191865156</v>
      </c>
      <c r="AA80" s="123">
        <f t="shared" si="104"/>
        <v>14.205335494708045</v>
      </c>
      <c r="AB80" s="123">
        <f t="shared" si="105"/>
        <v>-13.729882393819109</v>
      </c>
      <c r="AC80">
        <f t="shared" si="106"/>
        <v>-4.3821454931747734</v>
      </c>
      <c r="AD80">
        <f t="shared" si="107"/>
        <v>-77.28076279553089</v>
      </c>
      <c r="AE80" s="123">
        <f t="shared" si="108"/>
        <v>9.8231900015332716</v>
      </c>
      <c r="AF80" s="123">
        <f t="shared" si="109"/>
        <v>-91.010645189350001</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17140</v>
      </c>
      <c r="AX80" t="str">
        <f t="shared" si="94"/>
        <v>8506-3203.60258057866i</v>
      </c>
      <c r="AY80" t="str">
        <f t="shared" si="120"/>
        <v>5860.81907610983-1408.95317455307i</v>
      </c>
      <c r="AZ80">
        <f t="shared" si="95"/>
        <v>1.6237737818092812</v>
      </c>
      <c r="BA80">
        <f t="shared" si="96"/>
        <v>-13.51751762477892</v>
      </c>
      <c r="BB80">
        <f t="shared" si="97"/>
        <v>-9.0262776490254729E-2</v>
      </c>
      <c r="BC80">
        <f t="shared" si="98"/>
        <v>2.8025348900448148</v>
      </c>
      <c r="BD80" s="123">
        <f t="shared" si="121"/>
        <v>-0.13581481942203366</v>
      </c>
      <c r="BE80" s="123">
        <f t="shared" si="122"/>
        <v>-3.6748204681011214</v>
      </c>
      <c r="BF80">
        <f t="shared" si="123"/>
        <v>11.223936355499244</v>
      </c>
      <c r="BG80">
        <f t="shared" si="124"/>
        <v>-89.071128911353426</v>
      </c>
      <c r="BH80" s="123">
        <f t="shared" si="125"/>
        <v>11.08812153607721</v>
      </c>
      <c r="BI80" s="123">
        <f t="shared" si="126"/>
        <v>-92.745949379454544</v>
      </c>
      <c r="BL80" s="123">
        <f t="shared" si="127"/>
        <v>0</v>
      </c>
      <c r="BM80" s="123">
        <f t="shared" si="128"/>
        <v>0</v>
      </c>
      <c r="BN80" s="123">
        <f t="shared" si="129"/>
        <v>0</v>
      </c>
      <c r="BO80" s="123">
        <f t="shared" si="130"/>
        <v>0</v>
      </c>
      <c r="BP80" s="123">
        <f t="shared" si="131"/>
        <v>0</v>
      </c>
      <c r="BQ80" s="123">
        <f t="shared" si="132"/>
        <v>0</v>
      </c>
      <c r="BR80" s="123">
        <f t="shared" si="133"/>
        <v>0</v>
      </c>
      <c r="BS80" s="123"/>
      <c r="BT80" s="123"/>
      <c r="BU80" s="123">
        <f t="shared" si="134"/>
        <v>0</v>
      </c>
      <c r="BV80" s="123">
        <f t="shared" si="135"/>
        <v>0</v>
      </c>
      <c r="BX80" s="123">
        <f t="shared" si="136"/>
        <v>0</v>
      </c>
      <c r="BY80" s="123"/>
    </row>
    <row r="81" spans="5:77" x14ac:dyDescent="0.25">
      <c r="E81">
        <v>70</v>
      </c>
      <c r="F81">
        <v>8500</v>
      </c>
      <c r="G81" s="58">
        <f t="shared" si="79"/>
        <v>-5.1390212783628202E-2</v>
      </c>
      <c r="H81" s="58">
        <f t="shared" si="80"/>
        <v>-6.8794430155681239</v>
      </c>
      <c r="I81">
        <f t="shared" si="81"/>
        <v>14.215484183203344</v>
      </c>
      <c r="J81">
        <f t="shared" si="82"/>
        <v>-6.8942597772674059</v>
      </c>
      <c r="K81" t="str">
        <f t="shared" si="83"/>
        <v>37439.9303686622-1499.66756801601i</v>
      </c>
      <c r="L81" t="str">
        <f t="shared" si="84"/>
        <v>1000000000-37448229.6948583i</v>
      </c>
      <c r="M81" t="str">
        <f t="shared" si="85"/>
        <v>149977.534869468-0.841153195327127i</v>
      </c>
      <c r="N81">
        <f t="shared" si="99"/>
        <v>-13.982816570012391</v>
      </c>
      <c r="O81">
        <f t="shared" si="86"/>
        <v>-1.8350598858904006</v>
      </c>
      <c r="P81" t="str">
        <f t="shared" si="87"/>
        <v>-3319.28999245332i</v>
      </c>
      <c r="Q81" t="str">
        <f t="shared" si="88"/>
        <v>9360-3069.52702416872i</v>
      </c>
      <c r="R81" t="str">
        <f t="shared" si="100"/>
        <v>802.992177782436-2771.1948974073i</v>
      </c>
      <c r="S81" t="str">
        <f t="shared" si="89"/>
        <v>868865.747191007-9280713.71352758i</v>
      </c>
      <c r="T81" t="str">
        <f t="shared" si="101"/>
        <v>802.587318505128-2770.39920287534i</v>
      </c>
      <c r="U81" t="str">
        <f t="shared" si="102"/>
        <v>0.998197006656726-0.0424233727829109i</v>
      </c>
      <c r="V81">
        <f t="shared" si="90"/>
        <v>9.1930086388390979</v>
      </c>
      <c r="W81">
        <f t="shared" si="91"/>
        <v>-76.277268595939191</v>
      </c>
      <c r="X81">
        <f t="shared" si="103"/>
        <v>-7.8373680852157779E-3</v>
      </c>
      <c r="Y81">
        <f t="shared" si="92"/>
        <v>-2.4336066070176021</v>
      </c>
      <c r="AA81" s="123">
        <f t="shared" si="104"/>
        <v>14.164093970419716</v>
      </c>
      <c r="AB81" s="123">
        <f t="shared" si="105"/>
        <v>-13.773702792835529</v>
      </c>
      <c r="AC81">
        <f t="shared" si="106"/>
        <v>-4.7898079311732928</v>
      </c>
      <c r="AD81">
        <f t="shared" si="107"/>
        <v>-78.112328481829593</v>
      </c>
      <c r="AE81" s="123">
        <f t="shared" si="108"/>
        <v>9.3742860392464227</v>
      </c>
      <c r="AF81" s="123">
        <f t="shared" si="109"/>
        <v>-91.886031274665129</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17140</v>
      </c>
      <c r="AX81" t="str">
        <f t="shared" si="94"/>
        <v>8506-3015.15536995639i</v>
      </c>
      <c r="AY81" t="str">
        <f t="shared" si="120"/>
        <v>5840.99605621141-1328.40413383267i</v>
      </c>
      <c r="AZ81">
        <f t="shared" si="95"/>
        <v>1.5693533172672538</v>
      </c>
      <c r="BA81">
        <f t="shared" si="96"/>
        <v>-12.812710078804836</v>
      </c>
      <c r="BB81">
        <f t="shared" si="97"/>
        <v>-8.0357439281174725E-2</v>
      </c>
      <c r="BC81">
        <f t="shared" si="98"/>
        <v>2.6508032768600387</v>
      </c>
      <c r="BD81" s="123">
        <f t="shared" si="121"/>
        <v>-0.13174765206480293</v>
      </c>
      <c r="BE81" s="123">
        <f t="shared" si="122"/>
        <v>-4.2286397387080852</v>
      </c>
      <c r="BF81">
        <f t="shared" si="123"/>
        <v>10.762361956106352</v>
      </c>
      <c r="BG81">
        <f t="shared" si="124"/>
        <v>-89.089978674744032</v>
      </c>
      <c r="BH81" s="123">
        <f t="shared" si="125"/>
        <v>10.630614304041549</v>
      </c>
      <c r="BI81" s="123">
        <f t="shared" si="126"/>
        <v>-93.318618413452114</v>
      </c>
      <c r="BL81" s="123">
        <f t="shared" si="127"/>
        <v>0</v>
      </c>
      <c r="BM81" s="123">
        <f t="shared" si="128"/>
        <v>0</v>
      </c>
      <c r="BN81" s="123">
        <f t="shared" si="129"/>
        <v>0</v>
      </c>
      <c r="BO81" s="123">
        <f t="shared" si="130"/>
        <v>0</v>
      </c>
      <c r="BP81" s="123">
        <f t="shared" si="131"/>
        <v>0</v>
      </c>
      <c r="BQ81" s="123">
        <f t="shared" si="132"/>
        <v>0</v>
      </c>
      <c r="BR81" s="123">
        <f t="shared" si="133"/>
        <v>0</v>
      </c>
      <c r="BS81" s="123"/>
      <c r="BT81" s="123"/>
      <c r="BU81" s="123">
        <f t="shared" si="134"/>
        <v>0</v>
      </c>
      <c r="BV81" s="123">
        <f t="shared" si="135"/>
        <v>0</v>
      </c>
      <c r="BX81" s="123">
        <f t="shared" si="136"/>
        <v>0</v>
      </c>
      <c r="BY81" s="123"/>
    </row>
    <row r="82" spans="5:77" x14ac:dyDescent="0.25">
      <c r="E82">
        <v>71</v>
      </c>
      <c r="F82">
        <v>9000</v>
      </c>
      <c r="G82" s="58">
        <f t="shared" si="79"/>
        <v>-5.7573856051389788E-2</v>
      </c>
      <c r="H82" s="58">
        <f t="shared" si="80"/>
        <v>-7.2810362614759221</v>
      </c>
      <c r="I82">
        <f t="shared" si="81"/>
        <v>14.185250304387846</v>
      </c>
      <c r="J82">
        <f t="shared" si="82"/>
        <v>-6.5664046740842279</v>
      </c>
      <c r="K82" t="str">
        <f t="shared" si="83"/>
        <v>37432.6685618786-1587.57532325077i</v>
      </c>
      <c r="L82" t="str">
        <f t="shared" si="84"/>
        <v>1000000000-35367772.4895884i</v>
      </c>
      <c r="M82" t="str">
        <f t="shared" si="85"/>
        <v>149977.531471482-0.794542623406101i</v>
      </c>
      <c r="N82">
        <f t="shared" si="99"/>
        <v>-13.983355868172428</v>
      </c>
      <c r="O82">
        <f t="shared" si="86"/>
        <v>-1.9429534718699111</v>
      </c>
      <c r="P82" t="str">
        <f t="shared" si="87"/>
        <v>-3134.88499287258i</v>
      </c>
      <c r="Q82" t="str">
        <f t="shared" si="88"/>
        <v>9360-2898.99774504823i</v>
      </c>
      <c r="R82" t="str">
        <f t="shared" si="100"/>
        <v>741.714311996162-2656.74213137445i</v>
      </c>
      <c r="S82" t="str">
        <f t="shared" si="89"/>
        <v>775734.889673732-8773353.08467157i</v>
      </c>
      <c r="T82" t="str">
        <f t="shared" si="101"/>
        <v>741.333828581827-2655.96688439596i</v>
      </c>
      <c r="U82" t="str">
        <f t="shared" si="102"/>
        <v>0.997979092338016-0.0449090591552107i</v>
      </c>
      <c r="V82">
        <f t="shared" si="90"/>
        <v>8.8014846912979472</v>
      </c>
      <c r="W82">
        <f t="shared" si="91"/>
        <v>-76.981099738771135</v>
      </c>
      <c r="X82">
        <f t="shared" si="103"/>
        <v>-8.7855708671930096E-3</v>
      </c>
      <c r="Y82">
        <f t="shared" si="92"/>
        <v>-2.5765723663094895</v>
      </c>
      <c r="AA82" s="123">
        <f t="shared" si="104"/>
        <v>14.127676448336457</v>
      </c>
      <c r="AB82" s="123">
        <f t="shared" si="105"/>
        <v>-13.847440935560151</v>
      </c>
      <c r="AC82">
        <f t="shared" si="106"/>
        <v>-5.1818711768744805</v>
      </c>
      <c r="AD82">
        <f t="shared" si="107"/>
        <v>-78.924053210641048</v>
      </c>
      <c r="AE82" s="123">
        <f t="shared" si="108"/>
        <v>8.9458052714619765</v>
      </c>
      <c r="AF82" s="123">
        <f t="shared" si="109"/>
        <v>-92.771494146201206</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17140</v>
      </c>
      <c r="AX82" t="str">
        <f t="shared" si="94"/>
        <v>8506-2847.64673829214i</v>
      </c>
      <c r="AY82" t="str">
        <f t="shared" si="120"/>
        <v>5824.33043255045-1256.45439972469i</v>
      </c>
      <c r="AZ82">
        <f t="shared" si="95"/>
        <v>1.5230672683678796</v>
      </c>
      <c r="BA82">
        <f t="shared" si="96"/>
        <v>-12.173587640928156</v>
      </c>
      <c r="BB82">
        <f t="shared" si="97"/>
        <v>-7.197978547316243E-2</v>
      </c>
      <c r="BC82">
        <f t="shared" si="98"/>
        <v>2.5140200582869032</v>
      </c>
      <c r="BD82" s="123">
        <f t="shared" si="121"/>
        <v>-0.12955364152455223</v>
      </c>
      <c r="BE82" s="123">
        <f t="shared" si="122"/>
        <v>-4.7670162031890193</v>
      </c>
      <c r="BF82">
        <f t="shared" si="123"/>
        <v>10.324551959665827</v>
      </c>
      <c r="BG82">
        <f t="shared" si="124"/>
        <v>-89.154687379699297</v>
      </c>
      <c r="BH82" s="123">
        <f t="shared" si="125"/>
        <v>10.194998318141275</v>
      </c>
      <c r="BI82" s="123">
        <f t="shared" si="126"/>
        <v>-93.921703582888313</v>
      </c>
      <c r="BL82" s="123">
        <f t="shared" si="127"/>
        <v>0</v>
      </c>
      <c r="BM82" s="123">
        <f t="shared" si="128"/>
        <v>0</v>
      </c>
      <c r="BN82" s="123">
        <f t="shared" si="129"/>
        <v>0</v>
      </c>
      <c r="BO82" s="123">
        <f t="shared" si="130"/>
        <v>0</v>
      </c>
      <c r="BP82" s="123">
        <f t="shared" si="131"/>
        <v>0</v>
      </c>
      <c r="BQ82" s="123">
        <f t="shared" si="132"/>
        <v>0</v>
      </c>
      <c r="BR82" s="123">
        <f t="shared" si="133"/>
        <v>0</v>
      </c>
      <c r="BS82" s="123"/>
      <c r="BT82" s="123"/>
      <c r="BU82" s="123">
        <f t="shared" si="134"/>
        <v>0</v>
      </c>
      <c r="BV82" s="123">
        <f t="shared" si="135"/>
        <v>0</v>
      </c>
      <c r="BX82" s="123">
        <f t="shared" si="136"/>
        <v>0</v>
      </c>
      <c r="BY82" s="123"/>
    </row>
    <row r="83" spans="5:77" x14ac:dyDescent="0.25">
      <c r="E83">
        <v>72</v>
      </c>
      <c r="F83">
        <v>9500</v>
      </c>
      <c r="G83" s="58">
        <f t="shared" si="79"/>
        <v>-6.4101524571809634E-2</v>
      </c>
      <c r="H83" s="58">
        <f t="shared" si="80"/>
        <v>-7.6821074809220269</v>
      </c>
      <c r="I83">
        <f t="shared" si="81"/>
        <v>14.159249177808279</v>
      </c>
      <c r="J83">
        <f t="shared" si="82"/>
        <v>-6.2657661944523193</v>
      </c>
      <c r="K83" t="str">
        <f t="shared" si="83"/>
        <v>37424.9948571179-1675.43041831507i</v>
      </c>
      <c r="L83" t="str">
        <f t="shared" si="84"/>
        <v>1000000000-33506310.7796101i</v>
      </c>
      <c r="M83" t="str">
        <f t="shared" si="85"/>
        <v>149977.528594964-0.752820957659986i</v>
      </c>
      <c r="N83">
        <f t="shared" si="99"/>
        <v>-13.983925943666339</v>
      </c>
      <c r="O83">
        <f t="shared" si="86"/>
        <v>-2.0508317829378058</v>
      </c>
      <c r="P83" t="str">
        <f t="shared" si="87"/>
        <v>-2969.89104587929i</v>
      </c>
      <c r="Q83" t="str">
        <f t="shared" si="88"/>
        <v>9360-2746.41891636148i</v>
      </c>
      <c r="R83" t="str">
        <f t="shared" si="100"/>
        <v>686.345077486819-2550.72852408733i</v>
      </c>
      <c r="S83" t="str">
        <f t="shared" si="89"/>
        <v>696781.42878188-8318211.25715695i</v>
      </c>
      <c r="T83" t="str">
        <f t="shared" si="101"/>
        <v>685.987588796715-2549.97324671131i</v>
      </c>
      <c r="U83" t="str">
        <f t="shared" si="102"/>
        <v>0.997748829204108-0.0473930693871951i</v>
      </c>
      <c r="V83">
        <f t="shared" si="90"/>
        <v>8.4243731272299218</v>
      </c>
      <c r="W83">
        <f t="shared" si="91"/>
        <v>-77.662424259675703</v>
      </c>
      <c r="X83">
        <f t="shared" si="103"/>
        <v>-9.7877316107141711E-3</v>
      </c>
      <c r="Y83">
        <f t="shared" si="92"/>
        <v>-2.7195060270496665</v>
      </c>
      <c r="AA83" s="123">
        <f t="shared" si="104"/>
        <v>14.09514765323647</v>
      </c>
      <c r="AB83" s="123">
        <f t="shared" si="105"/>
        <v>-13.947873675374346</v>
      </c>
      <c r="AC83">
        <f t="shared" si="106"/>
        <v>-5.5595528164364172</v>
      </c>
      <c r="AD83">
        <f t="shared" si="107"/>
        <v>-79.713256042613509</v>
      </c>
      <c r="AE83" s="123">
        <f t="shared" si="108"/>
        <v>8.5355948368000529</v>
      </c>
      <c r="AF83" s="123">
        <f t="shared" si="109"/>
        <v>-93.661129717987848</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17140</v>
      </c>
      <c r="AX83" t="str">
        <f t="shared" si="94"/>
        <v>8506-2697.77059417151i</v>
      </c>
      <c r="AY83" t="str">
        <f t="shared" si="120"/>
        <v>5810.18785920575-1191.81291550036i</v>
      </c>
      <c r="AZ83">
        <f t="shared" si="95"/>
        <v>1.4833978990754817</v>
      </c>
      <c r="BA83">
        <f t="shared" si="96"/>
        <v>-11.591983908990493</v>
      </c>
      <c r="BB83">
        <f t="shared" si="97"/>
        <v>-6.4834286033118735E-2</v>
      </c>
      <c r="BC83">
        <f t="shared" si="98"/>
        <v>2.3901749349553141</v>
      </c>
      <c r="BD83" s="123">
        <f t="shared" si="121"/>
        <v>-0.12893581060492837</v>
      </c>
      <c r="BE83" s="123">
        <f t="shared" si="122"/>
        <v>-5.2919325459667128</v>
      </c>
      <c r="BF83">
        <f t="shared" si="123"/>
        <v>9.9077710263054044</v>
      </c>
      <c r="BG83">
        <f t="shared" si="124"/>
        <v>-89.254408168666203</v>
      </c>
      <c r="BH83" s="123">
        <f t="shared" si="125"/>
        <v>9.7788352157004752</v>
      </c>
      <c r="BI83" s="123">
        <f t="shared" si="126"/>
        <v>-94.546340714632919</v>
      </c>
      <c r="BL83" s="123">
        <f t="shared" si="127"/>
        <v>0</v>
      </c>
      <c r="BM83" s="123">
        <f t="shared" si="128"/>
        <v>0</v>
      </c>
      <c r="BN83" s="123">
        <f t="shared" si="129"/>
        <v>0</v>
      </c>
      <c r="BO83" s="123">
        <f t="shared" si="130"/>
        <v>0</v>
      </c>
      <c r="BP83" s="123">
        <f t="shared" si="131"/>
        <v>0</v>
      </c>
      <c r="BQ83" s="123">
        <f t="shared" si="132"/>
        <v>0</v>
      </c>
      <c r="BR83" s="123">
        <f t="shared" si="133"/>
        <v>0</v>
      </c>
      <c r="BS83" s="123"/>
      <c r="BT83" s="123"/>
      <c r="BU83" s="123">
        <f t="shared" si="134"/>
        <v>0</v>
      </c>
      <c r="BV83" s="123">
        <f t="shared" si="135"/>
        <v>0</v>
      </c>
      <c r="BX83" s="123">
        <f t="shared" si="136"/>
        <v>0</v>
      </c>
      <c r="BY83" s="123"/>
    </row>
    <row r="84" spans="5:77" x14ac:dyDescent="0.25">
      <c r="E84">
        <v>73</v>
      </c>
      <c r="F84">
        <v>10000</v>
      </c>
      <c r="G84" s="58">
        <f t="shared" si="79"/>
        <v>-7.0971694798394935E-2</v>
      </c>
      <c r="H84" s="58">
        <f t="shared" si="80"/>
        <v>-8.0826293035435981</v>
      </c>
      <c r="I84">
        <f t="shared" si="81"/>
        <v>14.136742153095398</v>
      </c>
      <c r="J84">
        <f t="shared" si="82"/>
        <v>-5.9894667917322018</v>
      </c>
      <c r="K84" t="str">
        <f t="shared" si="83"/>
        <v>37416.9097626873-1763.2299656277i</v>
      </c>
      <c r="L84" t="str">
        <f t="shared" si="84"/>
        <v>1000000000-31830995.2406296i</v>
      </c>
      <c r="M84" t="str">
        <f t="shared" si="85"/>
        <v>149977.526138456-0.715258091128664i</v>
      </c>
      <c r="N84">
        <f t="shared" si="99"/>
        <v>-13.984526779673967</v>
      </c>
      <c r="O84">
        <f t="shared" si="86"/>
        <v>-2.1586942803525777</v>
      </c>
      <c r="P84" t="str">
        <f t="shared" si="87"/>
        <v>-2821.39649358532i</v>
      </c>
      <c r="Q84" t="str">
        <f t="shared" si="88"/>
        <v>9360-2609.09797054341i</v>
      </c>
      <c r="R84" t="str">
        <f t="shared" si="100"/>
        <v>636.279131900773-2452.23940988577i</v>
      </c>
      <c r="S84" t="str">
        <f t="shared" si="89"/>
        <v>629272.743397855-7907672.86590701i</v>
      </c>
      <c r="T84" t="str">
        <f t="shared" si="101"/>
        <v>635.943216329321-2451.50361580394i</v>
      </c>
      <c r="U84" t="str">
        <f t="shared" si="102"/>
        <v>0.997506234413965-0.0498753117206983i</v>
      </c>
      <c r="V84">
        <f t="shared" si="90"/>
        <v>8.0606446395614579</v>
      </c>
      <c r="W84">
        <f t="shared" si="91"/>
        <v>-78.319903161225028</v>
      </c>
      <c r="X84">
        <f t="shared" si="103"/>
        <v>-1.0843812922199398E-2</v>
      </c>
      <c r="Y84">
        <f t="shared" si="92"/>
        <v>-2.8624058216183719</v>
      </c>
      <c r="AA84" s="123">
        <f t="shared" si="104"/>
        <v>14.065770458297003</v>
      </c>
      <c r="AB84" s="123">
        <f t="shared" si="105"/>
        <v>-14.0720960952758</v>
      </c>
      <c r="AC84">
        <f t="shared" si="106"/>
        <v>-5.923882140112509</v>
      </c>
      <c r="AD84">
        <f t="shared" si="107"/>
        <v>-80.478597441577605</v>
      </c>
      <c r="AE84" s="123">
        <f t="shared" si="108"/>
        <v>8.1418883181844937</v>
      </c>
      <c r="AF84" s="123">
        <f t="shared" si="109"/>
        <v>-94.550693536853402</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17140</v>
      </c>
      <c r="AX84" t="str">
        <f t="shared" si="94"/>
        <v>8506-2562.88206446293i</v>
      </c>
      <c r="AY84" t="str">
        <f t="shared" si="120"/>
        <v>5798.08515366863-1133.43172956128i</v>
      </c>
      <c r="AZ84">
        <f t="shared" si="95"/>
        <v>1.449160161147349</v>
      </c>
      <c r="BA84">
        <f t="shared" si="96"/>
        <v>-11.060913248686278</v>
      </c>
      <c r="BB84">
        <f t="shared" si="97"/>
        <v>-5.8692868725564375E-2</v>
      </c>
      <c r="BC84">
        <f t="shared" si="98"/>
        <v>2.2775838252165888</v>
      </c>
      <c r="BD84" s="123">
        <f t="shared" si="121"/>
        <v>-0.1296645635239593</v>
      </c>
      <c r="BE84" s="123">
        <f t="shared" si="122"/>
        <v>-5.8050454783270098</v>
      </c>
      <c r="BF84">
        <f t="shared" si="123"/>
        <v>9.5098048007088067</v>
      </c>
      <c r="BG84">
        <f t="shared" si="124"/>
        <v>-89.380816409911304</v>
      </c>
      <c r="BH84" s="123">
        <f t="shared" si="125"/>
        <v>9.3801402371848468</v>
      </c>
      <c r="BI84" s="123">
        <f t="shared" si="126"/>
        <v>-95.185861888238321</v>
      </c>
      <c r="BL84" s="123">
        <f t="shared" si="127"/>
        <v>0</v>
      </c>
      <c r="BM84" s="123">
        <f t="shared" si="128"/>
        <v>0</v>
      </c>
      <c r="BN84" s="123">
        <f t="shared" si="129"/>
        <v>0</v>
      </c>
      <c r="BO84" s="123">
        <f t="shared" si="130"/>
        <v>0</v>
      </c>
      <c r="BP84" s="123">
        <f t="shared" si="131"/>
        <v>0</v>
      </c>
      <c r="BQ84" s="123">
        <f t="shared" si="132"/>
        <v>0</v>
      </c>
      <c r="BR84" s="123">
        <f t="shared" si="133"/>
        <v>0</v>
      </c>
      <c r="BS84" s="123"/>
      <c r="BT84" s="123"/>
      <c r="BU84" s="123">
        <f t="shared" si="134"/>
        <v>0</v>
      </c>
      <c r="BV84" s="123">
        <f t="shared" si="135"/>
        <v>0</v>
      </c>
      <c r="BX84" s="123">
        <f t="shared" si="136"/>
        <v>0</v>
      </c>
      <c r="BY84" s="123"/>
    </row>
    <row r="85" spans="5:77" x14ac:dyDescent="0.25">
      <c r="E85">
        <v>74</v>
      </c>
      <c r="F85">
        <v>15000</v>
      </c>
      <c r="G85" s="58">
        <f t="shared" si="79"/>
        <v>-0.15812441267282684</v>
      </c>
      <c r="H85" s="58">
        <f t="shared" si="80"/>
        <v>-12.051806547222679</v>
      </c>
      <c r="I85">
        <f t="shared" si="81"/>
        <v>14.016295813822811</v>
      </c>
      <c r="J85">
        <f t="shared" si="82"/>
        <v>-4.1251017789238515</v>
      </c>
      <c r="K85" t="str">
        <f t="shared" si="83"/>
        <v>37313.563334938-2637.53982145202i</v>
      </c>
      <c r="L85" t="str">
        <f t="shared" si="84"/>
        <v>1000000000-21220663.4937531i</v>
      </c>
      <c r="M85" t="str">
        <f t="shared" si="85"/>
        <v>149977.513497501-0.477106936644702i</v>
      </c>
      <c r="N85">
        <f t="shared" si="99"/>
        <v>-13.992223320679901</v>
      </c>
      <c r="O85">
        <f t="shared" si="86"/>
        <v>-3.2363102700342519</v>
      </c>
      <c r="P85" t="str">
        <f t="shared" si="87"/>
        <v>-1880.93099572355i</v>
      </c>
      <c r="Q85" t="str">
        <f t="shared" si="88"/>
        <v>9360-1739.39864702894i</v>
      </c>
      <c r="R85" t="str">
        <f t="shared" si="100"/>
        <v>328.792148741849-1753.75835016859i</v>
      </c>
      <c r="S85" t="str">
        <f t="shared" si="89"/>
        <v>280657.943700094-5290276.503988i</v>
      </c>
      <c r="T85" t="str">
        <f t="shared" si="101"/>
        <v>328.60453106467-1753.18762740196i</v>
      </c>
      <c r="U85" t="str">
        <f t="shared" si="102"/>
        <v>0.994406463642014-0.074580484773151i</v>
      </c>
      <c r="V85">
        <f t="shared" si="90"/>
        <v>5.0021604055530506</v>
      </c>
      <c r="W85">
        <f t="shared" si="91"/>
        <v>-83.673245590206378</v>
      </c>
      <c r="X85">
        <f t="shared" si="103"/>
        <v>-2.4360614431044699E-2</v>
      </c>
      <c r="Y85">
        <f t="shared" si="92"/>
        <v>-4.2891542211522138</v>
      </c>
      <c r="AA85" s="123">
        <f t="shared" si="104"/>
        <v>13.858171401149985</v>
      </c>
      <c r="AB85" s="123">
        <f t="shared" si="105"/>
        <v>-16.176908326146531</v>
      </c>
      <c r="AC85">
        <f t="shared" si="106"/>
        <v>-8.9900629151268507</v>
      </c>
      <c r="AD85">
        <f t="shared" si="107"/>
        <v>-86.90955586024063</v>
      </c>
      <c r="AE85" s="123">
        <f t="shared" si="108"/>
        <v>4.8681084860231341</v>
      </c>
      <c r="AF85" s="123">
        <f t="shared" si="109"/>
        <v>-103.08646418638716</v>
      </c>
      <c r="AI85" s="123">
        <f t="shared" si="110"/>
        <v>0</v>
      </c>
      <c r="AJ85" s="123">
        <f t="shared" si="111"/>
        <v>0</v>
      </c>
      <c r="AK85" s="123">
        <f t="shared" si="112"/>
        <v>0</v>
      </c>
      <c r="AL85" s="123">
        <f t="shared" si="113"/>
        <v>0</v>
      </c>
      <c r="AM85" s="123">
        <f t="shared" si="114"/>
        <v>0</v>
      </c>
      <c r="AN85" s="123">
        <f t="shared" si="115"/>
        <v>0</v>
      </c>
      <c r="AO85" s="123">
        <f t="shared" si="116"/>
        <v>0</v>
      </c>
      <c r="AP85" s="123"/>
      <c r="AQ85" s="123">
        <f t="shared" si="117"/>
        <v>0</v>
      </c>
      <c r="AR85" s="123">
        <f t="shared" si="118"/>
        <v>0</v>
      </c>
      <c r="AS85" s="123">
        <f t="shared" si="119"/>
        <v>0</v>
      </c>
      <c r="AW85" t="str">
        <f t="shared" si="93"/>
        <v>17140</v>
      </c>
      <c r="AX85" t="str">
        <f t="shared" si="94"/>
        <v>8506-1708.58804297529i</v>
      </c>
      <c r="AY85" t="str">
        <f t="shared" si="120"/>
        <v>5735.43696806548-759.794901026335i</v>
      </c>
      <c r="AZ85">
        <f t="shared" si="95"/>
        <v>1.2674847249548413</v>
      </c>
      <c r="BA85">
        <f t="shared" si="96"/>
        <v>-7.5462498430085745</v>
      </c>
      <c r="BB85">
        <f t="shared" si="97"/>
        <v>-2.6504981804404304E-2</v>
      </c>
      <c r="BC85">
        <f t="shared" si="98"/>
        <v>1.5425642275917137</v>
      </c>
      <c r="BD85" s="123">
        <f t="shared" si="121"/>
        <v>-0.18462939447723115</v>
      </c>
      <c r="BE85" s="123">
        <f t="shared" si="122"/>
        <v>-10.509242319630966</v>
      </c>
      <c r="BF85">
        <f t="shared" si="123"/>
        <v>6.2696451305078922</v>
      </c>
      <c r="BG85">
        <f t="shared" si="124"/>
        <v>-91.219495433214945</v>
      </c>
      <c r="BH85" s="123">
        <f t="shared" si="125"/>
        <v>6.0850157360306607</v>
      </c>
      <c r="BI85" s="123">
        <f t="shared" si="126"/>
        <v>-101.72873775284592</v>
      </c>
      <c r="BL85" s="123">
        <f t="shared" si="127"/>
        <v>0</v>
      </c>
      <c r="BM85" s="123">
        <f t="shared" si="128"/>
        <v>0</v>
      </c>
      <c r="BN85" s="123">
        <f t="shared" si="129"/>
        <v>0</v>
      </c>
      <c r="BO85" s="123">
        <f t="shared" si="130"/>
        <v>0</v>
      </c>
      <c r="BP85" s="123">
        <f t="shared" si="131"/>
        <v>0</v>
      </c>
      <c r="BQ85" s="123">
        <f t="shared" si="132"/>
        <v>0</v>
      </c>
      <c r="BR85" s="123">
        <f t="shared" si="133"/>
        <v>0</v>
      </c>
      <c r="BS85" s="123"/>
      <c r="BT85" s="123"/>
      <c r="BU85" s="123">
        <f t="shared" si="134"/>
        <v>0</v>
      </c>
      <c r="BV85" s="123">
        <f t="shared" si="135"/>
        <v>0</v>
      </c>
      <c r="BX85" s="123">
        <f t="shared" si="136"/>
        <v>0</v>
      </c>
      <c r="BY85" s="123"/>
    </row>
    <row r="86" spans="5:77" x14ac:dyDescent="0.25">
      <c r="E86">
        <v>75</v>
      </c>
      <c r="F86">
        <v>20000</v>
      </c>
      <c r="G86" s="58">
        <f t="shared" si="79"/>
        <v>-0.27734277756934234</v>
      </c>
      <c r="H86" s="58">
        <f t="shared" si="80"/>
        <v>-15.938161081145124</v>
      </c>
      <c r="I86">
        <f t="shared" si="81"/>
        <v>13.972173361376431</v>
      </c>
      <c r="J86">
        <f t="shared" si="82"/>
        <v>-3.1301770365923938</v>
      </c>
      <c r="K86" t="str">
        <f t="shared" si="83"/>
        <v>37169.833738193-3503.17356939712i</v>
      </c>
      <c r="L86" t="str">
        <f t="shared" si="84"/>
        <v>1000000000-15915497.6203148i</v>
      </c>
      <c r="M86" t="str">
        <f t="shared" si="85"/>
        <v>149977.509069807-0.357900660872228i</v>
      </c>
      <c r="N86">
        <f t="shared" si="99"/>
        <v>-14.002976225760158</v>
      </c>
      <c r="O86">
        <f t="shared" si="86"/>
        <v>-4.3116032035299279</v>
      </c>
      <c r="P86" t="str">
        <f t="shared" si="87"/>
        <v>-1410.69824679266i</v>
      </c>
      <c r="Q86" t="str">
        <f t="shared" si="88"/>
        <v>9360-1304.5489852717i</v>
      </c>
      <c r="R86" t="str">
        <f t="shared" si="100"/>
        <v>196.111032326897-1353.80829618338i</v>
      </c>
      <c r="S86" t="str">
        <f t="shared" si="89"/>
        <v>158064.176936366-3972585.22999898i</v>
      </c>
      <c r="T86" t="str">
        <f t="shared" si="101"/>
        <v>195.995578325736-1353.35217213824i</v>
      </c>
      <c r="U86" t="str">
        <f t="shared" si="102"/>
        <v>0.99009900990099-0.099009900990099i</v>
      </c>
      <c r="V86">
        <f t="shared" si="90"/>
        <v>2.6751474448047734</v>
      </c>
      <c r="W86">
        <f t="shared" si="91"/>
        <v>-87.470195992867517</v>
      </c>
      <c r="X86">
        <f t="shared" si="103"/>
        <v>-4.3213737826427526E-2</v>
      </c>
      <c r="Y86">
        <f t="shared" si="92"/>
        <v>-5.710594325555058</v>
      </c>
      <c r="AA86" s="123">
        <f t="shared" si="104"/>
        <v>13.694830583807088</v>
      </c>
      <c r="AB86" s="123">
        <f t="shared" si="105"/>
        <v>-19.068338117737518</v>
      </c>
      <c r="AC86">
        <f t="shared" si="106"/>
        <v>-11.327828780955384</v>
      </c>
      <c r="AD86">
        <f t="shared" si="107"/>
        <v>-91.781799196397444</v>
      </c>
      <c r="AE86" s="123">
        <f t="shared" si="108"/>
        <v>2.3670018028517035</v>
      </c>
      <c r="AF86" s="123">
        <f t="shared" si="109"/>
        <v>-110.85013731413497</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17140</v>
      </c>
      <c r="AX86" t="str">
        <f t="shared" si="94"/>
        <v>8506-1281.44103223146i</v>
      </c>
      <c r="AY86" t="str">
        <f t="shared" si="120"/>
        <v>5713.346280871-570.949970240665i</v>
      </c>
      <c r="AZ86">
        <f t="shared" si="95"/>
        <v>1.2015667116853559</v>
      </c>
      <c r="BA86">
        <f t="shared" si="96"/>
        <v>-5.7067749858116237</v>
      </c>
      <c r="BB86">
        <f t="shared" si="97"/>
        <v>-1.4993428990934239E-2</v>
      </c>
      <c r="BC86">
        <f t="shared" si="98"/>
        <v>1.1634088632571957</v>
      </c>
      <c r="BD86" s="123">
        <f t="shared" si="121"/>
        <v>-0.29233620656027659</v>
      </c>
      <c r="BE86" s="123">
        <f t="shared" si="122"/>
        <v>-14.774752217887928</v>
      </c>
      <c r="BF86">
        <f t="shared" si="123"/>
        <v>3.8767141564901291</v>
      </c>
      <c r="BG86">
        <f t="shared" si="124"/>
        <v>-93.176970978679137</v>
      </c>
      <c r="BH86" s="123">
        <f t="shared" si="125"/>
        <v>3.5843779499298525</v>
      </c>
      <c r="BI86" s="123">
        <f t="shared" si="126"/>
        <v>-107.95172319656706</v>
      </c>
      <c r="BL86" s="123">
        <f t="shared" si="127"/>
        <v>0</v>
      </c>
      <c r="BM86" s="123">
        <f t="shared" si="128"/>
        <v>0</v>
      </c>
      <c r="BN86" s="123">
        <f t="shared" si="129"/>
        <v>0</v>
      </c>
      <c r="BO86" s="123">
        <f t="shared" si="130"/>
        <v>0</v>
      </c>
      <c r="BP86" s="123">
        <f t="shared" si="131"/>
        <v>0</v>
      </c>
      <c r="BQ86" s="123">
        <f t="shared" si="132"/>
        <v>0</v>
      </c>
      <c r="BR86" s="123">
        <f t="shared" si="133"/>
        <v>0</v>
      </c>
      <c r="BS86" s="123"/>
      <c r="BT86" s="123"/>
      <c r="BU86" s="123">
        <f t="shared" si="134"/>
        <v>0</v>
      </c>
      <c r="BV86" s="123">
        <f t="shared" si="135"/>
        <v>0</v>
      </c>
      <c r="BX86" s="123">
        <f t="shared" si="136"/>
        <v>0</v>
      </c>
      <c r="BY86" s="123"/>
    </row>
    <row r="87" spans="5:77" x14ac:dyDescent="0.25">
      <c r="E87">
        <v>76</v>
      </c>
      <c r="F87">
        <v>25000</v>
      </c>
      <c r="G87" s="58">
        <f t="shared" si="79"/>
        <v>-0.42608263042875449</v>
      </c>
      <c r="H87" s="58">
        <f t="shared" si="80"/>
        <v>-19.719871918208202</v>
      </c>
      <c r="I87">
        <f t="shared" si="81"/>
        <v>13.951386573836855</v>
      </c>
      <c r="J87">
        <f t="shared" si="82"/>
        <v>-2.5178494500054915</v>
      </c>
      <c r="K87" t="str">
        <f t="shared" si="83"/>
        <v>36986.6575413358-4357.38702894751i</v>
      </c>
      <c r="L87" t="str">
        <f t="shared" si="84"/>
        <v>1000000000-12732398.0962518i</v>
      </c>
      <c r="M87" t="str">
        <f t="shared" si="85"/>
        <v>149977.507019826-0.286346625948951i</v>
      </c>
      <c r="N87">
        <f t="shared" si="99"/>
        <v>-14.016762551177713</v>
      </c>
      <c r="O87">
        <f t="shared" si="86"/>
        <v>-5.3838476768539572</v>
      </c>
      <c r="P87" t="str">
        <f t="shared" si="87"/>
        <v>-1128.55859743413i</v>
      </c>
      <c r="Q87" t="str">
        <f t="shared" si="88"/>
        <v>9360-1043.63918821736i</v>
      </c>
      <c r="R87" t="str">
        <f t="shared" si="100"/>
        <v>129.119086440519-1098.59361947992i</v>
      </c>
      <c r="S87" t="str">
        <f t="shared" si="89"/>
        <v>101218.669803914-3179877.63306617i</v>
      </c>
      <c r="T87" t="str">
        <f t="shared" si="101"/>
        <v>129.041900090936-1098.21698703039i</v>
      </c>
      <c r="U87" t="str">
        <f t="shared" si="102"/>
        <v>0.984615384615385-0.123076923076923i</v>
      </c>
      <c r="V87">
        <f t="shared" si="90"/>
        <v>0.80598024357632247</v>
      </c>
      <c r="W87">
        <f t="shared" si="91"/>
        <v>-90.423437058875237</v>
      </c>
      <c r="X87">
        <f t="shared" si="103"/>
        <v>-6.7333826589681289E-2</v>
      </c>
      <c r="Y87">
        <f t="shared" si="92"/>
        <v>-7.1250178312196599</v>
      </c>
      <c r="AA87" s="123">
        <f t="shared" si="104"/>
        <v>13.525303943408101</v>
      </c>
      <c r="AB87" s="123">
        <f t="shared" si="105"/>
        <v>-22.237721368213695</v>
      </c>
      <c r="AC87">
        <f t="shared" si="106"/>
        <v>-13.210782307601391</v>
      </c>
      <c r="AD87">
        <f t="shared" si="107"/>
        <v>-95.807284735729198</v>
      </c>
      <c r="AE87" s="123">
        <f t="shared" si="108"/>
        <v>0.31452163580670955</v>
      </c>
      <c r="AF87" s="123">
        <f t="shared" si="109"/>
        <v>-118.0450061039429</v>
      </c>
      <c r="AI87" s="123">
        <f t="shared" si="110"/>
        <v>25891.295953325782</v>
      </c>
      <c r="AJ87" s="123">
        <f t="shared" si="111"/>
        <v>-119.25471640235982</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17140</v>
      </c>
      <c r="AX87" t="str">
        <f t="shared" si="94"/>
        <v>8506-1025.15282578517i</v>
      </c>
      <c r="AY87" t="str">
        <f t="shared" si="120"/>
        <v>5703.09244983218-457.169854686823i</v>
      </c>
      <c r="AZ87">
        <f t="shared" si="95"/>
        <v>1.1706262196405954</v>
      </c>
      <c r="BA87">
        <f t="shared" si="96"/>
        <v>-4.5831305871030272</v>
      </c>
      <c r="BB87">
        <f t="shared" si="97"/>
        <v>-9.6210006808028648E-3</v>
      </c>
      <c r="BC87">
        <f t="shared" si="98"/>
        <v>0.93314877007894614</v>
      </c>
      <c r="BD87" s="123">
        <f t="shared" si="121"/>
        <v>-0.43570363110955734</v>
      </c>
      <c r="BE87" s="123">
        <f t="shared" si="122"/>
        <v>-18.786723148129255</v>
      </c>
      <c r="BF87">
        <f t="shared" si="123"/>
        <v>1.976606463216918</v>
      </c>
      <c r="BG87">
        <f t="shared" si="124"/>
        <v>-95.006567645978265</v>
      </c>
      <c r="BH87" s="123">
        <f t="shared" si="125"/>
        <v>1.5409028321073608</v>
      </c>
      <c r="BI87" s="123">
        <f t="shared" si="126"/>
        <v>-113.79329079410752</v>
      </c>
      <c r="BL87" s="123">
        <f t="shared" si="127"/>
        <v>29402.030194656581</v>
      </c>
      <c r="BM87" s="123">
        <f t="shared" si="128"/>
        <v>-118.66176307575645</v>
      </c>
      <c r="BN87" s="123">
        <f t="shared" si="129"/>
        <v>0</v>
      </c>
      <c r="BO87" s="123">
        <f t="shared" si="130"/>
        <v>0</v>
      </c>
      <c r="BP87" s="123">
        <f t="shared" si="131"/>
        <v>0</v>
      </c>
      <c r="BQ87" s="123">
        <f t="shared" si="132"/>
        <v>0</v>
      </c>
      <c r="BR87" s="123">
        <f t="shared" si="133"/>
        <v>0</v>
      </c>
      <c r="BS87" s="123"/>
      <c r="BT87" s="123"/>
      <c r="BU87" s="123">
        <f t="shared" si="134"/>
        <v>0</v>
      </c>
      <c r="BV87" s="123">
        <f t="shared" si="135"/>
        <v>0</v>
      </c>
      <c r="BX87" s="123">
        <f t="shared" si="136"/>
        <v>0</v>
      </c>
      <c r="BY87" s="123"/>
    </row>
    <row r="88" spans="5:77" x14ac:dyDescent="0.25">
      <c r="E88">
        <v>77</v>
      </c>
      <c r="F88">
        <v>30000</v>
      </c>
      <c r="G88" s="58">
        <f t="shared" si="79"/>
        <v>-0.60138915545177429</v>
      </c>
      <c r="H88" s="58">
        <f t="shared" si="80"/>
        <v>-23.379272488135388</v>
      </c>
      <c r="I88">
        <f t="shared" si="81"/>
        <v>13.939996182905288</v>
      </c>
      <c r="J88">
        <f t="shared" si="82"/>
        <v>-2.1044690562107413</v>
      </c>
      <c r="K88" t="str">
        <f t="shared" si="83"/>
        <v>36765.2126440854-5197.55840644309i</v>
      </c>
      <c r="L88" t="str">
        <f t="shared" si="84"/>
        <v>1000000000-10610331.7468765i</v>
      </c>
      <c r="M88" t="str">
        <f t="shared" si="85"/>
        <v>149977.5059061-0.2386340035286i</v>
      </c>
      <c r="N88">
        <f t="shared" si="99"/>
        <v>-14.033553351863004</v>
      </c>
      <c r="O88">
        <f t="shared" si="86"/>
        <v>-6.4523164779582407</v>
      </c>
      <c r="P88" t="str">
        <f t="shared" si="87"/>
        <v>-940.465497861774i</v>
      </c>
      <c r="Q88" t="str">
        <f t="shared" si="88"/>
        <v>9360-869.69932351447i</v>
      </c>
      <c r="R88" t="str">
        <f t="shared" si="100"/>
        <v>91.0884215040085-922.849573049674i</v>
      </c>
      <c r="S88" t="str">
        <f t="shared" si="89"/>
        <v>70312.4891146084-2650717.83963049i</v>
      </c>
      <c r="T88" t="str">
        <f t="shared" si="101"/>
        <v>91.0335018060001-922.53006491246i</v>
      </c>
      <c r="U88" t="str">
        <f t="shared" si="102"/>
        <v>0.97799511002445-0.146699266503667i</v>
      </c>
      <c r="V88">
        <f t="shared" si="90"/>
        <v>-0.754938321631619</v>
      </c>
      <c r="W88">
        <f t="shared" si="91"/>
        <v>-92.895191718799694</v>
      </c>
      <c r="X88">
        <f t="shared" si="103"/>
        <v>-9.663316679379233E-2</v>
      </c>
      <c r="Y88">
        <f t="shared" si="92"/>
        <v>-8.5307673847238625</v>
      </c>
      <c r="AA88" s="123">
        <f t="shared" si="104"/>
        <v>13.338607027453513</v>
      </c>
      <c r="AB88" s="123">
        <f t="shared" si="105"/>
        <v>-25.483741544346131</v>
      </c>
      <c r="AC88">
        <f t="shared" si="106"/>
        <v>-14.788491673494622</v>
      </c>
      <c r="AD88">
        <f t="shared" si="107"/>
        <v>-99.347508196757929</v>
      </c>
      <c r="AE88" s="123">
        <f t="shared" si="108"/>
        <v>-1.4498846460411094</v>
      </c>
      <c r="AF88" s="123">
        <f t="shared" si="109"/>
        <v>-124.83124974110406</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17140</v>
      </c>
      <c r="AX88" t="str">
        <f t="shared" si="94"/>
        <v>8506-854.294021487643i</v>
      </c>
      <c r="AY88" t="str">
        <f t="shared" si="120"/>
        <v>5697.5147503769-381.160677677359i</v>
      </c>
      <c r="AZ88">
        <f t="shared" si="95"/>
        <v>1.1537027264363178</v>
      </c>
      <c r="BA88">
        <f t="shared" si="96"/>
        <v>-3.827354658158924</v>
      </c>
      <c r="BB88">
        <f t="shared" si="97"/>
        <v>-6.6907982755149368E-3</v>
      </c>
      <c r="BC88">
        <f t="shared" si="98"/>
        <v>0.77872470030703556</v>
      </c>
      <c r="BD88" s="123">
        <f t="shared" si="121"/>
        <v>-0.60807995372728918</v>
      </c>
      <c r="BE88" s="123">
        <f t="shared" si="122"/>
        <v>-22.600547787828354</v>
      </c>
      <c r="BF88">
        <f t="shared" si="123"/>
        <v>0.39876440480469877</v>
      </c>
      <c r="BG88">
        <f t="shared" si="124"/>
        <v>-96.722546376958618</v>
      </c>
      <c r="BH88" s="123">
        <f t="shared" si="125"/>
        <v>-0.20931554892259041</v>
      </c>
      <c r="BI88" s="123">
        <f t="shared" si="126"/>
        <v>-119.32309416478697</v>
      </c>
      <c r="BL88" s="123">
        <f t="shared" si="127"/>
        <v>0</v>
      </c>
      <c r="BM88" s="123">
        <f t="shared" si="128"/>
        <v>0</v>
      </c>
      <c r="BN88" s="123">
        <f t="shared" si="129"/>
        <v>0</v>
      </c>
      <c r="BO88" s="123">
        <f t="shared" si="130"/>
        <v>0</v>
      </c>
      <c r="BP88" s="123">
        <f t="shared" si="131"/>
        <v>0</v>
      </c>
      <c r="BQ88" s="123">
        <f t="shared" si="132"/>
        <v>0</v>
      </c>
      <c r="BR88" s="123">
        <f t="shared" si="133"/>
        <v>0</v>
      </c>
      <c r="BS88" s="123"/>
      <c r="BT88" s="123"/>
      <c r="BU88" s="123">
        <f t="shared" si="134"/>
        <v>0</v>
      </c>
      <c r="BV88" s="123">
        <f t="shared" si="135"/>
        <v>0</v>
      </c>
      <c r="BX88" s="123">
        <f t="shared" si="136"/>
        <v>0</v>
      </c>
      <c r="BY88" s="123"/>
    </row>
    <row r="89" spans="5:77" x14ac:dyDescent="0.25">
      <c r="E89">
        <v>78</v>
      </c>
      <c r="F89">
        <v>35000</v>
      </c>
      <c r="G89" s="58">
        <f t="shared" si="79"/>
        <v>-0.8000708024989911</v>
      </c>
      <c r="H89" s="58">
        <f t="shared" si="80"/>
        <v>-26.903066075485295</v>
      </c>
      <c r="I89">
        <f t="shared" si="81"/>
        <v>13.933094142581711</v>
      </c>
      <c r="J89">
        <f t="shared" si="82"/>
        <v>-1.8070831047386482</v>
      </c>
      <c r="K89" t="str">
        <f t="shared" si="83"/>
        <v>36506.8996754136-6021.2136581668i</v>
      </c>
      <c r="L89" t="str">
        <f t="shared" si="84"/>
        <v>1000000000-9094570.06875131i</v>
      </c>
      <c r="M89" t="str">
        <f t="shared" si="85"/>
        <v>149977.505234505-0.204549538547349i</v>
      </c>
      <c r="N89">
        <f t="shared" si="99"/>
        <v>-14.053313721187683</v>
      </c>
      <c r="O89">
        <f t="shared" si="86"/>
        <v>-7.516293863481442</v>
      </c>
      <c r="P89" t="str">
        <f t="shared" si="87"/>
        <v>-806.11328388152i</v>
      </c>
      <c r="Q89" t="str">
        <f t="shared" si="88"/>
        <v>9360-745.456563012403i</v>
      </c>
      <c r="R89" t="str">
        <f t="shared" si="100"/>
        <v>67.5683975125196-794.912740272186i</v>
      </c>
      <c r="S89" t="str">
        <f t="shared" si="89"/>
        <v>51667.7935505759-2272467.77626597i</v>
      </c>
      <c r="T89" t="str">
        <f t="shared" si="101"/>
        <v>67.5274444577299-794.635852123508i</v>
      </c>
      <c r="U89" t="str">
        <f t="shared" si="102"/>
        <v>0.970285021224985-0.169799878714372i</v>
      </c>
      <c r="V89">
        <f t="shared" si="90"/>
        <v>-2.0963939657653086</v>
      </c>
      <c r="W89">
        <f t="shared" si="91"/>
        <v>-95.068990908346208</v>
      </c>
      <c r="X89">
        <f t="shared" si="103"/>
        <v>-0.13100672988593903</v>
      </c>
      <c r="Y89">
        <f t="shared" si="92"/>
        <v>-9.9262475717488527</v>
      </c>
      <c r="AA89" s="123">
        <f t="shared" si="104"/>
        <v>13.133023340082719</v>
      </c>
      <c r="AB89" s="123">
        <f t="shared" si="105"/>
        <v>-28.710149180223944</v>
      </c>
      <c r="AC89">
        <f t="shared" si="106"/>
        <v>-16.149707686952993</v>
      </c>
      <c r="AD89">
        <f t="shared" si="107"/>
        <v>-102.58528477182765</v>
      </c>
      <c r="AE89" s="123">
        <f t="shared" si="108"/>
        <v>-3.0166843468702744</v>
      </c>
      <c r="AF89" s="123">
        <f t="shared" si="109"/>
        <v>-131.29543395205158</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17140</v>
      </c>
      <c r="AX89" t="str">
        <f t="shared" si="94"/>
        <v>8506-732.25201841798i</v>
      </c>
      <c r="AY89" t="str">
        <f t="shared" si="120"/>
        <v>5694.1489435668-326.805253785573i</v>
      </c>
      <c r="AZ89">
        <f t="shared" si="95"/>
        <v>1.1434584178767255</v>
      </c>
      <c r="BA89">
        <f t="shared" si="96"/>
        <v>-3.2847835490452533</v>
      </c>
      <c r="BB89">
        <f t="shared" si="97"/>
        <v>-4.9199280573626212E-3</v>
      </c>
      <c r="BC89">
        <f t="shared" si="98"/>
        <v>0.66804851899948514</v>
      </c>
      <c r="BD89" s="123">
        <f t="shared" si="121"/>
        <v>-0.80499073055635373</v>
      </c>
      <c r="BE89" s="123">
        <f t="shared" si="122"/>
        <v>-26.235017556485811</v>
      </c>
      <c r="BF89">
        <f t="shared" si="123"/>
        <v>-0.95293554788858303</v>
      </c>
      <c r="BG89">
        <f t="shared" si="124"/>
        <v>-98.353774457391467</v>
      </c>
      <c r="BH89" s="123">
        <f t="shared" si="125"/>
        <v>-1.7579262784449368</v>
      </c>
      <c r="BI89" s="123">
        <f t="shared" si="126"/>
        <v>-124.58879201387728</v>
      </c>
      <c r="BL89" s="123">
        <f t="shared" si="127"/>
        <v>0</v>
      </c>
      <c r="BM89" s="123">
        <f t="shared" si="128"/>
        <v>0</v>
      </c>
      <c r="BN89" s="123">
        <f t="shared" si="129"/>
        <v>0</v>
      </c>
      <c r="BO89" s="123">
        <f t="shared" si="130"/>
        <v>0</v>
      </c>
      <c r="BP89" s="123">
        <f t="shared" si="131"/>
        <v>0</v>
      </c>
      <c r="BQ89" s="123">
        <f t="shared" si="132"/>
        <v>0</v>
      </c>
      <c r="BR89" s="123">
        <f t="shared" si="133"/>
        <v>0</v>
      </c>
      <c r="BS89" s="123"/>
      <c r="BT89" s="123"/>
      <c r="BU89" s="123">
        <f t="shared" si="134"/>
        <v>0</v>
      </c>
      <c r="BV89" s="123">
        <f t="shared" si="135"/>
        <v>0</v>
      </c>
      <c r="BX89" s="123">
        <f t="shared" si="136"/>
        <v>0</v>
      </c>
      <c r="BY89" s="123"/>
    </row>
    <row r="90" spans="5:77" x14ac:dyDescent="0.25">
      <c r="E90">
        <v>79</v>
      </c>
      <c r="F90">
        <v>40000</v>
      </c>
      <c r="G90" s="58">
        <f t="shared" si="79"/>
        <v>-1.0188601686377428</v>
      </c>
      <c r="H90" s="58">
        <f t="shared" si="80"/>
        <v>-30.282217093247496</v>
      </c>
      <c r="I90">
        <f t="shared" si="81"/>
        <v>13.928600677585912</v>
      </c>
      <c r="J90">
        <f t="shared" si="82"/>
        <v>-1.5830506890743525</v>
      </c>
      <c r="K90" t="str">
        <f t="shared" si="83"/>
        <v>36213.3204080537-6826.0486612427i</v>
      </c>
      <c r="L90" t="str">
        <f t="shared" si="84"/>
        <v>1000000000-7957748.8101574i</v>
      </c>
      <c r="M90" t="str">
        <f t="shared" si="85"/>
        <v>149977.504798592-0.178984314588351i</v>
      </c>
      <c r="N90">
        <f t="shared" si="99"/>
        <v>-14.076002998185755</v>
      </c>
      <c r="O90">
        <f t="shared" si="86"/>
        <v>-8.5750809182749776</v>
      </c>
      <c r="P90" t="str">
        <f t="shared" si="87"/>
        <v>-705.34912339633i</v>
      </c>
      <c r="Q90" t="str">
        <f t="shared" si="88"/>
        <v>9360-652.274492635852i</v>
      </c>
      <c r="R90" t="str">
        <f t="shared" si="100"/>
        <v>52.0583565554635-697.798305632279i</v>
      </c>
      <c r="S90" t="str">
        <f t="shared" si="89"/>
        <v>39562.9453670662-1988650.1225858i</v>
      </c>
      <c r="T90" t="str">
        <f t="shared" si="101"/>
        <v>52.026695379077-697.55427257231i</v>
      </c>
      <c r="U90" t="str">
        <f t="shared" si="102"/>
        <v>0.961538461538461-0.192307692307692i</v>
      </c>
      <c r="V90">
        <f t="shared" si="90"/>
        <v>-3.2746811764950143</v>
      </c>
      <c r="W90">
        <f t="shared" si="91"/>
        <v>-97.044476672004407</v>
      </c>
      <c r="X90">
        <f t="shared" si="103"/>
        <v>-0.17033339298780789</v>
      </c>
      <c r="Y90">
        <f t="shared" si="92"/>
        <v>-11.309934826985332</v>
      </c>
      <c r="AA90" s="123">
        <f t="shared" si="104"/>
        <v>12.90974050894817</v>
      </c>
      <c r="AB90" s="123">
        <f t="shared" si="105"/>
        <v>-31.865267782321848</v>
      </c>
      <c r="AC90">
        <f t="shared" si="106"/>
        <v>-17.350684174680769</v>
      </c>
      <c r="AD90">
        <f t="shared" si="107"/>
        <v>-105.61955759027938</v>
      </c>
      <c r="AE90" s="123">
        <f t="shared" si="108"/>
        <v>-4.4409436657325987</v>
      </c>
      <c r="AF90" s="123">
        <f t="shared" si="109"/>
        <v>-137.48482537260122</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17140</v>
      </c>
      <c r="AX90" t="str">
        <f t="shared" si="94"/>
        <v>8506-640.720516115732i</v>
      </c>
      <c r="AY90" t="str">
        <f t="shared" si="120"/>
        <v>5691.96334564844-286.009200408949i</v>
      </c>
      <c r="AZ90">
        <f t="shared" si="95"/>
        <v>1.1367932780469616</v>
      </c>
      <c r="BA90">
        <f t="shared" si="96"/>
        <v>-2.8765738062801671</v>
      </c>
      <c r="BB90">
        <f t="shared" si="97"/>
        <v>-3.7689296795410487E-3</v>
      </c>
      <c r="BC90">
        <f t="shared" si="98"/>
        <v>0.5848667432953748</v>
      </c>
      <c r="BD90" s="123">
        <f t="shared" si="121"/>
        <v>-1.0226290983172839</v>
      </c>
      <c r="BE90" s="123">
        <f t="shared" si="122"/>
        <v>-29.697350349952121</v>
      </c>
      <c r="BF90">
        <f t="shared" si="123"/>
        <v>-2.1378878984480529</v>
      </c>
      <c r="BG90">
        <f t="shared" si="124"/>
        <v>-99.92105047828457</v>
      </c>
      <c r="BH90" s="123">
        <f t="shared" si="125"/>
        <v>-3.1605169967653368</v>
      </c>
      <c r="BI90" s="123">
        <f t="shared" si="126"/>
        <v>-129.6184008282367</v>
      </c>
      <c r="BL90" s="123">
        <f t="shared" si="127"/>
        <v>0</v>
      </c>
      <c r="BM90" s="123">
        <f t="shared" si="128"/>
        <v>0</v>
      </c>
      <c r="BN90" s="123">
        <f t="shared" si="129"/>
        <v>0</v>
      </c>
      <c r="BO90" s="123">
        <f t="shared" si="130"/>
        <v>0</v>
      </c>
      <c r="BP90" s="123">
        <f t="shared" si="131"/>
        <v>0</v>
      </c>
      <c r="BQ90" s="123">
        <f t="shared" si="132"/>
        <v>0</v>
      </c>
      <c r="BR90" s="123">
        <f t="shared" si="133"/>
        <v>0</v>
      </c>
      <c r="BS90" s="123"/>
      <c r="BT90" s="123"/>
      <c r="BU90" s="123">
        <f t="shared" si="134"/>
        <v>0</v>
      </c>
      <c r="BV90" s="123">
        <f t="shared" si="135"/>
        <v>0</v>
      </c>
      <c r="BX90" s="123">
        <f t="shared" si="136"/>
        <v>0</v>
      </c>
      <c r="BY90" s="123"/>
    </row>
    <row r="91" spans="5:77" x14ac:dyDescent="0.25">
      <c r="E91">
        <v>80</v>
      </c>
      <c r="F91">
        <v>45000</v>
      </c>
      <c r="G91" s="58">
        <f t="shared" si="79"/>
        <v>-1.2545493953247915</v>
      </c>
      <c r="H91" s="58">
        <f t="shared" si="80"/>
        <v>-33.511595389553349</v>
      </c>
      <c r="I91">
        <f t="shared" si="81"/>
        <v>13.925513681159119</v>
      </c>
      <c r="J91">
        <f t="shared" si="82"/>
        <v>-1.4082877837126435</v>
      </c>
      <c r="K91" t="str">
        <f t="shared" si="83"/>
        <v>35886.2537928152-7609.94782821976i</v>
      </c>
      <c r="L91" t="str">
        <f t="shared" si="84"/>
        <v>1000000000-7073554.49791769i</v>
      </c>
      <c r="M91" t="str">
        <f t="shared" si="85"/>
        <v>149977.504499722-0.159099282274983i</v>
      </c>
      <c r="N91">
        <f t="shared" si="99"/>
        <v>-14.101575032005512</v>
      </c>
      <c r="O91">
        <f t="shared" si="86"/>
        <v>-9.6279990012708776</v>
      </c>
      <c r="P91" t="str">
        <f t="shared" si="87"/>
        <v>-626.976998574516i</v>
      </c>
      <c r="Q91" t="str">
        <f t="shared" si="88"/>
        <v>9360-579.799549009646i</v>
      </c>
      <c r="R91" t="str">
        <f t="shared" si="100"/>
        <v>41.3111759835618-621.650785077712i</v>
      </c>
      <c r="S91" t="str">
        <f t="shared" si="89"/>
        <v>31262.2069597513-1767835.78716778i</v>
      </c>
      <c r="T91" t="str">
        <f t="shared" si="101"/>
        <v>41.285991353611-621.432780705896i</v>
      </c>
      <c r="U91" t="str">
        <f t="shared" si="102"/>
        <v>0.951814396192742-0.214158239143367i</v>
      </c>
      <c r="V91">
        <f t="shared" si="90"/>
        <v>-4.3274672285368307</v>
      </c>
      <c r="W91">
        <f t="shared" si="91"/>
        <v>-98.879442828608106</v>
      </c>
      <c r="X91">
        <f t="shared" si="103"/>
        <v>-0.2144773078354662</v>
      </c>
      <c r="Y91">
        <f t="shared" si="92"/>
        <v>-12.680386129899249</v>
      </c>
      <c r="AA91" s="123">
        <f t="shared" si="104"/>
        <v>12.670964285834327</v>
      </c>
      <c r="AB91" s="123">
        <f t="shared" si="105"/>
        <v>-34.919883173265994</v>
      </c>
      <c r="AC91">
        <f t="shared" si="106"/>
        <v>-18.429042260542342</v>
      </c>
      <c r="AD91">
        <f t="shared" si="107"/>
        <v>-108.50744182987899</v>
      </c>
      <c r="AE91" s="123">
        <f t="shared" si="108"/>
        <v>-5.7580779747080157</v>
      </c>
      <c r="AF91" s="123">
        <f t="shared" si="109"/>
        <v>-143.42732500314497</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17140</v>
      </c>
      <c r="AX91" t="str">
        <f t="shared" si="94"/>
        <v>8506-569.529347658429i</v>
      </c>
      <c r="AY91" t="str">
        <f t="shared" si="120"/>
        <v>5690.46442455053-254.263687408473i</v>
      </c>
      <c r="AZ91">
        <f t="shared" si="95"/>
        <v>1.1322162887363272</v>
      </c>
      <c r="BA91">
        <f t="shared" si="96"/>
        <v>-2.5584125412116356</v>
      </c>
      <c r="BB91">
        <f t="shared" si="97"/>
        <v>-2.9790637164154267E-3</v>
      </c>
      <c r="BC91">
        <f t="shared" si="98"/>
        <v>0.52007936607750105</v>
      </c>
      <c r="BD91" s="123">
        <f t="shared" si="121"/>
        <v>-1.2575284590412068</v>
      </c>
      <c r="BE91" s="123">
        <f t="shared" si="122"/>
        <v>-32.991516023475846</v>
      </c>
      <c r="BF91">
        <f t="shared" si="123"/>
        <v>-3.1952509398005038</v>
      </c>
      <c r="BG91">
        <f t="shared" si="124"/>
        <v>-101.43785536981974</v>
      </c>
      <c r="BH91" s="123">
        <f t="shared" si="125"/>
        <v>-4.4527793988417104</v>
      </c>
      <c r="BI91" s="123">
        <f t="shared" si="126"/>
        <v>-134.42937139329558</v>
      </c>
      <c r="BL91" s="123">
        <f t="shared" si="127"/>
        <v>0</v>
      </c>
      <c r="BM91" s="123">
        <f t="shared" si="128"/>
        <v>0</v>
      </c>
      <c r="BN91" s="123">
        <f t="shared" si="129"/>
        <v>0</v>
      </c>
      <c r="BO91" s="123">
        <f t="shared" si="130"/>
        <v>0</v>
      </c>
      <c r="BP91" s="123">
        <f t="shared" si="131"/>
        <v>0</v>
      </c>
      <c r="BQ91" s="123">
        <f t="shared" si="132"/>
        <v>0</v>
      </c>
      <c r="BR91" s="123">
        <f t="shared" si="133"/>
        <v>0</v>
      </c>
      <c r="BS91" s="123"/>
      <c r="BT91" s="123"/>
      <c r="BU91" s="123">
        <f t="shared" si="134"/>
        <v>0</v>
      </c>
      <c r="BV91" s="123">
        <f t="shared" si="135"/>
        <v>0</v>
      </c>
      <c r="BX91" s="123">
        <f t="shared" si="136"/>
        <v>0</v>
      </c>
      <c r="BY91" s="123"/>
    </row>
    <row r="92" spans="5:77" x14ac:dyDescent="0.25">
      <c r="E92">
        <v>81</v>
      </c>
      <c r="F92">
        <v>50000</v>
      </c>
      <c r="G92" s="58">
        <f t="shared" si="79"/>
        <v>-1.5040939103956938</v>
      </c>
      <c r="H92" s="58">
        <f t="shared" si="80"/>
        <v>-36.589462369493909</v>
      </c>
      <c r="I92">
        <f t="shared" si="81"/>
        <v>13.923302422193348</v>
      </c>
      <c r="J92">
        <f t="shared" si="82"/>
        <v>-1.2681885708998635</v>
      </c>
      <c r="K92" t="str">
        <f t="shared" si="83"/>
        <v>35527.6302560438-8370.99892435088i</v>
      </c>
      <c r="L92" t="str">
        <f t="shared" si="84"/>
        <v>1000000000-6366199.04812592i</v>
      </c>
      <c r="M92" t="str">
        <f t="shared" si="85"/>
        <v>149977.504285938-0.143190714843061i</v>
      </c>
      <c r="N92">
        <f t="shared" si="99"/>
        <v>-14.129978483110659</v>
      </c>
      <c r="O92">
        <f t="shared" si="86"/>
        <v>-10.674392465529372</v>
      </c>
      <c r="P92" t="str">
        <f t="shared" si="87"/>
        <v>-564.279298717064i</v>
      </c>
      <c r="Q92" t="str">
        <f t="shared" si="88"/>
        <v>9360-521.819594108682i</v>
      </c>
      <c r="R92" t="str">
        <f t="shared" si="100"/>
        <v>33.5663322303536-560.384388858986i</v>
      </c>
      <c r="S92" t="str">
        <f t="shared" si="89"/>
        <v>25323.8918308187-1591146.71969131i</v>
      </c>
      <c r="T92" t="str">
        <f t="shared" si="101"/>
        <v>33.5458341444593-560.187478420394i</v>
      </c>
      <c r="U92" t="str">
        <f t="shared" si="102"/>
        <v>0.941176470588235-0.235294117647059i</v>
      </c>
      <c r="V92">
        <f t="shared" si="90"/>
        <v>-5.2810754996188267</v>
      </c>
      <c r="W92">
        <f t="shared" si="91"/>
        <v>-100.60930066188757</v>
      </c>
      <c r="X92">
        <f t="shared" si="103"/>
        <v>-0.2632893872234946</v>
      </c>
      <c r="Y92">
        <f t="shared" si="92"/>
        <v>-14.036246388084637</v>
      </c>
      <c r="AA92" s="123">
        <f t="shared" si="104"/>
        <v>12.419208511797654</v>
      </c>
      <c r="AB92" s="123">
        <f t="shared" si="105"/>
        <v>-37.857650940393775</v>
      </c>
      <c r="AC92">
        <f t="shared" si="106"/>
        <v>-19.411053982729484</v>
      </c>
      <c r="AD92">
        <f t="shared" si="107"/>
        <v>-111.28369312741694</v>
      </c>
      <c r="AE92" s="123">
        <f t="shared" si="108"/>
        <v>-6.9918454709318301</v>
      </c>
      <c r="AF92" s="123">
        <f t="shared" si="109"/>
        <v>-149.14134406781071</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17140</v>
      </c>
      <c r="AX92" t="str">
        <f t="shared" si="94"/>
        <v>8506-512.576412892586i</v>
      </c>
      <c r="AY92" t="str">
        <f t="shared" si="120"/>
        <v>5689.39201428754-228.858752505486i</v>
      </c>
      <c r="AZ92">
        <f t="shared" si="95"/>
        <v>1.1289386972261011</v>
      </c>
      <c r="BA92">
        <f t="shared" si="96"/>
        <v>-2.3035111110182114</v>
      </c>
      <c r="BB92">
        <f t="shared" si="97"/>
        <v>-2.4137048578616828E-3</v>
      </c>
      <c r="BC92">
        <f t="shared" si="98"/>
        <v>0.4681988614643004</v>
      </c>
      <c r="BD92" s="123">
        <f t="shared" si="121"/>
        <v>-1.5065076152535555</v>
      </c>
      <c r="BE92" s="123">
        <f t="shared" si="122"/>
        <v>-36.121263508029607</v>
      </c>
      <c r="BF92">
        <f t="shared" si="123"/>
        <v>-4.1521368023927252</v>
      </c>
      <c r="BG92">
        <f t="shared" si="124"/>
        <v>-102.91281177290578</v>
      </c>
      <c r="BH92" s="123">
        <f t="shared" si="125"/>
        <v>-5.6586444176462809</v>
      </c>
      <c r="BI92" s="123">
        <f t="shared" si="126"/>
        <v>-139.03407528093538</v>
      </c>
      <c r="BL92" s="123">
        <f t="shared" si="127"/>
        <v>0</v>
      </c>
      <c r="BM92" s="123">
        <f t="shared" si="128"/>
        <v>0</v>
      </c>
      <c r="BN92" s="123">
        <f t="shared" si="129"/>
        <v>0</v>
      </c>
      <c r="BO92" s="123">
        <f t="shared" si="130"/>
        <v>0</v>
      </c>
      <c r="BP92" s="123">
        <f t="shared" si="131"/>
        <v>0</v>
      </c>
      <c r="BQ92" s="123">
        <f t="shared" si="132"/>
        <v>0</v>
      </c>
      <c r="BR92" s="123">
        <f t="shared" si="133"/>
        <v>0</v>
      </c>
      <c r="BS92" s="123"/>
      <c r="BT92" s="123"/>
      <c r="BU92" s="123">
        <f t="shared" si="134"/>
        <v>0</v>
      </c>
      <c r="BV92" s="123">
        <f t="shared" si="135"/>
        <v>0</v>
      </c>
      <c r="BX92" s="123">
        <f t="shared" si="136"/>
        <v>0</v>
      </c>
      <c r="BY92" s="123"/>
    </row>
    <row r="93" spans="5:77" x14ac:dyDescent="0.25">
      <c r="E93">
        <v>82</v>
      </c>
      <c r="F93">
        <v>55000</v>
      </c>
      <c r="G93" s="58">
        <f t="shared" si="79"/>
        <v>-1.7646837617168176</v>
      </c>
      <c r="H93" s="58">
        <f t="shared" si="80"/>
        <v>-39.516882002140314</v>
      </c>
      <c r="I93">
        <f t="shared" si="81"/>
        <v>13.921664647052022</v>
      </c>
      <c r="J93">
        <f t="shared" si="82"/>
        <v>-1.1533899483621299</v>
      </c>
      <c r="K93" t="str">
        <f t="shared" si="83"/>
        <v>35139.5049166783-9107.50397124127i</v>
      </c>
      <c r="L93" t="str">
        <f t="shared" si="84"/>
        <v>1000000000-5787453.68011447i</v>
      </c>
      <c r="M93" t="str">
        <f t="shared" si="85"/>
        <v>149977.504127759-0.130174292447999i</v>
      </c>
      <c r="N93">
        <f t="shared" si="99"/>
        <v>-14.161157153363312</v>
      </c>
      <c r="O93">
        <f t="shared" si="86"/>
        <v>-11.713630964840059</v>
      </c>
      <c r="P93" t="str">
        <f t="shared" si="87"/>
        <v>-512.981180651877i</v>
      </c>
      <c r="Q93" t="str">
        <f t="shared" si="88"/>
        <v>9360-474.381449189711i</v>
      </c>
      <c r="R93" t="str">
        <f t="shared" si="100"/>
        <v>27.8048815813983-510.048114305655i</v>
      </c>
      <c r="S93" t="str">
        <f t="shared" si="89"/>
        <v>20929.7560982361-1446560.59504373i</v>
      </c>
      <c r="T93" t="str">
        <f t="shared" si="101"/>
        <v>27.787880326045-509.868625990041i</v>
      </c>
      <c r="U93" t="str">
        <f t="shared" si="102"/>
        <v>0.929692039511912-0.255665310865776i</v>
      </c>
      <c r="V93">
        <f t="shared" si="90"/>
        <v>-6.1545625449091528</v>
      </c>
      <c r="W93">
        <f t="shared" si="91"/>
        <v>-102.2567341900308</v>
      </c>
      <c r="X93">
        <f t="shared" si="103"/>
        <v>-0.31660887671635185</v>
      </c>
      <c r="Y93">
        <f t="shared" si="92"/>
        <v>-15.376254447765101</v>
      </c>
      <c r="AA93" s="123">
        <f t="shared" si="104"/>
        <v>12.156980885335205</v>
      </c>
      <c r="AB93" s="123">
        <f t="shared" si="105"/>
        <v>-40.670271950502446</v>
      </c>
      <c r="AC93">
        <f t="shared" si="106"/>
        <v>-20.315719698272467</v>
      </c>
      <c r="AD93">
        <f t="shared" si="107"/>
        <v>-113.97036515487086</v>
      </c>
      <c r="AE93" s="123">
        <f t="shared" si="108"/>
        <v>-8.158738812937262</v>
      </c>
      <c r="AF93" s="123">
        <f t="shared" si="109"/>
        <v>-154.64063710537332</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17140</v>
      </c>
      <c r="AX93" t="str">
        <f t="shared" si="94"/>
        <v>8506-465.978557175078i</v>
      </c>
      <c r="AY93" t="str">
        <f t="shared" si="120"/>
        <v>5688.59842265917-208.067830641882i</v>
      </c>
      <c r="AZ93">
        <f t="shared" si="95"/>
        <v>1.1265116614493345</v>
      </c>
      <c r="BA93">
        <f t="shared" si="96"/>
        <v>-2.0947337379401807</v>
      </c>
      <c r="BB93">
        <f t="shared" si="97"/>
        <v>-1.9952031613126903E-3</v>
      </c>
      <c r="BC93">
        <f t="shared" si="98"/>
        <v>0.42572108386515234</v>
      </c>
      <c r="BD93" s="123">
        <f t="shared" si="121"/>
        <v>-1.7666789648781303</v>
      </c>
      <c r="BE93" s="123">
        <f t="shared" si="122"/>
        <v>-39.091160918275165</v>
      </c>
      <c r="BF93">
        <f t="shared" si="123"/>
        <v>-5.0280508834598185</v>
      </c>
      <c r="BG93">
        <f t="shared" si="124"/>
        <v>-104.35146792797097</v>
      </c>
      <c r="BH93" s="123">
        <f t="shared" si="125"/>
        <v>-6.7947298483379486</v>
      </c>
      <c r="BI93" s="123">
        <f t="shared" si="126"/>
        <v>-143.44262884624612</v>
      </c>
      <c r="BL93" s="123">
        <f t="shared" si="127"/>
        <v>0</v>
      </c>
      <c r="BM93" s="123">
        <f t="shared" si="128"/>
        <v>0</v>
      </c>
      <c r="BN93" s="123">
        <f t="shared" si="129"/>
        <v>0</v>
      </c>
      <c r="BO93" s="123">
        <f t="shared" si="130"/>
        <v>0</v>
      </c>
      <c r="BP93" s="123">
        <f t="shared" si="131"/>
        <v>0</v>
      </c>
      <c r="BQ93" s="123">
        <f t="shared" si="132"/>
        <v>0</v>
      </c>
      <c r="BR93" s="123">
        <f t="shared" si="133"/>
        <v>0</v>
      </c>
      <c r="BS93" s="123"/>
      <c r="BT93" s="123"/>
      <c r="BU93" s="123">
        <f t="shared" si="134"/>
        <v>0</v>
      </c>
      <c r="BV93" s="123">
        <f t="shared" si="135"/>
        <v>0</v>
      </c>
      <c r="BX93" s="123">
        <f t="shared" si="136"/>
        <v>0</v>
      </c>
      <c r="BY93" s="123"/>
    </row>
    <row r="94" spans="5:77" x14ac:dyDescent="0.25">
      <c r="E94">
        <v>83</v>
      </c>
      <c r="F94">
        <v>60000</v>
      </c>
      <c r="G94" s="58">
        <f t="shared" si="79"/>
        <v>-2.0337856062098312</v>
      </c>
      <c r="H94" s="58">
        <f t="shared" si="80"/>
        <v>-42.297123595540164</v>
      </c>
      <c r="I94">
        <f t="shared" si="81"/>
        <v>13.920418018948181</v>
      </c>
      <c r="J94">
        <f t="shared" si="82"/>
        <v>-1.0576168910843449</v>
      </c>
      <c r="K94" t="str">
        <f t="shared" si="83"/>
        <v>34724.0303672644-9817.98624085992i</v>
      </c>
      <c r="L94" t="str">
        <f t="shared" si="84"/>
        <v>1000000000-5305165.87343827i</v>
      </c>
      <c r="M94" t="str">
        <f t="shared" si="85"/>
        <v>149977.504007449-0.119327072910292i</v>
      </c>
      <c r="N94">
        <f t="shared" si="99"/>
        <v>-14.195050339593218</v>
      </c>
      <c r="O94">
        <f t="shared" si="86"/>
        <v>-12.745111442987476</v>
      </c>
      <c r="P94" t="str">
        <f t="shared" si="87"/>
        <v>-470.232748930887i</v>
      </c>
      <c r="Q94" t="str">
        <f t="shared" si="88"/>
        <v>9360-434.849661757235i</v>
      </c>
      <c r="R94" t="str">
        <f t="shared" si="100"/>
        <v>23.404964556695-467.969562847228i</v>
      </c>
      <c r="S94" t="str">
        <f t="shared" si="89"/>
        <v>17587.3968810404-1326058.20821523i</v>
      </c>
      <c r="T94" t="str">
        <f t="shared" si="101"/>
        <v>23.3906397829807-467.804696149682i</v>
      </c>
      <c r="U94" t="str">
        <f t="shared" si="102"/>
        <v>0.91743119266055-0.275229357798165i</v>
      </c>
      <c r="V94">
        <f t="shared" si="90"/>
        <v>-6.9621292465363327</v>
      </c>
      <c r="W94">
        <f t="shared" si="91"/>
        <v>-103.83681113362599</v>
      </c>
      <c r="X94">
        <f t="shared" si="103"/>
        <v>-0.37426497940624104</v>
      </c>
      <c r="Y94">
        <f t="shared" si="92"/>
        <v>-16.699247708173459</v>
      </c>
      <c r="AA94" s="123">
        <f t="shared" si="104"/>
        <v>11.886632412738351</v>
      </c>
      <c r="AB94" s="123">
        <f t="shared" si="105"/>
        <v>-43.354740486624507</v>
      </c>
      <c r="AC94">
        <f t="shared" si="106"/>
        <v>-21.157179586129551</v>
      </c>
      <c r="AD94">
        <f t="shared" si="107"/>
        <v>-116.58192257661347</v>
      </c>
      <c r="AE94" s="123">
        <f t="shared" si="108"/>
        <v>-9.2705471733912006</v>
      </c>
      <c r="AF94" s="123">
        <f t="shared" si="109"/>
        <v>-159.93666306323797</v>
      </c>
      <c r="AI94" s="123">
        <f t="shared" si="110"/>
        <v>0</v>
      </c>
      <c r="AJ94" s="123">
        <f t="shared" si="111"/>
        <v>0</v>
      </c>
      <c r="AK94" s="123">
        <f t="shared" si="112"/>
        <v>0</v>
      </c>
      <c r="AL94" s="123">
        <f t="shared" si="113"/>
        <v>0</v>
      </c>
      <c r="AM94" s="123">
        <f t="shared" si="114"/>
        <v>63217.330125159235</v>
      </c>
      <c r="AN94" s="123">
        <f t="shared" si="115"/>
        <v>-9.9560794252596736</v>
      </c>
      <c r="AO94" s="123">
        <f t="shared" si="116"/>
        <v>0</v>
      </c>
      <c r="AP94" s="123"/>
      <c r="AQ94" s="123">
        <f t="shared" si="117"/>
        <v>0</v>
      </c>
      <c r="AR94" s="123">
        <f t="shared" si="118"/>
        <v>0</v>
      </c>
      <c r="AS94" s="123">
        <f t="shared" si="119"/>
        <v>0</v>
      </c>
      <c r="AW94" t="str">
        <f t="shared" si="93"/>
        <v>17140</v>
      </c>
      <c r="AX94" t="str">
        <f t="shared" si="94"/>
        <v>8506-427.147010743822i</v>
      </c>
      <c r="AY94" t="str">
        <f t="shared" si="120"/>
        <v>5687.99475748982-190.738899101646i</v>
      </c>
      <c r="AZ94">
        <f t="shared" si="95"/>
        <v>1.12466456774639</v>
      </c>
      <c r="BA94">
        <f t="shared" si="96"/>
        <v>-1.9206140339734088</v>
      </c>
      <c r="BB94">
        <f t="shared" si="97"/>
        <v>-1.6767842932934934E-3</v>
      </c>
      <c r="BC94">
        <f t="shared" si="98"/>
        <v>0.39030413707582451</v>
      </c>
      <c r="BD94" s="123">
        <f t="shared" si="121"/>
        <v>-2.0354623905031248</v>
      </c>
      <c r="BE94" s="123">
        <f t="shared" si="122"/>
        <v>-41.906819458464341</v>
      </c>
      <c r="BF94">
        <f t="shared" si="123"/>
        <v>-5.8374646787899422</v>
      </c>
      <c r="BG94">
        <f t="shared" si="124"/>
        <v>-105.75742516759939</v>
      </c>
      <c r="BH94" s="123">
        <f t="shared" si="125"/>
        <v>-7.8729270692930671</v>
      </c>
      <c r="BI94" s="123">
        <f t="shared" si="126"/>
        <v>-147.66424462606375</v>
      </c>
      <c r="BL94" s="123">
        <f t="shared" si="127"/>
        <v>0</v>
      </c>
      <c r="BM94" s="123">
        <f t="shared" si="128"/>
        <v>0</v>
      </c>
      <c r="BN94" s="123">
        <f t="shared" si="129"/>
        <v>0</v>
      </c>
      <c r="BO94" s="123">
        <f t="shared" si="130"/>
        <v>0</v>
      </c>
      <c r="BP94" s="123">
        <f t="shared" si="131"/>
        <v>0</v>
      </c>
      <c r="BQ94" s="123">
        <f t="shared" si="132"/>
        <v>0</v>
      </c>
      <c r="BR94" s="123">
        <f t="shared" si="133"/>
        <v>0</v>
      </c>
      <c r="BS94" s="123"/>
      <c r="BT94" s="123"/>
      <c r="BU94" s="123">
        <f t="shared" si="134"/>
        <v>0</v>
      </c>
      <c r="BV94" s="123">
        <f t="shared" si="135"/>
        <v>0</v>
      </c>
      <c r="BX94" s="123">
        <f t="shared" si="136"/>
        <v>0</v>
      </c>
      <c r="BY94" s="123"/>
    </row>
    <row r="95" spans="5:77" x14ac:dyDescent="0.25">
      <c r="E95">
        <v>84</v>
      </c>
      <c r="F95">
        <v>65000</v>
      </c>
      <c r="G95" s="58">
        <f t="shared" si="79"/>
        <v>-2.3091605225536558</v>
      </c>
      <c r="H95" s="58">
        <f t="shared" si="80"/>
        <v>-44.935103188465924</v>
      </c>
      <c r="I95">
        <f t="shared" si="81"/>
        <v>13.919447271116114</v>
      </c>
      <c r="J95">
        <f t="shared" si="82"/>
        <v>-0.97650813418145999</v>
      </c>
      <c r="K95" t="str">
        <f t="shared" si="83"/>
        <v>34283.4296285839-10501.1934547379i</v>
      </c>
      <c r="L95" t="str">
        <f t="shared" si="84"/>
        <v>1000000000-4897076.19086609i</v>
      </c>
      <c r="M95" t="str">
        <f t="shared" si="85"/>
        <v>149977.503913819-0.110148525747862i</v>
      </c>
      <c r="N95">
        <f t="shared" si="99"/>
        <v>-14.231593205833422</v>
      </c>
      <c r="O95">
        <f t="shared" si="86"/>
        <v>-13.768259837957933</v>
      </c>
      <c r="P95" t="str">
        <f t="shared" si="87"/>
        <v>-434.060999013126i</v>
      </c>
      <c r="Q95" t="str">
        <f t="shared" si="88"/>
        <v>9360-401.399687775909i</v>
      </c>
      <c r="R95" t="str">
        <f t="shared" si="100"/>
        <v>19.9700579422755-432.278499192221i</v>
      </c>
      <c r="S95" t="str">
        <f t="shared" si="89"/>
        <v>14986.1008431692-1224085.57752244i</v>
      </c>
      <c r="T95" t="str">
        <f t="shared" si="101"/>
        <v>19.9578262507772-432.126072303254i</v>
      </c>
      <c r="U95" t="str">
        <f t="shared" si="102"/>
        <v>0.904465799886942-0.293951384963256i</v>
      </c>
      <c r="V95">
        <f t="shared" si="90"/>
        <v>-7.7146151495793216</v>
      </c>
      <c r="W95">
        <f t="shared" si="91"/>
        <v>-105.35984598309059</v>
      </c>
      <c r="X95">
        <f t="shared" si="103"/>
        <v>-0.43607850253798275</v>
      </c>
      <c r="Y95">
        <f t="shared" si="92"/>
        <v>-18.004165351573619</v>
      </c>
      <c r="AA95" s="123">
        <f t="shared" si="104"/>
        <v>11.610286748562459</v>
      </c>
      <c r="AB95" s="123">
        <f t="shared" si="105"/>
        <v>-45.911611322647381</v>
      </c>
      <c r="AC95">
        <f t="shared" si="106"/>
        <v>-21.946208355412743</v>
      </c>
      <c r="AD95">
        <f t="shared" si="107"/>
        <v>-119.12810582104852</v>
      </c>
      <c r="AE95" s="123">
        <f t="shared" si="108"/>
        <v>-10.335921606850285</v>
      </c>
      <c r="AF95" s="123">
        <f t="shared" si="109"/>
        <v>-165.0397171436959</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17140</v>
      </c>
      <c r="AX95" t="str">
        <f t="shared" si="94"/>
        <v>8506-394.289548378912i</v>
      </c>
      <c r="AY95" t="str">
        <f t="shared" si="120"/>
        <v>5687.52492000013-176.073899520935i</v>
      </c>
      <c r="AZ95">
        <f t="shared" si="95"/>
        <v>1.1232264159094711</v>
      </c>
      <c r="BA95">
        <f t="shared" si="96"/>
        <v>-1.7731917784709514</v>
      </c>
      <c r="BB95">
        <f t="shared" si="97"/>
        <v>-1.428911348635815E-3</v>
      </c>
      <c r="BC95">
        <f t="shared" si="98"/>
        <v>0.36032371975795852</v>
      </c>
      <c r="BD95" s="123">
        <f t="shared" si="121"/>
        <v>-2.3105894339022917</v>
      </c>
      <c r="BE95" s="123">
        <f t="shared" si="122"/>
        <v>-44.574779468707966</v>
      </c>
      <c r="BF95">
        <f t="shared" si="123"/>
        <v>-6.5913887336698505</v>
      </c>
      <c r="BG95">
        <f t="shared" si="124"/>
        <v>-107.13303776156154</v>
      </c>
      <c r="BH95" s="123">
        <f t="shared" si="125"/>
        <v>-8.9019781675721426</v>
      </c>
      <c r="BI95" s="123">
        <f t="shared" si="126"/>
        <v>-151.70781723026951</v>
      </c>
      <c r="BL95" s="123">
        <f t="shared" si="127"/>
        <v>0</v>
      </c>
      <c r="BM95" s="123">
        <f t="shared" si="128"/>
        <v>0</v>
      </c>
      <c r="BN95" s="123">
        <f t="shared" si="129"/>
        <v>0</v>
      </c>
      <c r="BO95" s="123">
        <f t="shared" si="130"/>
        <v>0</v>
      </c>
      <c r="BP95" s="123">
        <f t="shared" si="131"/>
        <v>65841.190028259007</v>
      </c>
      <c r="BQ95" s="123">
        <f t="shared" si="132"/>
        <v>-9.0679441217128876</v>
      </c>
      <c r="BR95" s="123">
        <f t="shared" si="133"/>
        <v>0</v>
      </c>
      <c r="BS95" s="123"/>
      <c r="BT95" s="123"/>
      <c r="BU95" s="123">
        <f t="shared" si="134"/>
        <v>0</v>
      </c>
      <c r="BV95" s="123">
        <f t="shared" si="135"/>
        <v>0</v>
      </c>
      <c r="BX95" s="123">
        <f t="shared" si="136"/>
        <v>0</v>
      </c>
      <c r="BY95" s="123"/>
    </row>
    <row r="96" spans="5:77" x14ac:dyDescent="0.25">
      <c r="E96">
        <v>85</v>
      </c>
      <c r="F96">
        <v>70000</v>
      </c>
      <c r="G96" s="58">
        <f t="shared" si="79"/>
        <v>-2.5888635002283547</v>
      </c>
      <c r="H96" s="58">
        <f t="shared" si="80"/>
        <v>-47.436891342240862</v>
      </c>
      <c r="I96">
        <f t="shared" si="81"/>
        <v>13.918676652125546</v>
      </c>
      <c r="J96">
        <f t="shared" si="82"/>
        <v>-0.90693917812147706</v>
      </c>
      <c r="K96" t="str">
        <f t="shared" si="83"/>
        <v>33819.9698338536-11156.097400379i</v>
      </c>
      <c r="L96" t="str">
        <f t="shared" si="84"/>
        <v>1000000000-4547285.03437566i</v>
      </c>
      <c r="M96" t="str">
        <f t="shared" si="85"/>
        <v>149977.503839525-0.102281111690108i</v>
      </c>
      <c r="N96">
        <f t="shared" si="99"/>
        <v>-14.270717169580525</v>
      </c>
      <c r="O96">
        <f t="shared" si="86"/>
        <v>-14.782532513091247</v>
      </c>
      <c r="P96" t="str">
        <f t="shared" si="87"/>
        <v>-403.05664194076i</v>
      </c>
      <c r="Q96" t="str">
        <f t="shared" si="88"/>
        <v>9360-372.728281506201i</v>
      </c>
      <c r="R96" t="str">
        <f t="shared" si="100"/>
        <v>17.2378497296089-401.627917161606i</v>
      </c>
      <c r="S96" t="str">
        <f t="shared" si="89"/>
        <v>12921.9557547104-1136674.35905386i</v>
      </c>
      <c r="T96" t="str">
        <f t="shared" si="101"/>
        <v>17.2272851918933-401.486198807842i</v>
      </c>
      <c r="U96" t="str">
        <f t="shared" si="102"/>
        <v>0.89086859688196-0.311804008908686i</v>
      </c>
      <c r="V96">
        <f t="shared" si="90"/>
        <v>-8.4204623579442117</v>
      </c>
      <c r="W96">
        <f t="shared" si="91"/>
        <v>-106.8330832956028</v>
      </c>
      <c r="X96">
        <f t="shared" si="103"/>
        <v>-0.50186349675360742</v>
      </c>
      <c r="Y96">
        <f t="shared" si="92"/>
        <v>-19.29005023236973</v>
      </c>
      <c r="AA96" s="123">
        <f t="shared" si="104"/>
        <v>11.329813151897191</v>
      </c>
      <c r="AB96" s="123">
        <f t="shared" si="105"/>
        <v>-48.343830520362339</v>
      </c>
      <c r="AC96">
        <f t="shared" si="106"/>
        <v>-22.691179527524739</v>
      </c>
      <c r="AD96">
        <f t="shared" si="107"/>
        <v>-121.61561580869406</v>
      </c>
      <c r="AE96" s="123">
        <f t="shared" si="108"/>
        <v>-11.361366375627547</v>
      </c>
      <c r="AF96" s="123">
        <f t="shared" si="109"/>
        <v>-169.95944632905639</v>
      </c>
      <c r="AI96" s="123">
        <f t="shared" si="110"/>
        <v>0</v>
      </c>
      <c r="AJ96" s="123">
        <f t="shared" si="111"/>
        <v>0</v>
      </c>
      <c r="AK96" s="123">
        <f t="shared" si="112"/>
        <v>0</v>
      </c>
      <c r="AL96" s="123">
        <f t="shared" si="113"/>
        <v>0</v>
      </c>
      <c r="AM96" s="123">
        <f t="shared" si="114"/>
        <v>0</v>
      </c>
      <c r="AN96" s="123">
        <f t="shared" si="115"/>
        <v>0</v>
      </c>
      <c r="AO96" s="123">
        <f t="shared" si="116"/>
        <v>0</v>
      </c>
      <c r="AP96" s="123"/>
      <c r="AQ96" s="123">
        <f t="shared" si="117"/>
        <v>0</v>
      </c>
      <c r="AR96" s="123">
        <f t="shared" si="118"/>
        <v>0</v>
      </c>
      <c r="AS96" s="123">
        <f t="shared" si="119"/>
        <v>0</v>
      </c>
      <c r="AW96" t="str">
        <f t="shared" si="93"/>
        <v>17140</v>
      </c>
      <c r="AX96" t="str">
        <f t="shared" si="94"/>
        <v>8506-366.12600920899i</v>
      </c>
      <c r="AY96" t="str">
        <f t="shared" si="120"/>
        <v>5687.15209090319-163.502514974465i</v>
      </c>
      <c r="AZ96">
        <f t="shared" si="95"/>
        <v>1.1220848634927836</v>
      </c>
      <c r="BA96">
        <f t="shared" si="96"/>
        <v>-1.6467690934881321</v>
      </c>
      <c r="BB96">
        <f t="shared" si="97"/>
        <v>-1.2321892695846162E-3</v>
      </c>
      <c r="BC96">
        <f t="shared" si="98"/>
        <v>0.33461798388167474</v>
      </c>
      <c r="BD96" s="123">
        <f t="shared" si="121"/>
        <v>-2.5900956894979394</v>
      </c>
      <c r="BE96" s="123">
        <f t="shared" si="122"/>
        <v>-47.102273358359184</v>
      </c>
      <c r="BF96">
        <f t="shared" si="123"/>
        <v>-7.2983774944514277</v>
      </c>
      <c r="BG96">
        <f t="shared" si="124"/>
        <v>-108.47985238909094</v>
      </c>
      <c r="BH96" s="123">
        <f t="shared" si="125"/>
        <v>-9.8884731839493671</v>
      </c>
      <c r="BI96" s="123">
        <f t="shared" si="126"/>
        <v>-155.58212574745011</v>
      </c>
      <c r="BL96" s="123">
        <f t="shared" si="127"/>
        <v>0</v>
      </c>
      <c r="BM96" s="123">
        <f t="shared" si="128"/>
        <v>0</v>
      </c>
      <c r="BN96" s="123">
        <f t="shared" si="129"/>
        <v>0</v>
      </c>
      <c r="BO96" s="123">
        <f t="shared" si="130"/>
        <v>0</v>
      </c>
      <c r="BP96" s="123">
        <f t="shared" si="131"/>
        <v>0</v>
      </c>
      <c r="BQ96" s="123">
        <f t="shared" si="132"/>
        <v>0</v>
      </c>
      <c r="BR96" s="123">
        <f t="shared" si="133"/>
        <v>0</v>
      </c>
      <c r="BS96" s="123"/>
      <c r="BT96" s="123"/>
      <c r="BU96" s="123">
        <f t="shared" si="134"/>
        <v>0</v>
      </c>
      <c r="BV96" s="123">
        <f t="shared" si="135"/>
        <v>0</v>
      </c>
      <c r="BX96" s="123">
        <f t="shared" si="136"/>
        <v>0</v>
      </c>
      <c r="BY96" s="123"/>
    </row>
    <row r="97" spans="5:77" x14ac:dyDescent="0.25">
      <c r="E97">
        <v>86</v>
      </c>
      <c r="F97">
        <v>75000</v>
      </c>
      <c r="G97" s="58">
        <f t="shared" si="79"/>
        <v>-2.8712301724424716</v>
      </c>
      <c r="H97" s="58">
        <f t="shared" si="80"/>
        <v>-49.809299644996258</v>
      </c>
      <c r="I97">
        <f t="shared" si="81"/>
        <v>13.918054723542721</v>
      </c>
      <c r="J97">
        <f t="shared" si="82"/>
        <v>-0.84661337635806988</v>
      </c>
      <c r="K97" t="str">
        <f t="shared" si="83"/>
        <v>33335.9371299899-11781.8902575089i</v>
      </c>
      <c r="L97" t="str">
        <f t="shared" si="84"/>
        <v>1000000000-4244132.69875061i</v>
      </c>
      <c r="M97" t="str">
        <f t="shared" si="85"/>
        <v>149977.503779589-0.0954626252509186i</v>
      </c>
      <c r="N97">
        <f t="shared" si="99"/>
        <v>-14.312350297556815</v>
      </c>
      <c r="O97">
        <f t="shared" si="86"/>
        <v>-15.787417421340249</v>
      </c>
      <c r="P97" t="str">
        <f t="shared" si="87"/>
        <v>-376.186199144709i</v>
      </c>
      <c r="Q97" t="str">
        <f t="shared" si="88"/>
        <v>9360-347.879729405788i</v>
      </c>
      <c r="R97" t="str">
        <f t="shared" si="100"/>
        <v>15.0292987937536-375.023570599137i</v>
      </c>
      <c r="S97" t="str">
        <f t="shared" si="89"/>
        <v>11256.6467142736-1060913.73793165i</v>
      </c>
      <c r="T97" t="str">
        <f t="shared" si="101"/>
        <v>15.0200833484441-374.891164907779i</v>
      </c>
      <c r="U97" t="str">
        <f t="shared" si="102"/>
        <v>0.876712328767123-0.328767123287671i</v>
      </c>
      <c r="V97">
        <f t="shared" si="90"/>
        <v>-9.0863589636790252</v>
      </c>
      <c r="W97">
        <f t="shared" si="91"/>
        <v>-108.26172893129308</v>
      </c>
      <c r="X97">
        <f t="shared" si="103"/>
        <v>-0.57142886136569104</v>
      </c>
      <c r="Y97">
        <f t="shared" si="92"/>
        <v>-20.55604949614812</v>
      </c>
      <c r="AA97" s="123">
        <f t="shared" si="104"/>
        <v>11.046824551100249</v>
      </c>
      <c r="AB97" s="123">
        <f t="shared" si="105"/>
        <v>-50.65591302135433</v>
      </c>
      <c r="AC97">
        <f t="shared" si="106"/>
        <v>-23.39870926123584</v>
      </c>
      <c r="AD97">
        <f t="shared" si="107"/>
        <v>-124.04914635263333</v>
      </c>
      <c r="AE97" s="123">
        <f t="shared" si="108"/>
        <v>-12.351884710135591</v>
      </c>
      <c r="AF97" s="123">
        <f t="shared" si="109"/>
        <v>-174.70505937398767</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17140</v>
      </c>
      <c r="AX97" t="str">
        <f t="shared" si="94"/>
        <v>8506-341.717608595057i</v>
      </c>
      <c r="AY97" t="str">
        <f t="shared" si="120"/>
        <v>5686.85129372117-152.606355252015i</v>
      </c>
      <c r="AZ97">
        <f t="shared" si="95"/>
        <v>1.1211636443346247</v>
      </c>
      <c r="BA97">
        <f t="shared" si="96"/>
        <v>-1.5371606421332562</v>
      </c>
      <c r="BB97">
        <f t="shared" si="97"/>
        <v>-1.0734565289320292E-3</v>
      </c>
      <c r="BC97">
        <f t="shared" si="98"/>
        <v>0.31233397088688963</v>
      </c>
      <c r="BD97" s="123">
        <f t="shared" si="121"/>
        <v>-2.8723036289714035</v>
      </c>
      <c r="BE97" s="123">
        <f t="shared" si="122"/>
        <v>-49.496965674109369</v>
      </c>
      <c r="BF97">
        <f t="shared" si="123"/>
        <v>-7.9651953193444003</v>
      </c>
      <c r="BG97">
        <f t="shared" si="124"/>
        <v>-109.79888957342634</v>
      </c>
      <c r="BH97" s="123">
        <f t="shared" si="125"/>
        <v>-10.837498948315805</v>
      </c>
      <c r="BI97" s="123">
        <f t="shared" si="126"/>
        <v>-159.29585524753571</v>
      </c>
      <c r="BL97" s="123">
        <f t="shared" si="127"/>
        <v>0</v>
      </c>
      <c r="BM97" s="123">
        <f t="shared" si="128"/>
        <v>0</v>
      </c>
      <c r="BN97" s="123">
        <f t="shared" si="129"/>
        <v>0</v>
      </c>
      <c r="BO97" s="123">
        <f t="shared" si="130"/>
        <v>0</v>
      </c>
      <c r="BP97" s="123">
        <f t="shared" si="131"/>
        <v>0</v>
      </c>
      <c r="BQ97" s="123">
        <f t="shared" si="132"/>
        <v>0</v>
      </c>
      <c r="BR97" s="123">
        <f t="shared" si="133"/>
        <v>0</v>
      </c>
      <c r="BS97" s="123"/>
      <c r="BT97" s="123"/>
      <c r="BU97" s="123">
        <f t="shared" si="134"/>
        <v>0</v>
      </c>
      <c r="BV97" s="123">
        <f t="shared" si="135"/>
        <v>0</v>
      </c>
      <c r="BX97" s="123">
        <f t="shared" si="136"/>
        <v>0</v>
      </c>
      <c r="BY97" s="123"/>
    </row>
    <row r="98" spans="5:77" x14ac:dyDescent="0.25">
      <c r="E98">
        <v>87</v>
      </c>
      <c r="F98">
        <v>80000</v>
      </c>
      <c r="G98" s="58">
        <f t="shared" si="79"/>
        <v>-3.1548555418935083</v>
      </c>
      <c r="H98" s="58">
        <f t="shared" si="80"/>
        <v>-52.059547194381423</v>
      </c>
      <c r="I98">
        <f t="shared" si="81"/>
        <v>13.917545565979172</v>
      </c>
      <c r="J98">
        <f t="shared" si="82"/>
        <v>-0.79380504420295694</v>
      </c>
      <c r="K98" t="str">
        <f t="shared" si="83"/>
        <v>32833.6132048144-12377.9779890407i</v>
      </c>
      <c r="L98" t="str">
        <f t="shared" si="84"/>
        <v>1000000000-3978874.4050787i</v>
      </c>
      <c r="M98" t="str">
        <f t="shared" si="85"/>
        <v>149977.503730535-0.0894964063216706i</v>
      </c>
      <c r="N98">
        <f t="shared" si="99"/>
        <v>-14.35641770659492</v>
      </c>
      <c r="O98">
        <f t="shared" si="86"/>
        <v>-16.782435008215959</v>
      </c>
      <c r="P98" t="str">
        <f t="shared" si="87"/>
        <v>-352.674561698165i</v>
      </c>
      <c r="Q98" t="str">
        <f t="shared" si="88"/>
        <v>9360-326.137246317926i</v>
      </c>
      <c r="R98" t="str">
        <f t="shared" si="100"/>
        <v>13.2188666681498-351.715894734176i</v>
      </c>
      <c r="S98" t="str">
        <f t="shared" si="89"/>
        <v>9893.67201280648-994620.187073815i</v>
      </c>
      <c r="T98" t="str">
        <f t="shared" si="101"/>
        <v>13.2107581023613-351.591660409086i</v>
      </c>
      <c r="U98" t="str">
        <f t="shared" si="102"/>
        <v>0.862068965517241-0.344827586206897i</v>
      </c>
      <c r="V98">
        <f t="shared" si="90"/>
        <v>-9.7176814687022954</v>
      </c>
      <c r="W98">
        <f t="shared" si="91"/>
        <v>-109.64960431445535</v>
      </c>
      <c r="X98">
        <f t="shared" si="103"/>
        <v>-0.64457989226918699</v>
      </c>
      <c r="Y98">
        <f t="shared" si="92"/>
        <v>-21.801414022007247</v>
      </c>
      <c r="AA98" s="123">
        <f t="shared" si="104"/>
        <v>10.762690024085664</v>
      </c>
      <c r="AB98" s="123">
        <f t="shared" si="105"/>
        <v>-52.853352238584378</v>
      </c>
      <c r="AC98">
        <f t="shared" si="106"/>
        <v>-24.074099175297214</v>
      </c>
      <c r="AD98">
        <f t="shared" si="107"/>
        <v>-126.4320393226713</v>
      </c>
      <c r="AE98" s="123">
        <f t="shared" si="108"/>
        <v>-13.311409151211549</v>
      </c>
      <c r="AF98" s="123">
        <f t="shared" si="109"/>
        <v>-179.28539156125566</v>
      </c>
      <c r="AI98" s="123">
        <f t="shared" si="110"/>
        <v>0</v>
      </c>
      <c r="AJ98" s="123">
        <f t="shared" si="111"/>
        <v>0</v>
      </c>
      <c r="AK98" s="123">
        <f t="shared" si="112"/>
        <v>80807.738179967491</v>
      </c>
      <c r="AL98" s="123">
        <f t="shared" si="113"/>
        <v>-13.461920612560803</v>
      </c>
      <c r="AM98" s="123">
        <f t="shared" si="114"/>
        <v>0</v>
      </c>
      <c r="AN98" s="123">
        <f t="shared" si="115"/>
        <v>0</v>
      </c>
      <c r="AO98" s="123">
        <f t="shared" si="116"/>
        <v>0</v>
      </c>
      <c r="AP98" s="123"/>
      <c r="AQ98" s="123">
        <f t="shared" si="117"/>
        <v>0</v>
      </c>
      <c r="AR98" s="123">
        <f t="shared" si="118"/>
        <v>0</v>
      </c>
      <c r="AS98" s="123">
        <f t="shared" si="119"/>
        <v>0</v>
      </c>
      <c r="AW98" t="str">
        <f t="shared" si="93"/>
        <v>17140</v>
      </c>
      <c r="AX98" t="str">
        <f t="shared" si="94"/>
        <v>8506-320.360258057866i</v>
      </c>
      <c r="AY98" t="str">
        <f t="shared" si="120"/>
        <v>5686.60510151125-143.071533389944i</v>
      </c>
      <c r="AZ98">
        <f t="shared" si="95"/>
        <v>1.1204095125032771</v>
      </c>
      <c r="BA98">
        <f t="shared" si="96"/>
        <v>-1.4412232975950667</v>
      </c>
      <c r="BB98">
        <f t="shared" si="97"/>
        <v>-9.4352719553194284E-4</v>
      </c>
      <c r="BC98">
        <f t="shared" si="98"/>
        <v>0.29283140179983486</v>
      </c>
      <c r="BD98" s="123">
        <f t="shared" si="121"/>
        <v>-3.1557990690890403</v>
      </c>
      <c r="BE98" s="123">
        <f t="shared" si="122"/>
        <v>-51.766715792581586</v>
      </c>
      <c r="BF98">
        <f t="shared" si="123"/>
        <v>-8.5972719561990179</v>
      </c>
      <c r="BG98">
        <f t="shared" si="124"/>
        <v>-111.09082761205042</v>
      </c>
      <c r="BH98" s="123">
        <f t="shared" si="125"/>
        <v>-11.753071025288058</v>
      </c>
      <c r="BI98" s="123">
        <f t="shared" si="126"/>
        <v>-162.857543404632</v>
      </c>
      <c r="BL98" s="123">
        <f t="shared" si="127"/>
        <v>0</v>
      </c>
      <c r="BM98" s="123">
        <f t="shared" si="128"/>
        <v>0</v>
      </c>
      <c r="BN98" s="123">
        <f t="shared" si="129"/>
        <v>0</v>
      </c>
      <c r="BO98" s="123">
        <f t="shared" si="130"/>
        <v>0</v>
      </c>
      <c r="BP98" s="123">
        <f t="shared" si="131"/>
        <v>0</v>
      </c>
      <c r="BQ98" s="123">
        <f t="shared" si="132"/>
        <v>0</v>
      </c>
      <c r="BR98" s="123">
        <f t="shared" si="133"/>
        <v>0</v>
      </c>
      <c r="BS98" s="123"/>
      <c r="BT98" s="123"/>
      <c r="BU98" s="123">
        <f t="shared" si="134"/>
        <v>0</v>
      </c>
      <c r="BV98" s="123">
        <f t="shared" si="135"/>
        <v>0</v>
      </c>
      <c r="BX98" s="123">
        <f t="shared" si="136"/>
        <v>0</v>
      </c>
      <c r="BY98" s="123"/>
    </row>
    <row r="99" spans="5:77" x14ac:dyDescent="0.25">
      <c r="E99">
        <v>88</v>
      </c>
      <c r="F99">
        <v>85000</v>
      </c>
      <c r="G99" s="58">
        <f t="shared" si="79"/>
        <v>-3.4385684318650105</v>
      </c>
      <c r="H99" s="58">
        <f t="shared" si="80"/>
        <v>-54.195001397400823</v>
      </c>
      <c r="I99">
        <f t="shared" si="81"/>
        <v>13.917123483146877</v>
      </c>
      <c r="J99">
        <f t="shared" si="82"/>
        <v>-0.74719255649838834</v>
      </c>
      <c r="K99" t="str">
        <f t="shared" si="83"/>
        <v>32315.2537648257-12943.9711949572i</v>
      </c>
      <c r="L99" t="str">
        <f t="shared" si="84"/>
        <v>1000000000-3744822.96948583i</v>
      </c>
      <c r="M99" t="str">
        <f t="shared" si="85"/>
        <v>149977.503689881-0.0842320640543182i</v>
      </c>
      <c r="N99">
        <f t="shared" si="99"/>
        <v>-14.402841965471886</v>
      </c>
      <c r="O99">
        <f t="shared" si="86"/>
        <v>-17.767138860403549</v>
      </c>
      <c r="P99" t="str">
        <f t="shared" si="87"/>
        <v>-331.928999245332i</v>
      </c>
      <c r="Q99" t="str">
        <f t="shared" si="88"/>
        <v>9360-306.952702416872i</v>
      </c>
      <c r="R99" t="str">
        <f t="shared" si="100"/>
        <v>11.7164456298004-331.12927459561i</v>
      </c>
      <c r="S99" t="str">
        <f t="shared" si="89"/>
        <v>8764.04376854-936123.692890434i</v>
      </c>
      <c r="T99" t="str">
        <f t="shared" si="101"/>
        <v>11.7092562975275-331.012266908044i</v>
      </c>
      <c r="U99" t="str">
        <f t="shared" si="102"/>
        <v>0.847008999470619-0.359978824775013i</v>
      </c>
      <c r="V99">
        <f t="shared" si="90"/>
        <v>-10.318806940568113</v>
      </c>
      <c r="W99">
        <f t="shared" si="91"/>
        <v>-110.99957404229954</v>
      </c>
      <c r="X99">
        <f t="shared" si="103"/>
        <v>-0.72111975265909201</v>
      </c>
      <c r="Y99">
        <f t="shared" si="92"/>
        <v>-23.025496798846621</v>
      </c>
      <c r="AA99" s="123">
        <f t="shared" si="104"/>
        <v>10.478555051281866</v>
      </c>
      <c r="AB99" s="123">
        <f t="shared" si="105"/>
        <v>-54.942193953899213</v>
      </c>
      <c r="AC99">
        <f t="shared" si="106"/>
        <v>-24.721648906039999</v>
      </c>
      <c r="AD99">
        <f t="shared" si="107"/>
        <v>-128.76671290270309</v>
      </c>
      <c r="AE99" s="123">
        <f t="shared" si="108"/>
        <v>-14.243093854758133</v>
      </c>
      <c r="AF99" s="123">
        <f t="shared" si="109"/>
        <v>-183.70890685660231</v>
      </c>
      <c r="AI99" s="123">
        <f t="shared" si="110"/>
        <v>0</v>
      </c>
      <c r="AJ99" s="123">
        <f t="shared" si="111"/>
        <v>0</v>
      </c>
      <c r="AK99" s="123">
        <f t="shared" si="112"/>
        <v>0</v>
      </c>
      <c r="AL99" s="123">
        <f t="shared" si="113"/>
        <v>0</v>
      </c>
      <c r="AM99" s="123">
        <f t="shared" si="114"/>
        <v>0</v>
      </c>
      <c r="AN99" s="123">
        <f t="shared" si="115"/>
        <v>0</v>
      </c>
      <c r="AO99" s="123">
        <f t="shared" si="116"/>
        <v>0</v>
      </c>
      <c r="AP99" s="123"/>
      <c r="AQ99" s="123">
        <f t="shared" si="117"/>
        <v>0</v>
      </c>
      <c r="AR99" s="123">
        <f t="shared" si="118"/>
        <v>0</v>
      </c>
      <c r="AS99" s="123">
        <f t="shared" si="119"/>
        <v>0</v>
      </c>
      <c r="AW99" t="str">
        <f t="shared" si="93"/>
        <v>17140</v>
      </c>
      <c r="AX99" t="str">
        <f t="shared" si="94"/>
        <v>8506-301.515536995639i</v>
      </c>
      <c r="AY99" t="str">
        <f t="shared" si="120"/>
        <v>5686.40105541025-134.65795977192i</v>
      </c>
      <c r="AZ99">
        <f t="shared" si="95"/>
        <v>1.1197843826641378</v>
      </c>
      <c r="BA99">
        <f t="shared" si="96"/>
        <v>-1.3565509357219832</v>
      </c>
      <c r="BB99">
        <f t="shared" si="97"/>
        <v>-8.358325142470461E-4</v>
      </c>
      <c r="BC99">
        <f t="shared" si="98"/>
        <v>0.27562030451955222</v>
      </c>
      <c r="BD99" s="123">
        <f t="shared" si="121"/>
        <v>-3.4394042643792577</v>
      </c>
      <c r="BE99" s="123">
        <f t="shared" si="122"/>
        <v>-53.919381092881274</v>
      </c>
      <c r="BF99">
        <f t="shared" si="123"/>
        <v>-9.1990225579039748</v>
      </c>
      <c r="BG99">
        <f t="shared" si="124"/>
        <v>-112.35612497802153</v>
      </c>
      <c r="BH99" s="123">
        <f t="shared" si="125"/>
        <v>-12.638426822283233</v>
      </c>
      <c r="BI99" s="123">
        <f t="shared" si="126"/>
        <v>-166.27550607090279</v>
      </c>
      <c r="BL99" s="123">
        <f t="shared" si="127"/>
        <v>0</v>
      </c>
      <c r="BM99" s="123">
        <f t="shared" si="128"/>
        <v>0</v>
      </c>
      <c r="BN99" s="123">
        <f t="shared" si="129"/>
        <v>0</v>
      </c>
      <c r="BO99" s="123">
        <f t="shared" si="130"/>
        <v>0</v>
      </c>
      <c r="BP99" s="123">
        <f t="shared" si="131"/>
        <v>0</v>
      </c>
      <c r="BQ99" s="123">
        <f t="shared" si="132"/>
        <v>0</v>
      </c>
      <c r="BR99" s="123">
        <f t="shared" si="133"/>
        <v>0</v>
      </c>
      <c r="BS99" s="123"/>
      <c r="BT99" s="123"/>
      <c r="BU99" s="123">
        <f t="shared" si="134"/>
        <v>0</v>
      </c>
      <c r="BV99" s="123">
        <f t="shared" si="135"/>
        <v>0</v>
      </c>
      <c r="BX99" s="123">
        <f t="shared" si="136"/>
        <v>0</v>
      </c>
      <c r="BY99" s="123"/>
    </row>
    <row r="100" spans="5:77" x14ac:dyDescent="0.25">
      <c r="E100">
        <v>89</v>
      </c>
      <c r="F100">
        <v>90000</v>
      </c>
      <c r="G100" s="58">
        <f t="shared" si="79"/>
        <v>-3.7214043971115771</v>
      </c>
      <c r="H100" s="58">
        <f t="shared" si="80"/>
        <v>-56.222983778744485</v>
      </c>
      <c r="I100">
        <f t="shared" si="81"/>
        <v>13.916769699958012</v>
      </c>
      <c r="J100">
        <f t="shared" si="82"/>
        <v>-0.70574671399682454</v>
      </c>
      <c r="K100" t="str">
        <f t="shared" si="83"/>
        <v>31783.0692025506-13479.6738521942i</v>
      </c>
      <c r="L100" t="str">
        <f t="shared" si="84"/>
        <v>1000000000-3536777.24895884i</v>
      </c>
      <c r="M100" t="str">
        <f t="shared" si="85"/>
        <v>149977.503655812-0.0795526254166374i</v>
      </c>
      <c r="N100">
        <f t="shared" si="99"/>
        <v>-14.451543493769961</v>
      </c>
      <c r="O100">
        <f t="shared" si="86"/>
        <v>-18.741116109114937</v>
      </c>
      <c r="P100" t="str">
        <f t="shared" si="87"/>
        <v>-313.488499287258i</v>
      </c>
      <c r="Q100" t="str">
        <f t="shared" si="88"/>
        <v>9360-289.899774504823i</v>
      </c>
      <c r="R100" t="str">
        <f t="shared" si="100"/>
        <v>10.4560181393707-312.814456687273i</v>
      </c>
      <c r="S100" t="str">
        <f t="shared" si="89"/>
        <v>7817.38465516514-884125.191369224i</v>
      </c>
      <c r="T100" t="str">
        <f t="shared" si="101"/>
        <v>10.4496004484005-312.703885011231i</v>
      </c>
      <c r="U100" t="str">
        <f t="shared" si="102"/>
        <v>0.831600831600832-0.374220374220374i</v>
      </c>
      <c r="V100">
        <f t="shared" si="90"/>
        <v>-10.893338292687073</v>
      </c>
      <c r="W100">
        <f t="shared" si="91"/>
        <v>-112.31383246439079</v>
      </c>
      <c r="X100">
        <f t="shared" si="103"/>
        <v>-0.80085085045869064</v>
      </c>
      <c r="Y100">
        <f t="shared" si="92"/>
        <v>-24.227750358394488</v>
      </c>
      <c r="AA100" s="123">
        <f t="shared" si="104"/>
        <v>10.195365302846435</v>
      </c>
      <c r="AB100" s="123">
        <f t="shared" si="105"/>
        <v>-56.928730492741309</v>
      </c>
      <c r="AC100">
        <f t="shared" si="106"/>
        <v>-25.344881786457034</v>
      </c>
      <c r="AD100">
        <f t="shared" si="107"/>
        <v>-131.05494857350573</v>
      </c>
      <c r="AE100" s="123">
        <f t="shared" si="108"/>
        <v>-15.149516483610599</v>
      </c>
      <c r="AF100" s="123">
        <f t="shared" si="109"/>
        <v>-187.98367906624702</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17140</v>
      </c>
      <c r="AX100" t="str">
        <f t="shared" si="94"/>
        <v>8506-284.764673829214i</v>
      </c>
      <c r="AY100" t="str">
        <f t="shared" si="120"/>
        <v>5686.23005719369-127.178860714267i</v>
      </c>
      <c r="AZ100">
        <f t="shared" si="95"/>
        <v>1.1192604313137355</v>
      </c>
      <c r="BA100">
        <f t="shared" si="96"/>
        <v>-1.2812704921123532</v>
      </c>
      <c r="BB100">
        <f t="shared" si="97"/>
        <v>-7.4557464671354159E-4</v>
      </c>
      <c r="BC100">
        <f t="shared" si="98"/>
        <v>0.26031936787721538</v>
      </c>
      <c r="BD100" s="123">
        <f t="shared" si="121"/>
        <v>-3.7221499717582907</v>
      </c>
      <c r="BE100" s="123">
        <f t="shared" si="122"/>
        <v>-55.962664410867269</v>
      </c>
      <c r="BF100">
        <f t="shared" si="123"/>
        <v>-9.7740778613733372</v>
      </c>
      <c r="BG100">
        <f t="shared" si="124"/>
        <v>-113.59510295650314</v>
      </c>
      <c r="BH100" s="123">
        <f t="shared" si="125"/>
        <v>-13.496227833131627</v>
      </c>
      <c r="BI100" s="123">
        <f t="shared" si="126"/>
        <v>-169.55776736737042</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c r="BU100" s="123">
        <f t="shared" si="134"/>
        <v>0</v>
      </c>
      <c r="BV100" s="123">
        <f t="shared" si="135"/>
        <v>0</v>
      </c>
      <c r="BX100" s="123">
        <f t="shared" si="136"/>
        <v>0</v>
      </c>
      <c r="BY100" s="123"/>
    </row>
    <row r="101" spans="5:77" x14ac:dyDescent="0.25">
      <c r="E101">
        <v>90</v>
      </c>
      <c r="F101">
        <v>95000</v>
      </c>
      <c r="G101" s="58">
        <f t="shared" si="79"/>
        <v>-4.0025789636704161</v>
      </c>
      <c r="H101" s="58">
        <f t="shared" si="80"/>
        <v>-58.15063016515829</v>
      </c>
      <c r="I101">
        <f t="shared" si="81"/>
        <v>13.916470240760342</v>
      </c>
      <c r="J101">
        <f t="shared" si="82"/>
        <v>-0.66865415757730751</v>
      </c>
      <c r="K101" t="str">
        <f t="shared" si="83"/>
        <v>31239.2076092532-13985.0703713986i</v>
      </c>
      <c r="L101" t="str">
        <f t="shared" si="84"/>
        <v>1000000000-3350631.07796101i</v>
      </c>
      <c r="M101" t="str">
        <f t="shared" si="85"/>
        <v>149977.503626979-0.0753657417246724i</v>
      </c>
      <c r="N101">
        <f t="shared" si="99"/>
        <v>-14.502440954148277</v>
      </c>
      <c r="O101">
        <f t="shared" si="86"/>
        <v>-19.703987599435234</v>
      </c>
      <c r="P101" t="str">
        <f t="shared" si="87"/>
        <v>-296.989104587929i</v>
      </c>
      <c r="Q101" t="str">
        <f t="shared" si="88"/>
        <v>9360-274.641891636148i</v>
      </c>
      <c r="R101" t="str">
        <f t="shared" si="100"/>
        <v>9.38833089777237-296.415743375966i</v>
      </c>
      <c r="S101" t="str">
        <f t="shared" si="89"/>
        <v>7016.21308087257-837598.997636256i</v>
      </c>
      <c r="T101" t="str">
        <f t="shared" si="101"/>
        <v>9.38256718529205-296.310939549249i</v>
      </c>
      <c r="U101" t="str">
        <f t="shared" si="102"/>
        <v>0.815910249872514-0.387557368689444i</v>
      </c>
      <c r="V101">
        <f t="shared" si="90"/>
        <v>-11.444270140471676</v>
      </c>
      <c r="W101">
        <f t="shared" si="91"/>
        <v>-113.59409982399443</v>
      </c>
      <c r="X101">
        <f t="shared" si="103"/>
        <v>-0.88357611011859283</v>
      </c>
      <c r="Y101">
        <f t="shared" si="92"/>
        <v>-25.407723394875223</v>
      </c>
      <c r="AA101" s="123">
        <f t="shared" si="104"/>
        <v>9.9138912770899257</v>
      </c>
      <c r="AB101" s="123">
        <f t="shared" si="105"/>
        <v>-58.819284322735598</v>
      </c>
      <c r="AC101">
        <f t="shared" si="106"/>
        <v>-25.946711094619953</v>
      </c>
      <c r="AD101">
        <f t="shared" si="107"/>
        <v>-133.29808742342965</v>
      </c>
      <c r="AE101" s="123">
        <f t="shared" si="108"/>
        <v>-16.032819817530026</v>
      </c>
      <c r="AF101" s="123">
        <f t="shared" si="109"/>
        <v>-192.11737174616525</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17140</v>
      </c>
      <c r="AX101" t="str">
        <f t="shared" si="94"/>
        <v>8506-269.777059417151i</v>
      </c>
      <c r="AY101" t="str">
        <f t="shared" si="120"/>
        <v>5686.08533742069-120.48675881173i</v>
      </c>
      <c r="AZ101">
        <f t="shared" si="95"/>
        <v>1.1188169496915101</v>
      </c>
      <c r="BA101">
        <f t="shared" si="96"/>
        <v>-1.2139021580365805</v>
      </c>
      <c r="BB101">
        <f t="shared" si="97"/>
        <v>-6.6918323453572001E-4</v>
      </c>
      <c r="BC101">
        <f t="shared" si="98"/>
        <v>0.2466274111219087</v>
      </c>
      <c r="BD101" s="123">
        <f t="shared" si="121"/>
        <v>-4.0032481469049515</v>
      </c>
      <c r="BE101" s="123">
        <f t="shared" si="122"/>
        <v>-57.904002754036384</v>
      </c>
      <c r="BF101">
        <f t="shared" si="123"/>
        <v>-10.325453190780166</v>
      </c>
      <c r="BG101">
        <f t="shared" si="124"/>
        <v>-114.808001982031</v>
      </c>
      <c r="BH101" s="123">
        <f t="shared" si="125"/>
        <v>-14.328701337685118</v>
      </c>
      <c r="BI101" s="123">
        <f t="shared" si="126"/>
        <v>-172.7120047360674</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c r="BU101" s="123">
        <f t="shared" si="134"/>
        <v>0</v>
      </c>
      <c r="BV101" s="123">
        <f t="shared" si="135"/>
        <v>0</v>
      </c>
      <c r="BX101" s="123">
        <f t="shared" si="136"/>
        <v>0</v>
      </c>
      <c r="BY101" s="123"/>
    </row>
    <row r="102" spans="5:77" x14ac:dyDescent="0.25">
      <c r="E102">
        <v>91</v>
      </c>
      <c r="F102">
        <v>100000</v>
      </c>
      <c r="G102" s="58">
        <f t="shared" si="79"/>
        <v>-4.2814623765457629</v>
      </c>
      <c r="H102" s="58">
        <f t="shared" si="80"/>
        <v>-59.984794764743178</v>
      </c>
      <c r="I102">
        <f t="shared" si="81"/>
        <v>13.916214529256335</v>
      </c>
      <c r="J102">
        <f t="shared" si="82"/>
        <v>-0.63526363916322159</v>
      </c>
      <c r="K102" t="str">
        <f t="shared" si="83"/>
        <v>30685.7402109979-14460.3113941424i</v>
      </c>
      <c r="L102" t="str">
        <f t="shared" si="84"/>
        <v>1000000000-3183099.52406296i</v>
      </c>
      <c r="M102" t="str">
        <f t="shared" si="85"/>
        <v>149977.503602362-0.0715975329855819i</v>
      </c>
      <c r="N102">
        <f t="shared" si="99"/>
        <v>-14.555451634748266</v>
      </c>
      <c r="O102">
        <f t="shared" si="86"/>
        <v>-20.655407838950062</v>
      </c>
      <c r="P102" t="str">
        <f t="shared" si="87"/>
        <v>-282.139649358532i</v>
      </c>
      <c r="Q102" t="str">
        <f t="shared" si="88"/>
        <v>9360-260.909797054341i</v>
      </c>
      <c r="R102" t="str">
        <f t="shared" si="100"/>
        <v>8.47603949959284-281.6478856237i</v>
      </c>
      <c r="S102" t="str">
        <f t="shared" si="89"/>
        <v>6332.1756226836-795724.491152713i</v>
      </c>
      <c r="T102" t="str">
        <f t="shared" si="101"/>
        <v>8.47083482536991-281.548279998355i</v>
      </c>
      <c r="U102" t="str">
        <f t="shared" si="102"/>
        <v>0.8-0.4i</v>
      </c>
      <c r="V102">
        <f t="shared" si="90"/>
        <v>-11.974113084533309</v>
      </c>
      <c r="W102">
        <f t="shared" si="91"/>
        <v>-114.84175884427285</v>
      </c>
      <c r="X102">
        <f t="shared" si="103"/>
        <v>-0.96910013008056328</v>
      </c>
      <c r="Y102">
        <f t="shared" si="92"/>
        <v>-26.565056703781107</v>
      </c>
      <c r="AA102" s="123">
        <f t="shared" si="104"/>
        <v>9.6347521527105719</v>
      </c>
      <c r="AB102" s="123">
        <f t="shared" si="105"/>
        <v>-60.620058403906398</v>
      </c>
      <c r="AC102">
        <f t="shared" si="106"/>
        <v>-26.529564719281574</v>
      </c>
      <c r="AD102">
        <f t="shared" si="107"/>
        <v>-135.4971666832229</v>
      </c>
      <c r="AE102" s="123">
        <f t="shared" si="108"/>
        <v>-16.894812566571002</v>
      </c>
      <c r="AF102" s="123">
        <f t="shared" si="109"/>
        <v>-196.1172250871293</v>
      </c>
      <c r="AI102" s="123">
        <f t="shared" si="110"/>
        <v>0</v>
      </c>
      <c r="AJ102" s="123">
        <f t="shared" si="111"/>
        <v>0</v>
      </c>
      <c r="AK102" s="123">
        <f t="shared" si="112"/>
        <v>0</v>
      </c>
      <c r="AL102" s="123">
        <f t="shared" si="113"/>
        <v>0</v>
      </c>
      <c r="AM102" s="123">
        <f t="shared" si="114"/>
        <v>0</v>
      </c>
      <c r="AN102" s="123">
        <f t="shared" si="115"/>
        <v>0</v>
      </c>
      <c r="AO102" s="123">
        <f t="shared" si="116"/>
        <v>0</v>
      </c>
      <c r="AP102" s="123"/>
      <c r="AQ102" s="123">
        <f t="shared" si="117"/>
        <v>0</v>
      </c>
      <c r="AR102" s="123">
        <f t="shared" si="118"/>
        <v>0</v>
      </c>
      <c r="AS102" s="123">
        <f t="shared" si="119"/>
        <v>0</v>
      </c>
      <c r="AW102" t="str">
        <f t="shared" si="93"/>
        <v>17140</v>
      </c>
      <c r="AX102" t="str">
        <f t="shared" si="94"/>
        <v>8506-256.288206446293i</v>
      </c>
      <c r="AY102" t="str">
        <f t="shared" si="120"/>
        <v>5685.96177513117-114.463655666338i</v>
      </c>
      <c r="AZ102">
        <f t="shared" si="95"/>
        <v>1.1184382675626154</v>
      </c>
      <c r="BA102">
        <f t="shared" si="96"/>
        <v>-1.1532613641258129</v>
      </c>
      <c r="BB102">
        <f t="shared" si="97"/>
        <v>-6.0395699980266742E-4</v>
      </c>
      <c r="BC102">
        <f t="shared" si="98"/>
        <v>0.23430339170740744</v>
      </c>
      <c r="BD102" s="123">
        <f t="shared" si="121"/>
        <v>-4.2820663335455658</v>
      </c>
      <c r="BE102" s="123">
        <f t="shared" si="122"/>
        <v>-59.750491373035771</v>
      </c>
      <c r="BF102">
        <f t="shared" si="123"/>
        <v>-10.855674816970694</v>
      </c>
      <c r="BG102">
        <f t="shared" si="124"/>
        <v>-115.99502020839866</v>
      </c>
      <c r="BH102" s="123">
        <f t="shared" si="125"/>
        <v>-15.137741150516259</v>
      </c>
      <c r="BI102" s="123">
        <f t="shared" si="126"/>
        <v>-175.74551158143441</v>
      </c>
      <c r="BL102" s="123">
        <f t="shared" si="127"/>
        <v>0</v>
      </c>
      <c r="BM102" s="123">
        <f t="shared" si="128"/>
        <v>0</v>
      </c>
      <c r="BN102" s="123">
        <f t="shared" si="129"/>
        <v>108503.97522266197</v>
      </c>
      <c r="BO102" s="123">
        <f t="shared" si="130"/>
        <v>-16.342288357015313</v>
      </c>
      <c r="BP102" s="123">
        <f t="shared" si="131"/>
        <v>0</v>
      </c>
      <c r="BQ102" s="123">
        <f t="shared" si="132"/>
        <v>0</v>
      </c>
      <c r="BR102" s="123">
        <f t="shared" si="133"/>
        <v>0</v>
      </c>
      <c r="BS102" s="123"/>
      <c r="BT102" s="123"/>
      <c r="BU102" s="123">
        <f t="shared" si="134"/>
        <v>0</v>
      </c>
      <c r="BV102" s="123">
        <f t="shared" si="135"/>
        <v>0</v>
      </c>
      <c r="BX102" s="123">
        <f t="shared" si="136"/>
        <v>0</v>
      </c>
      <c r="BY102" s="123"/>
    </row>
    <row r="103" spans="5:77" x14ac:dyDescent="0.25">
      <c r="E103">
        <v>92</v>
      </c>
      <c r="F103">
        <v>150000</v>
      </c>
      <c r="G103" s="58">
        <f t="shared" si="79"/>
        <v>-6.8774097671122423</v>
      </c>
      <c r="H103" s="58">
        <f t="shared" si="80"/>
        <v>-74.427592951032651</v>
      </c>
      <c r="I103">
        <f t="shared" si="81"/>
        <v>13.914898991067437</v>
      </c>
      <c r="J103">
        <f t="shared" si="82"/>
        <v>-0.42365379383094259</v>
      </c>
      <c r="K103" t="str">
        <f t="shared" si="83"/>
        <v>25005.8594578874-17675.5968058552i</v>
      </c>
      <c r="L103" t="str">
        <f t="shared" si="84"/>
        <v>1000000000-2122066.34937531i</v>
      </c>
      <c r="M103" t="str">
        <f t="shared" si="85"/>
        <v>149977.503475769-0.047731957255411i</v>
      </c>
      <c r="N103">
        <f t="shared" si="99"/>
        <v>-15.183294118874247</v>
      </c>
      <c r="O103">
        <f t="shared" si="86"/>
        <v>-29.486830044452322</v>
      </c>
      <c r="P103" t="str">
        <f t="shared" si="87"/>
        <v>-188.093099572355i</v>
      </c>
      <c r="Q103" t="str">
        <f t="shared" si="88"/>
        <v>9360-173.939864702894i</v>
      </c>
      <c r="R103" t="str">
        <f t="shared" si="100"/>
        <v>3.77416288351227-187.947119724451i</v>
      </c>
      <c r="S103" t="str">
        <f t="shared" si="89"/>
        <v>2814.39928380681-530501.656488792i</v>
      </c>
      <c r="T103" t="str">
        <f t="shared" si="101"/>
        <v>3.7718429928675-187.88057157065i</v>
      </c>
      <c r="U103" t="str">
        <f t="shared" si="102"/>
        <v>0.64-0.48i</v>
      </c>
      <c r="V103">
        <f t="shared" si="90"/>
        <v>-16.458812796693422</v>
      </c>
      <c r="W103">
        <f t="shared" si="91"/>
        <v>-125.71982266903105</v>
      </c>
      <c r="X103">
        <f t="shared" si="103"/>
        <v>-1.9382002601611279</v>
      </c>
      <c r="Y103">
        <f t="shared" si="92"/>
        <v>-36.869905316410019</v>
      </c>
      <c r="AA103" s="123">
        <f t="shared" si="104"/>
        <v>7.0374892239551947</v>
      </c>
      <c r="AB103" s="123">
        <f t="shared" si="105"/>
        <v>-74.851246744863587</v>
      </c>
      <c r="AC103">
        <f t="shared" si="106"/>
        <v>-31.64210691556767</v>
      </c>
      <c r="AD103">
        <f t="shared" si="107"/>
        <v>-155.20665271348338</v>
      </c>
      <c r="AE103" s="123">
        <f t="shared" si="108"/>
        <v>-24.604617691612475</v>
      </c>
      <c r="AF103" s="123">
        <f t="shared" si="109"/>
        <v>-230.05789945834698</v>
      </c>
      <c r="AI103" s="123">
        <f t="shared" si="110"/>
        <v>0</v>
      </c>
      <c r="AJ103" s="123">
        <f t="shared" si="111"/>
        <v>0</v>
      </c>
      <c r="AK103" s="123">
        <f t="shared" si="112"/>
        <v>0</v>
      </c>
      <c r="AL103" s="123">
        <f t="shared" si="113"/>
        <v>0</v>
      </c>
      <c r="AM103" s="123">
        <f t="shared" si="114"/>
        <v>0</v>
      </c>
      <c r="AN103" s="123">
        <f t="shared" si="115"/>
        <v>0</v>
      </c>
      <c r="AO103" s="123">
        <f t="shared" si="116"/>
        <v>0</v>
      </c>
      <c r="AP103" s="123"/>
      <c r="AQ103" s="123">
        <f t="shared" si="117"/>
        <v>0</v>
      </c>
      <c r="AR103" s="123">
        <f t="shared" si="118"/>
        <v>0</v>
      </c>
      <c r="AS103" s="123">
        <f t="shared" si="119"/>
        <v>0</v>
      </c>
      <c r="AW103" t="str">
        <f t="shared" si="93"/>
        <v>17140</v>
      </c>
      <c r="AX103" t="str">
        <f t="shared" si="94"/>
        <v>8506-170.858804297529i</v>
      </c>
      <c r="AY103" t="str">
        <f t="shared" si="120"/>
        <v>5685.3263201109-76.3133373065675i</v>
      </c>
      <c r="AZ103">
        <f t="shared" si="95"/>
        <v>1.1164902628238997</v>
      </c>
      <c r="BA103">
        <f t="shared" si="96"/>
        <v>-0.7690271836182041</v>
      </c>
      <c r="BB103">
        <f t="shared" si="97"/>
        <v>-2.6846906568166591E-4</v>
      </c>
      <c r="BC103">
        <f t="shared" si="98"/>
        <v>0.15622746800833445</v>
      </c>
      <c r="BD103" s="123">
        <f t="shared" si="121"/>
        <v>-6.8776782361779238</v>
      </c>
      <c r="BE103" s="123">
        <f t="shared" si="122"/>
        <v>-74.271365483024312</v>
      </c>
      <c r="BF103">
        <f t="shared" si="123"/>
        <v>-15.342322533869522</v>
      </c>
      <c r="BG103">
        <f t="shared" si="124"/>
        <v>-126.48884985264925</v>
      </c>
      <c r="BH103" s="123">
        <f t="shared" si="125"/>
        <v>-22.220000770047445</v>
      </c>
      <c r="BI103" s="123">
        <f t="shared" si="126"/>
        <v>-200.76021533567356</v>
      </c>
      <c r="BL103" s="123">
        <f t="shared" si="127"/>
        <v>0</v>
      </c>
      <c r="BM103" s="123">
        <f t="shared" si="128"/>
        <v>0</v>
      </c>
      <c r="BN103" s="123">
        <f t="shared" si="129"/>
        <v>0</v>
      </c>
      <c r="BO103" s="123">
        <f t="shared" si="130"/>
        <v>0</v>
      </c>
      <c r="BP103" s="123">
        <f t="shared" si="131"/>
        <v>0</v>
      </c>
      <c r="BQ103" s="123">
        <f t="shared" si="132"/>
        <v>0</v>
      </c>
      <c r="BR103" s="123">
        <f t="shared" si="133"/>
        <v>0</v>
      </c>
      <c r="BS103" s="123"/>
      <c r="BT103" s="123"/>
      <c r="BU103" s="123">
        <f t="shared" si="134"/>
        <v>0</v>
      </c>
      <c r="BV103" s="123">
        <f t="shared" si="135"/>
        <v>0</v>
      </c>
      <c r="BX103" s="123">
        <f t="shared" si="136"/>
        <v>0</v>
      </c>
      <c r="BY103" s="123"/>
    </row>
    <row r="104" spans="5:77" x14ac:dyDescent="0.25">
      <c r="E104">
        <v>93</v>
      </c>
      <c r="F104">
        <v>200000</v>
      </c>
      <c r="G104" s="58">
        <f t="shared" si="79"/>
        <v>-9.0922166594528662</v>
      </c>
      <c r="H104" s="58">
        <f t="shared" si="80"/>
        <v>-84.445916786460188</v>
      </c>
      <c r="I104">
        <f t="shared" si="81"/>
        <v>13.914438333215976</v>
      </c>
      <c r="J104">
        <f t="shared" si="82"/>
        <v>-0.31777834807543909</v>
      </c>
      <c r="K104" t="str">
        <f t="shared" si="83"/>
        <v>19859.5108913203-18717.1441620254i</v>
      </c>
      <c r="L104" t="str">
        <f t="shared" si="84"/>
        <v>1000000000-1591549.76203148i</v>
      </c>
      <c r="M104" t="str">
        <f t="shared" si="85"/>
        <v>149977.503431461-0.0357990384486269i</v>
      </c>
      <c r="N104">
        <f t="shared" si="99"/>
        <v>-15.933078343893802</v>
      </c>
      <c r="O104">
        <f t="shared" si="86"/>
        <v>-37.01480835683163</v>
      </c>
      <c r="P104" t="str">
        <f t="shared" si="87"/>
        <v>-141.069824679266i</v>
      </c>
      <c r="Q104" t="str">
        <f t="shared" si="88"/>
        <v>9360-130.45489852717i</v>
      </c>
      <c r="R104" t="str">
        <f t="shared" si="100"/>
        <v>2.12435497670008-141.008199156078i</v>
      </c>
      <c r="S104" t="str">
        <f t="shared" si="89"/>
        <v>1583.11909008173-397881.141475842i</v>
      </c>
      <c r="T104" t="str">
        <f t="shared" si="101"/>
        <v>2.12304871429993-140.958250000974i</v>
      </c>
      <c r="U104" t="str">
        <f t="shared" si="102"/>
        <v>0.5-0.5i</v>
      </c>
      <c r="V104">
        <f t="shared" si="90"/>
        <v>-20.027504884463156</v>
      </c>
      <c r="W104">
        <f t="shared" si="91"/>
        <v>-134.13713031700334</v>
      </c>
      <c r="X104">
        <f t="shared" si="103"/>
        <v>-3.0102999566398116</v>
      </c>
      <c r="Y104">
        <f t="shared" si="92"/>
        <v>-45.000009361986116</v>
      </c>
      <c r="AA104" s="123">
        <f t="shared" si="104"/>
        <v>4.8222216737631101</v>
      </c>
      <c r="AB104" s="123">
        <f t="shared" si="105"/>
        <v>-84.763695134535624</v>
      </c>
      <c r="AC104">
        <f t="shared" si="106"/>
        <v>-35.96058322835696</v>
      </c>
      <c r="AD104">
        <f t="shared" si="107"/>
        <v>-171.15193867383496</v>
      </c>
      <c r="AE104" s="123">
        <f t="shared" si="108"/>
        <v>-31.13836155459385</v>
      </c>
      <c r="AF104" s="123">
        <f t="shared" si="109"/>
        <v>-255.91563380837059</v>
      </c>
      <c r="AI104" s="123">
        <f t="shared" si="110"/>
        <v>0</v>
      </c>
      <c r="AJ104" s="123">
        <f t="shared" si="111"/>
        <v>0</v>
      </c>
      <c r="AK104" s="123">
        <f t="shared" si="112"/>
        <v>0</v>
      </c>
      <c r="AL104" s="123">
        <f t="shared" si="113"/>
        <v>0</v>
      </c>
      <c r="AM104" s="123">
        <f t="shared" si="114"/>
        <v>0</v>
      </c>
      <c r="AN104" s="123">
        <f t="shared" si="115"/>
        <v>0</v>
      </c>
      <c r="AO104" s="123">
        <f t="shared" si="116"/>
        <v>0</v>
      </c>
      <c r="AP104" s="123"/>
      <c r="AQ104" s="123">
        <f t="shared" si="117"/>
        <v>0</v>
      </c>
      <c r="AR104" s="123">
        <f t="shared" si="118"/>
        <v>0</v>
      </c>
      <c r="AS104" s="123">
        <f t="shared" si="119"/>
        <v>0</v>
      </c>
      <c r="AW104" t="str">
        <f t="shared" si="93"/>
        <v>17140</v>
      </c>
      <c r="AX104" t="str">
        <f t="shared" si="94"/>
        <v>8506-128.144103223146i</v>
      </c>
      <c r="AY104" t="str">
        <f t="shared" si="120"/>
        <v>5685.10389419587-57.2361143645237i</v>
      </c>
      <c r="AZ104">
        <f t="shared" si="95"/>
        <v>1.1158082036005015</v>
      </c>
      <c r="BA104">
        <f t="shared" si="96"/>
        <v>-0.5768193053342946</v>
      </c>
      <c r="BB104">
        <f t="shared" si="97"/>
        <v>-1.510224611903996E-4</v>
      </c>
      <c r="BC104">
        <f t="shared" si="98"/>
        <v>0.11717721927878905</v>
      </c>
      <c r="BD104" s="123">
        <f t="shared" si="121"/>
        <v>-9.0923676819140571</v>
      </c>
      <c r="BE104" s="123">
        <f t="shared" si="122"/>
        <v>-84.328739567181401</v>
      </c>
      <c r="BF104">
        <f t="shared" si="123"/>
        <v>-18.911696680862654</v>
      </c>
      <c r="BG104">
        <f t="shared" si="124"/>
        <v>-134.71394962233762</v>
      </c>
      <c r="BH104" s="123">
        <f t="shared" si="125"/>
        <v>-28.00406436277671</v>
      </c>
      <c r="BI104" s="123">
        <f t="shared" si="126"/>
        <v>-219.04268918951902</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c r="BU104" s="123">
        <f t="shared" si="134"/>
        <v>0</v>
      </c>
      <c r="BV104" s="123">
        <f t="shared" si="135"/>
        <v>0</v>
      </c>
      <c r="BX104" s="123">
        <f t="shared" si="136"/>
        <v>0</v>
      </c>
      <c r="BY104" s="123"/>
    </row>
    <row r="105" spans="5:77" x14ac:dyDescent="0.25">
      <c r="E105">
        <v>94</v>
      </c>
      <c r="F105">
        <v>250000</v>
      </c>
      <c r="G105" s="58">
        <f t="shared" si="79"/>
        <v>-10.995539719015531</v>
      </c>
      <c r="H105" s="58">
        <f t="shared" si="80"/>
        <v>-92.128858319778985</v>
      </c>
      <c r="I105">
        <f t="shared" si="81"/>
        <v>13.914225075888066</v>
      </c>
      <c r="J105">
        <f t="shared" si="82"/>
        <v>-0.25423675294225306</v>
      </c>
      <c r="K105" t="str">
        <f t="shared" si="83"/>
        <v>15704.0927377822-18500.9445421029i</v>
      </c>
      <c r="L105" t="str">
        <f t="shared" si="84"/>
        <v>1000000000-1273239.80962518i</v>
      </c>
      <c r="M105" t="str">
        <f t="shared" si="85"/>
        <v>149977.503410953-0.0286392568669267i</v>
      </c>
      <c r="N105">
        <f t="shared" si="99"/>
        <v>-16.738862660656668</v>
      </c>
      <c r="O105">
        <f t="shared" si="86"/>
        <v>-43.302942668825942</v>
      </c>
      <c r="P105" t="str">
        <f t="shared" si="87"/>
        <v>-112.855859743413i</v>
      </c>
      <c r="Q105" t="str">
        <f t="shared" si="88"/>
        <v>9360-104.363918821736i</v>
      </c>
      <c r="R105" t="str">
        <f t="shared" si="100"/>
        <v>1.35999884899116-112.824297921958i</v>
      </c>
      <c r="S105" t="str">
        <f t="shared" si="89"/>
        <v>1013.2019921222-318306.727283517i</v>
      </c>
      <c r="T105" t="str">
        <f t="shared" si="101"/>
        <v>1.35916244837419-112.784324493437i</v>
      </c>
      <c r="U105" t="str">
        <f t="shared" si="102"/>
        <v>0.390243902439024-0.487804878048781i</v>
      </c>
      <c r="V105">
        <f t="shared" si="90"/>
        <v>-23.041033221846558</v>
      </c>
      <c r="W105">
        <f t="shared" si="91"/>
        <v>-140.64978372490972</v>
      </c>
      <c r="X105">
        <f t="shared" si="103"/>
        <v>-4.0866387406381053</v>
      </c>
      <c r="Y105">
        <f t="shared" si="92"/>
        <v>-51.340202426935797</v>
      </c>
      <c r="AA105" s="123">
        <f t="shared" si="104"/>
        <v>2.9186853568725351</v>
      </c>
      <c r="AB105" s="123">
        <f t="shared" si="105"/>
        <v>-92.383095072721233</v>
      </c>
      <c r="AC105">
        <f t="shared" si="106"/>
        <v>-39.779895882503226</v>
      </c>
      <c r="AD105">
        <f t="shared" si="107"/>
        <v>-183.95272639373567</v>
      </c>
      <c r="AE105" s="123">
        <f t="shared" si="108"/>
        <v>-36.861210525630689</v>
      </c>
      <c r="AF105" s="123">
        <f t="shared" si="109"/>
        <v>-276.33582146645688</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17140</v>
      </c>
      <c r="AX105" t="str">
        <f t="shared" si="94"/>
        <v>8506-102.515282578517i</v>
      </c>
      <c r="AY105" t="str">
        <f t="shared" si="120"/>
        <v>5685.00093984791-45.7893030331489i</v>
      </c>
      <c r="AZ105">
        <f t="shared" si="95"/>
        <v>1.1154924623802318</v>
      </c>
      <c r="BA105">
        <f t="shared" si="96"/>
        <v>-0.46147356066409395</v>
      </c>
      <c r="BB105">
        <f t="shared" si="97"/>
        <v>-9.6656926417340103E-5</v>
      </c>
      <c r="BC105">
        <f t="shared" si="98"/>
        <v>9.3744226281173959E-2</v>
      </c>
      <c r="BD105" s="123">
        <f t="shared" si="121"/>
        <v>-10.995636375941947</v>
      </c>
      <c r="BE105" s="123">
        <f t="shared" si="122"/>
        <v>-92.03511409349781</v>
      </c>
      <c r="BF105">
        <f t="shared" si="123"/>
        <v>-21.925540759466326</v>
      </c>
      <c r="BG105">
        <f t="shared" si="124"/>
        <v>-141.11125728557383</v>
      </c>
      <c r="BH105" s="123">
        <f t="shared" si="125"/>
        <v>-32.921177135408271</v>
      </c>
      <c r="BI105" s="123">
        <f t="shared" si="126"/>
        <v>-233.14637137907164</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c r="BU105" s="123">
        <f t="shared" si="134"/>
        <v>0</v>
      </c>
      <c r="BV105" s="123">
        <f t="shared" si="135"/>
        <v>0</v>
      </c>
      <c r="BX105" s="123">
        <f t="shared" si="136"/>
        <v>0</v>
      </c>
      <c r="BY105" s="123"/>
    </row>
    <row r="106" spans="5:77" x14ac:dyDescent="0.25">
      <c r="E106">
        <v>95</v>
      </c>
      <c r="F106">
        <v>300000</v>
      </c>
      <c r="G106" s="58">
        <f t="shared" si="79"/>
        <v>-12.667359389848801</v>
      </c>
      <c r="H106" s="58">
        <f t="shared" si="80"/>
        <v>-98.42272177577992</v>
      </c>
      <c r="I106">
        <f t="shared" si="81"/>
        <v>13.91410922217373</v>
      </c>
      <c r="J106">
        <f t="shared" si="82"/>
        <v>-0.21187033253002116</v>
      </c>
      <c r="K106" t="str">
        <f t="shared" si="83"/>
        <v>12505.8608315392-17679.7405536646i</v>
      </c>
      <c r="L106" t="str">
        <f t="shared" si="84"/>
        <v>1000000000-1061033.17468765i</v>
      </c>
      <c r="M106" t="str">
        <f t="shared" si="85"/>
        <v>149977.503399813-0.0238660592080234i</v>
      </c>
      <c r="N106">
        <f t="shared" si="99"/>
        <v>-17.555845961716603</v>
      </c>
      <c r="O106">
        <f t="shared" si="86"/>
        <v>-48.516217694449992</v>
      </c>
      <c r="P106" t="str">
        <f t="shared" si="87"/>
        <v>-94.0465497861774i</v>
      </c>
      <c r="Q106" t="str">
        <f t="shared" si="88"/>
        <v>9360-86.969932351447i</v>
      </c>
      <c r="R106" t="str">
        <f t="shared" si="100"/>
        <v>0.944599009302394-94.0282818385604i</v>
      </c>
      <c r="S106" t="str">
        <f t="shared" si="89"/>
        <v>703.614672846435-265256.427275638i</v>
      </c>
      <c r="T106" t="str">
        <f t="shared" si="101"/>
        <v>0.944018027317709-93.9949642592258i</v>
      </c>
      <c r="U106" t="str">
        <f t="shared" si="102"/>
        <v>0.307692307692308-0.461538461538462i</v>
      </c>
      <c r="V106">
        <f t="shared" si="90"/>
        <v>-25.656303828182416</v>
      </c>
      <c r="W106">
        <f t="shared" si="91"/>
        <v>-145.73454441094739</v>
      </c>
      <c r="X106">
        <f t="shared" si="103"/>
        <v>-5.1188336097887346</v>
      </c>
      <c r="Y106">
        <f t="shared" si="92"/>
        <v>-56.309944188971457</v>
      </c>
      <c r="AA106" s="123">
        <f t="shared" si="104"/>
        <v>1.2467498323249284</v>
      </c>
      <c r="AB106" s="123">
        <f t="shared" si="105"/>
        <v>-98.634592108309946</v>
      </c>
      <c r="AC106">
        <f t="shared" si="106"/>
        <v>-43.212149789899016</v>
      </c>
      <c r="AD106">
        <f t="shared" si="107"/>
        <v>-194.25076210539737</v>
      </c>
      <c r="AE106" s="123">
        <f t="shared" si="108"/>
        <v>-41.965399957574085</v>
      </c>
      <c r="AF106" s="123">
        <f t="shared" si="109"/>
        <v>-292.88535421370733</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17140</v>
      </c>
      <c r="AX106" t="str">
        <f t="shared" si="94"/>
        <v>8506-85.4294021487643i</v>
      </c>
      <c r="AY106" t="str">
        <f t="shared" si="120"/>
        <v>5684.94501325357-38.1579388247278i</v>
      </c>
      <c r="AZ106">
        <f t="shared" si="95"/>
        <v>1.1153209366298851</v>
      </c>
      <c r="BA106">
        <f t="shared" si="96"/>
        <v>-0.38456950203266177</v>
      </c>
      <c r="BB106">
        <f t="shared" si="97"/>
        <v>-6.7123828029455997E-5</v>
      </c>
      <c r="BC106">
        <f t="shared" si="98"/>
        <v>7.8121298055219904E-2</v>
      </c>
      <c r="BD106" s="123">
        <f t="shared" si="121"/>
        <v>-12.667426513676832</v>
      </c>
      <c r="BE106" s="123">
        <f t="shared" si="122"/>
        <v>-98.344600477724697</v>
      </c>
      <c r="BF106">
        <f t="shared" si="123"/>
        <v>-24.540982891552531</v>
      </c>
      <c r="BG106">
        <f t="shared" si="124"/>
        <v>-146.11911391298005</v>
      </c>
      <c r="BH106" s="123">
        <f t="shared" si="125"/>
        <v>-37.208409405229361</v>
      </c>
      <c r="BI106" s="123">
        <f t="shared" si="126"/>
        <v>-244.46371439070475</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c r="BU106" s="123">
        <f t="shared" si="134"/>
        <v>0</v>
      </c>
      <c r="BV106" s="123">
        <f t="shared" si="135"/>
        <v>0</v>
      </c>
      <c r="BX106" s="123">
        <f t="shared" si="136"/>
        <v>0</v>
      </c>
      <c r="BY106" s="123"/>
    </row>
    <row r="107" spans="5:77" x14ac:dyDescent="0.25">
      <c r="E107">
        <v>96</v>
      </c>
      <c r="F107">
        <v>350000</v>
      </c>
      <c r="G107" s="58">
        <f t="shared" si="79"/>
        <v>-14.166339028006639</v>
      </c>
      <c r="H107" s="58">
        <f t="shared" si="80"/>
        <v>-103.79521772114892</v>
      </c>
      <c r="I107">
        <f t="shared" si="81"/>
        <v>13.914039362558038</v>
      </c>
      <c r="J107">
        <f t="shared" si="82"/>
        <v>-0.18160643544735372</v>
      </c>
      <c r="K107" t="str">
        <f t="shared" si="83"/>
        <v>10079.8090217266-16624.9898766967i</v>
      </c>
      <c r="L107" t="str">
        <f t="shared" si="84"/>
        <v>1000000000-909457.006875131i</v>
      </c>
      <c r="M107" t="str">
        <f t="shared" si="85"/>
        <v>149977.503393095-0.0204566282863537i</v>
      </c>
      <c r="N107">
        <f t="shared" si="99"/>
        <v>-18.357278864347958</v>
      </c>
      <c r="O107">
        <f t="shared" si="86"/>
        <v>-52.841385309494882</v>
      </c>
      <c r="P107" t="str">
        <f t="shared" si="87"/>
        <v>-80.611328388152i</v>
      </c>
      <c r="Q107" t="str">
        <f t="shared" si="88"/>
        <v>9360-74.5456563012403i</v>
      </c>
      <c r="R107" t="str">
        <f t="shared" si="100"/>
        <v>0.694059952923719-80.5998232332921i</v>
      </c>
      <c r="S107" t="str">
        <f t="shared" si="89"/>
        <v>516.942357288599-227363.076376661i</v>
      </c>
      <c r="T107" t="str">
        <f t="shared" si="101"/>
        <v>0.693633043331195-80.5712620049542i</v>
      </c>
      <c r="U107" t="str">
        <f t="shared" si="102"/>
        <v>0.246153846153846-0.430769230769231i</v>
      </c>
      <c r="V107">
        <f t="shared" si="90"/>
        <v>-27.964008556654598</v>
      </c>
      <c r="W107">
        <f t="shared" si="91"/>
        <v>-149.7619062004031</v>
      </c>
      <c r="X107">
        <f t="shared" si="103"/>
        <v>-6.0879337398693059</v>
      </c>
      <c r="Y107">
        <f t="shared" si="92"/>
        <v>-60.255131238781914</v>
      </c>
      <c r="AA107" s="123">
        <f t="shared" si="104"/>
        <v>-0.25229966544860183</v>
      </c>
      <c r="AB107" s="123">
        <f t="shared" si="105"/>
        <v>-103.97682415659627</v>
      </c>
      <c r="AC107">
        <f t="shared" si="106"/>
        <v>-46.321287421002552</v>
      </c>
      <c r="AD107">
        <f t="shared" si="107"/>
        <v>-202.60329150989799</v>
      </c>
      <c r="AE107" s="123">
        <f t="shared" si="108"/>
        <v>-46.573587086451155</v>
      </c>
      <c r="AF107" s="123">
        <f t="shared" si="109"/>
        <v>-306.58011566649424</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17140</v>
      </c>
      <c r="AX107" t="str">
        <f t="shared" si="94"/>
        <v>8506-73.225201841798i</v>
      </c>
      <c r="AY107" t="str">
        <f t="shared" si="120"/>
        <v>5684.91129101719-32.7069009916155i</v>
      </c>
      <c r="AZ107">
        <f t="shared" si="95"/>
        <v>1.1152175079289501</v>
      </c>
      <c r="BA107">
        <f t="shared" si="96"/>
        <v>-0.32963524070071493</v>
      </c>
      <c r="BB107">
        <f t="shared" si="97"/>
        <v>-4.9315891863801139E-5</v>
      </c>
      <c r="BC107">
        <f t="shared" si="98"/>
        <v>6.6961686048650507E-2</v>
      </c>
      <c r="BD107" s="123">
        <f t="shared" si="121"/>
        <v>-14.166388343898504</v>
      </c>
      <c r="BE107" s="123">
        <f t="shared" si="122"/>
        <v>-103.72825603510026</v>
      </c>
      <c r="BF107">
        <f t="shared" si="123"/>
        <v>-26.848791048725648</v>
      </c>
      <c r="BG107">
        <f t="shared" si="124"/>
        <v>-150.09154144110383</v>
      </c>
      <c r="BH107" s="123">
        <f t="shared" si="125"/>
        <v>-41.015179392624148</v>
      </c>
      <c r="BI107" s="123">
        <f t="shared" si="126"/>
        <v>-253.81979747620409</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c r="BU107" s="123">
        <f t="shared" si="134"/>
        <v>0</v>
      </c>
      <c r="BV107" s="123">
        <f t="shared" si="135"/>
        <v>0</v>
      </c>
      <c r="BX107" s="123">
        <f t="shared" si="136"/>
        <v>0</v>
      </c>
      <c r="BY107" s="123"/>
    </row>
    <row r="108" spans="5:77" x14ac:dyDescent="0.25">
      <c r="E108">
        <v>97</v>
      </c>
      <c r="F108">
        <v>400000</v>
      </c>
      <c r="G108" s="58">
        <f t="shared" ref="G108:G138" si="137">20*LOG(IMABS(IMDIV(1,IMSUM(0,IMSUM(COMPLEX(0,2*PI*F108/Wsh),COMPLEX(1-(F108/fsw_sh)^2,0))))))</f>
        <v>-15.532820809060793</v>
      </c>
      <c r="H108" s="58">
        <f t="shared" ref="H108:H138" si="138">180/PI*IMARGUMENT(IMDIV(1,IMSUM(0,IMSUM(COMPLEX(0,2*PI*F108/Wsh),COMPLEX(1-(F108/fsw_sh)^2,0)))))</f>
        <v>-108.50021941239457</v>
      </c>
      <c r="I108">
        <f t="shared" ref="I108:I138" si="139">20*LOG(IMABS(IMPRODUCT(A_COMP2VOUT,IMDIV(COMPLEX(1, 2*PI*F108/Wesr_zero),COMPLEX(1, 2*PI*F108/Wload_pole)))))</f>
        <v>13.913994019579397</v>
      </c>
      <c r="J108">
        <f t="shared" ref="J108:J138" si="140">180/PI*(IMARGUMENT(IMPRODUCT(A_COMP2VOUT,IMDIV(COMPLEX(1, 2*PI*F108/Wesr_zero),COMPLEX(1, 2*PI*F108/Wload_pole)))))</f>
        <v>-0.15890750135755544</v>
      </c>
      <c r="K108" t="str">
        <f t="shared" ref="K108:K138" si="141">IMDIV(IMPRODUCT(COMPLEX(R.fbb,0),IMDIV(COMPLEX(1,0),COMPLEX(0,2*PI*F108*C.fbb))),IMSUM(COMPLEX(R.fbb,0),IMDIV(COMPLEX(1,0),COMPLEX(0,2*PI*F108*C.fbb))) )</f>
        <v>8236.22620211613-15524.917408055i</v>
      </c>
      <c r="L108" t="str">
        <f t="shared" ref="L108:L138" si="142">IMSUM(COMPLEX(R.ff,0),IMDIV(COMPLEX(1,0),COMPLEX(0,2*PI*F108*C.ff)))</f>
        <v>1000000000-795774.88101574i</v>
      </c>
      <c r="M108" t="str">
        <f t="shared" ref="M108:M138" si="143">IMDIV(IMPRODUCT(COMPLEX(R.fbt,0),L108),IMSUM(COMPLEX(R.fbt,0),L108))</f>
        <v>149977.503388736-0.0178995532191158i</v>
      </c>
      <c r="N108">
        <f t="shared" si="99"/>
        <v>-19.128905250841694</v>
      </c>
      <c r="O108">
        <f t="shared" ref="O108:O138" si="144">180/PI*IMARGUMENT((IMDIV(K108,IMSUM(K108,M108))))</f>
        <v>-56.449035547549094</v>
      </c>
      <c r="P108" t="str">
        <f t="shared" ref="P108:P138" si="145">IMDIV(COMPLEX(1,0),COMPLEX(0,2*PI*F108*C.hf))</f>
        <v>-70.534912339633i</v>
      </c>
      <c r="Q108" t="str">
        <f t="shared" ref="Q108:Q138" si="146">IMSUM(R.comp,0,IMDIV(COMPLEX(1,0),COMPLEX(0,2*PI*F108*C.comp)))</f>
        <v>9360-65.2274492635852i</v>
      </c>
      <c r="R108" t="str">
        <f t="shared" si="100"/>
        <v>0.531423867043362-70.5272042884362i</v>
      </c>
      <c r="S108" t="str">
        <f t="shared" ref="S108:S138" si="147">IMDIV(IMPRODUCT(COMPLEX(R.eaout,0),IMDIV(1,COMPLEX(0,2*PI*F108*C.eaout))),IMSUM(COMPLEX(R.eaout,0),IMDIV(1,COMPLEX(0,2*PI*F108*C.eaout))))</f>
        <v>395.784471825078-198942.932865583i</v>
      </c>
      <c r="T108" t="str">
        <f t="shared" si="101"/>
        <v>0.531096981739069-70.5022113372988i</v>
      </c>
      <c r="U108" t="str">
        <f t="shared" si="102"/>
        <v>0.2-0.4i</v>
      </c>
      <c r="V108">
        <f t="shared" ref="V108:V138" si="148">20*LOG(IMABS(IMPRODUCT(IMPRODUCT(COMPLEX(GM,0),T108),U108)))</f>
        <v>-30.025398820275235</v>
      </c>
      <c r="W108">
        <f t="shared" ref="W108:W138" si="149">180/PI*IMARGUMENT((IMPRODUCT(IMPRODUCT(COMPLEX(GM,0),T108),U108)))</f>
        <v>-153.00337660376445</v>
      </c>
      <c r="X108">
        <f t="shared" si="103"/>
        <v>-6.9897000433601875</v>
      </c>
      <c r="Y108">
        <f t="shared" ref="Y108:Y138" si="150">180/PI*IMARGUMENT((U108))</f>
        <v>-63.434962020191122</v>
      </c>
      <c r="AA108" s="123">
        <f t="shared" si="104"/>
        <v>-1.6188267894813961</v>
      </c>
      <c r="AB108" s="123">
        <f t="shared" si="105"/>
        <v>-108.65912691375213</v>
      </c>
      <c r="AC108">
        <f t="shared" si="106"/>
        <v>-49.154304071116925</v>
      </c>
      <c r="AD108">
        <f t="shared" si="107"/>
        <v>-209.45241215131355</v>
      </c>
      <c r="AE108" s="123">
        <f t="shared" si="108"/>
        <v>-50.773130860598322</v>
      </c>
      <c r="AF108" s="123">
        <f t="shared" si="109"/>
        <v>-318.1115390650657</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1">COMPLEX(R.imon,0)</f>
        <v>17140</v>
      </c>
      <c r="AX108" t="str">
        <f t="shared" ref="AX108:AX138" si="152">IMSUM(R.imonhf,0,IMDIV(COMPLEX(1,0),COMPLEX(0,2*PI*F108*C.imon)))</f>
        <v>8506-64.0720516115732i</v>
      </c>
      <c r="AY108" t="str">
        <f t="shared" si="120"/>
        <v>5684.88940388251-28.6185930488464i</v>
      </c>
      <c r="AZ108">
        <f t="shared" ref="AZ108:AZ138" si="153">20*LOG(IMABS(IMDIV(IMPRODUCT(IMPRODUCT(COMPLEX(-1,0),COMPLEX(GM.imon,0)),AY108),COMPLEX(A.s_typ,0))))</f>
        <v>1.1151503770798652</v>
      </c>
      <c r="BA108">
        <f t="shared" ref="BA108:BA138" si="154">180/PI*(IMARGUMENT(IMDIV(IMPRODUCT(IMPRODUCT(COMPLEX(1,0),COMPLEX(GM.imon,0)),AY108),COMPLEX(A.s_typ,0))))</f>
        <v>-0.28843324302018902</v>
      </c>
      <c r="BB108">
        <f t="shared" ref="BB108:BB138" si="155">20*LOG(IMABS(IMPRODUCT(A_COMP2CS,IMPRODUCT(IMDIV(COMPLEX(1, 2*PI*F108/Wesr_zero),COMPLEX(1, 2*PI*F108/Wload_pole)),IMDIV(COMPLEX(1, 2*PI*F108/WloadZ),COMPLEX(1, 2*PI*F108/Wesr_zero))))))</f>
        <v>-3.7757691593195396E-5</v>
      </c>
      <c r="BC108">
        <f t="shared" ref="BC108:BC138" si="156">180/PI*(IMARGUMENT(IMPRODUCT(A_COMP2CS,IMPRODUCT(IMDIV(COMPLEX(1, 2*PI*F108/Wesr_zero),COMPLEX(1, 2*PI*F108/Wload_pole)),IMDIV(COMPLEX(1, 2*PI*F108/WloadZ),COMPLEX(1, 2*PI*F108/Wesr_zero))))))</f>
        <v>5.859180095305247E-2</v>
      </c>
      <c r="BD108" s="123">
        <f t="shared" si="121"/>
        <v>-15.532858566752386</v>
      </c>
      <c r="BE108" s="123">
        <f t="shared" si="122"/>
        <v>-108.44162761144152</v>
      </c>
      <c r="BF108">
        <f t="shared" si="123"/>
        <v>-28.910248443195371</v>
      </c>
      <c r="BG108">
        <f t="shared" si="124"/>
        <v>-153.29180984678464</v>
      </c>
      <c r="BH108" s="123">
        <f t="shared" si="125"/>
        <v>-44.443107009947759</v>
      </c>
      <c r="BI108" s="123">
        <f t="shared" si="126"/>
        <v>-261.73343745822615</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c r="BU108" s="123">
        <f t="shared" si="134"/>
        <v>0</v>
      </c>
      <c r="BV108" s="123">
        <f t="shared" si="135"/>
        <v>0</v>
      </c>
      <c r="BX108" s="123">
        <f t="shared" si="136"/>
        <v>0</v>
      </c>
      <c r="BY108" s="123"/>
    </row>
    <row r="109" spans="5:77" x14ac:dyDescent="0.25">
      <c r="E109">
        <v>98</v>
      </c>
      <c r="F109">
        <v>450000</v>
      </c>
      <c r="G109" s="58">
        <f t="shared" si="137"/>
        <v>-16.794551822665348</v>
      </c>
      <c r="H109" s="58">
        <f t="shared" si="138"/>
        <v>-112.68811413092719</v>
      </c>
      <c r="I109">
        <f t="shared" si="139"/>
        <v>13.91396293194518</v>
      </c>
      <c r="J109">
        <f t="shared" si="140"/>
        <v>-0.14125225216389789</v>
      </c>
      <c r="K109" t="str">
        <f t="shared" si="141"/>
        <v>6822.10560287014-14466.7838599641i</v>
      </c>
      <c r="L109" t="str">
        <f t="shared" si="142"/>
        <v>1000000000-707355.449791769i</v>
      </c>
      <c r="M109" t="str">
        <f t="shared" si="143"/>
        <v>149977.503385747-0.0159107160861775i</v>
      </c>
      <c r="N109">
        <f t="shared" si="99"/>
        <v>-19.864215126058895</v>
      </c>
      <c r="O109">
        <f t="shared" si="144"/>
        <v>-59.481483623580729</v>
      </c>
      <c r="P109" t="str">
        <f t="shared" si="145"/>
        <v>-62.6976998574516i</v>
      </c>
      <c r="Q109" t="str">
        <f t="shared" si="146"/>
        <v>9360-57.9799549009646i</v>
      </c>
      <c r="R109" t="str">
        <f t="shared" si="100"/>
        <v>0.419908999650513-62.6922860077411i</v>
      </c>
      <c r="S109" t="str">
        <f t="shared" si="147"/>
        <v>312.718854784942-176838.309439477i</v>
      </c>
      <c r="T109" t="str">
        <f t="shared" si="101"/>
        <v>0.419650702215997-62.6700689075214i</v>
      </c>
      <c r="U109" t="str">
        <f t="shared" si="102"/>
        <v>0.164948453608247-0.371134020618557i</v>
      </c>
      <c r="V109">
        <f t="shared" si="148"/>
        <v>-31.885119342937966</v>
      </c>
      <c r="W109">
        <f t="shared" si="149"/>
        <v>-155.65388570433757</v>
      </c>
      <c r="X109">
        <f t="shared" si="103"/>
        <v>-7.8265175161032001</v>
      </c>
      <c r="Y109">
        <f t="shared" si="150"/>
        <v>-66.037524764138809</v>
      </c>
      <c r="AA109" s="123">
        <f t="shared" si="104"/>
        <v>-2.8805888907201673</v>
      </c>
      <c r="AB109" s="123">
        <f t="shared" si="105"/>
        <v>-112.82936638309108</v>
      </c>
      <c r="AC109">
        <f t="shared" si="106"/>
        <v>-51.749334468996864</v>
      </c>
      <c r="AD109">
        <f t="shared" si="107"/>
        <v>-215.13536932791828</v>
      </c>
      <c r="AE109" s="123">
        <f t="shared" si="108"/>
        <v>-54.629923359717033</v>
      </c>
      <c r="AF109" s="123">
        <f t="shared" si="109"/>
        <v>-327.96473571100938</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1"/>
        <v>17140</v>
      </c>
      <c r="AX109" t="str">
        <f t="shared" si="152"/>
        <v>8506-56.9529347658429i</v>
      </c>
      <c r="AY109" t="str">
        <f t="shared" si="120"/>
        <v>5684.87439808671-25.438782700628i</v>
      </c>
      <c r="AZ109">
        <f t="shared" si="153"/>
        <v>1.1151043516429451</v>
      </c>
      <c r="BA109">
        <f t="shared" si="154"/>
        <v>-0.25638657205379467</v>
      </c>
      <c r="BB109">
        <f t="shared" si="155"/>
        <v>-2.9833352546375675E-5</v>
      </c>
      <c r="BC109">
        <f t="shared" si="156"/>
        <v>5.2081799312834368E-2</v>
      </c>
      <c r="BD109" s="123">
        <f t="shared" si="121"/>
        <v>-16.794581656017893</v>
      </c>
      <c r="BE109" s="123">
        <f t="shared" si="122"/>
        <v>-112.63603233161436</v>
      </c>
      <c r="BF109">
        <f t="shared" si="123"/>
        <v>-30.770014991295021</v>
      </c>
      <c r="BG109">
        <f t="shared" si="124"/>
        <v>-155.91027227639137</v>
      </c>
      <c r="BH109" s="123">
        <f t="shared" si="125"/>
        <v>-47.564596647312911</v>
      </c>
      <c r="BI109" s="123">
        <f t="shared" si="126"/>
        <v>-268.5463046080057</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c r="BU109" s="123">
        <f t="shared" si="134"/>
        <v>0</v>
      </c>
      <c r="BV109" s="123">
        <f t="shared" si="135"/>
        <v>0</v>
      </c>
      <c r="BX109" s="123">
        <f t="shared" si="136"/>
        <v>0</v>
      </c>
      <c r="BY109" s="123"/>
    </row>
    <row r="110" spans="5:77" x14ac:dyDescent="0.25">
      <c r="E110">
        <v>99</v>
      </c>
      <c r="F110">
        <v>500000</v>
      </c>
      <c r="G110" s="58">
        <f t="shared" si="137"/>
        <v>-17.970956082272458</v>
      </c>
      <c r="H110" s="58">
        <f t="shared" si="138"/>
        <v>-116.45548700725494</v>
      </c>
      <c r="I110">
        <f t="shared" si="139"/>
        <v>13.913940694825239</v>
      </c>
      <c r="J110">
        <f t="shared" si="140"/>
        <v>-0.12712776075100346</v>
      </c>
      <c r="K110" t="str">
        <f t="shared" si="141"/>
        <v>5723.74883455941-13486.2626614959i</v>
      </c>
      <c r="L110" t="str">
        <f t="shared" si="142"/>
        <v>1000000000-636619.904812592i</v>
      </c>
      <c r="M110" t="str">
        <f t="shared" si="143"/>
        <v>149977.503383609-0.0143196458387914i</v>
      </c>
      <c r="N110">
        <f t="shared" si="99"/>
        <v>-20.561184622082575</v>
      </c>
      <c r="O110">
        <f t="shared" si="144"/>
        <v>-62.052603894325102</v>
      </c>
      <c r="P110" t="str">
        <f t="shared" si="145"/>
        <v>-56.4279298717064i</v>
      </c>
      <c r="Q110" t="str">
        <f t="shared" si="146"/>
        <v>9360-52.1819594108682i</v>
      </c>
      <c r="R110" t="str">
        <f t="shared" si="100"/>
        <v>0.3401370305349-56.4239830506351i</v>
      </c>
      <c r="S110" t="str">
        <f t="shared" si="147"/>
        <v>253.302422879446-159154.573059737i</v>
      </c>
      <c r="T110" t="str">
        <f t="shared" si="101"/>
        <v>0.339927799363737-56.4039869241163i</v>
      </c>
      <c r="U110" t="str">
        <f t="shared" si="102"/>
        <v>0.137931034482759-0.344827586206897i</v>
      </c>
      <c r="V110">
        <f t="shared" si="148"/>
        <v>-33.577026265188145</v>
      </c>
      <c r="W110">
        <f t="shared" si="149"/>
        <v>-157.85332520212484</v>
      </c>
      <c r="X110">
        <f t="shared" si="103"/>
        <v>-8.6033800657099242</v>
      </c>
      <c r="Y110">
        <f t="shared" si="150"/>
        <v>-68.198604701964996</v>
      </c>
      <c r="AA110" s="123">
        <f t="shared" si="104"/>
        <v>-4.057015387447219</v>
      </c>
      <c r="AB110" s="123">
        <f t="shared" si="105"/>
        <v>-116.58261476800595</v>
      </c>
      <c r="AC110">
        <f t="shared" si="106"/>
        <v>-54.138210887270716</v>
      </c>
      <c r="AD110">
        <f t="shared" si="107"/>
        <v>-219.90592909644994</v>
      </c>
      <c r="AE110" s="123">
        <f t="shared" si="108"/>
        <v>-58.195226274717939</v>
      </c>
      <c r="AF110" s="123">
        <f t="shared" si="109"/>
        <v>-336.48854386445589</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1"/>
        <v>17140</v>
      </c>
      <c r="AX110" t="str">
        <f t="shared" si="152"/>
        <v>8506-51.2576412892586i</v>
      </c>
      <c r="AY110" t="str">
        <f t="shared" si="120"/>
        <v>5684.86366450512-22.8949258833482i</v>
      </c>
      <c r="AZ110">
        <f t="shared" si="153"/>
        <v>1.1150714295454236</v>
      </c>
      <c r="BA110">
        <f t="shared" si="154"/>
        <v>-0.23074885935781006</v>
      </c>
      <c r="BB110">
        <f t="shared" si="155"/>
        <v>-2.4165082134204463E-5</v>
      </c>
      <c r="BC110">
        <f t="shared" si="156"/>
        <v>4.6873747147600987E-2</v>
      </c>
      <c r="BD110" s="123">
        <f t="shared" si="121"/>
        <v>-17.970980247354593</v>
      </c>
      <c r="BE110" s="123">
        <f t="shared" si="122"/>
        <v>-116.40861326010734</v>
      </c>
      <c r="BF110">
        <f t="shared" si="123"/>
        <v>-32.461954835642722</v>
      </c>
      <c r="BG110">
        <f t="shared" si="124"/>
        <v>-158.08407406148265</v>
      </c>
      <c r="BH110" s="123">
        <f t="shared" si="125"/>
        <v>-50.432935082997318</v>
      </c>
      <c r="BI110" s="123">
        <f t="shared" si="126"/>
        <v>-274.49268732158998</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c r="BU110" s="123">
        <f t="shared" si="134"/>
        <v>0</v>
      </c>
      <c r="BV110" s="123">
        <f t="shared" si="135"/>
        <v>0</v>
      </c>
      <c r="BX110" s="123">
        <f t="shared" si="136"/>
        <v>0</v>
      </c>
      <c r="BY110" s="123"/>
    </row>
    <row r="111" spans="5:77" x14ac:dyDescent="0.25">
      <c r="E111">
        <v>100</v>
      </c>
      <c r="F111">
        <v>550000</v>
      </c>
      <c r="G111" s="58">
        <f t="shared" si="137"/>
        <v>-19.075955668828321</v>
      </c>
      <c r="H111" s="58">
        <f t="shared" si="138"/>
        <v>-119.86910925412501</v>
      </c>
      <c r="I111">
        <f t="shared" si="139"/>
        <v>13.913924241700599</v>
      </c>
      <c r="J111">
        <f t="shared" si="140"/>
        <v>-0.11557118517128535</v>
      </c>
      <c r="K111" t="str">
        <f t="shared" si="141"/>
        <v>4859.08856921979-12593.8508654907i</v>
      </c>
      <c r="L111" t="str">
        <f t="shared" si="142"/>
        <v>1000000000-578745.368011447i</v>
      </c>
      <c r="M111" t="str">
        <f t="shared" si="143"/>
        <v>149977.503382027-0.013017860768888i</v>
      </c>
      <c r="N111">
        <f t="shared" si="99"/>
        <v>-21.220247910745449</v>
      </c>
      <c r="O111">
        <f t="shared" si="144"/>
        <v>-64.251889514104477</v>
      </c>
      <c r="P111" t="str">
        <f t="shared" si="145"/>
        <v>-51.2981180651877i</v>
      </c>
      <c r="Q111" t="str">
        <f t="shared" si="146"/>
        <v>9360-47.4381449189711i</v>
      </c>
      <c r="R111" t="str">
        <f t="shared" si="100"/>
        <v>0.281111552034831-51.2951526908149i</v>
      </c>
      <c r="S111" t="str">
        <f t="shared" si="147"/>
        <v>209.340937384493-144686.039115117i</v>
      </c>
      <c r="T111" t="str">
        <f t="shared" si="101"/>
        <v>0.280938627443947-51.276973898674i</v>
      </c>
      <c r="U111" t="str">
        <f t="shared" si="102"/>
        <v>0.116788321167883-0.321167883211679i</v>
      </c>
      <c r="V111">
        <f t="shared" si="148"/>
        <v>-35.127427732392704</v>
      </c>
      <c r="W111">
        <f t="shared" si="149"/>
        <v>-159.70301510967334</v>
      </c>
      <c r="X111">
        <f t="shared" si="103"/>
        <v>-9.3260058450048167</v>
      </c>
      <c r="Y111">
        <f t="shared" si="150"/>
        <v>-70.016908044704167</v>
      </c>
      <c r="AA111" s="123">
        <f t="shared" si="104"/>
        <v>-5.1620314271277223</v>
      </c>
      <c r="AB111" s="123">
        <f t="shared" si="105"/>
        <v>-119.9846804392963</v>
      </c>
      <c r="AC111">
        <f t="shared" si="106"/>
        <v>-56.347675643138153</v>
      </c>
      <c r="AD111">
        <f t="shared" si="107"/>
        <v>-223.95490462377782</v>
      </c>
      <c r="AE111" s="123">
        <f t="shared" si="108"/>
        <v>-61.509707070265875</v>
      </c>
      <c r="AF111" s="123">
        <f t="shared" si="109"/>
        <v>-343.93958506307411</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1"/>
        <v>17140</v>
      </c>
      <c r="AX111" t="str">
        <f t="shared" si="152"/>
        <v>8506-46.5978557175078i</v>
      </c>
      <c r="AY111" t="str">
        <f t="shared" si="120"/>
        <v>5684.85572285569-20.8135834145522i</v>
      </c>
      <c r="AZ111">
        <f t="shared" si="153"/>
        <v>1.1150470707162183</v>
      </c>
      <c r="BA111">
        <f t="shared" si="154"/>
        <v>-0.20977232563124332</v>
      </c>
      <c r="BB111">
        <f t="shared" si="155"/>
        <v>-1.997118289552311E-5</v>
      </c>
      <c r="BC111">
        <f t="shared" si="156"/>
        <v>4.261258334589578E-2</v>
      </c>
      <c r="BD111" s="123">
        <f t="shared" si="121"/>
        <v>-19.075975640011215</v>
      </c>
      <c r="BE111" s="123">
        <f t="shared" si="122"/>
        <v>-119.82649667077911</v>
      </c>
      <c r="BF111">
        <f t="shared" si="123"/>
        <v>-34.012380661676488</v>
      </c>
      <c r="BG111">
        <f t="shared" si="124"/>
        <v>-159.91278743530458</v>
      </c>
      <c r="BH111" s="123">
        <f t="shared" si="125"/>
        <v>-53.088356301687703</v>
      </c>
      <c r="BI111" s="123">
        <f t="shared" si="126"/>
        <v>-279.73928410608369</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c r="BU111" s="123">
        <f t="shared" si="134"/>
        <v>0</v>
      </c>
      <c r="BV111" s="123">
        <f t="shared" si="135"/>
        <v>0</v>
      </c>
      <c r="BX111" s="123">
        <f t="shared" si="136"/>
        <v>0</v>
      </c>
      <c r="BY111" s="123"/>
    </row>
    <row r="112" spans="5:77" x14ac:dyDescent="0.25">
      <c r="E112">
        <v>101</v>
      </c>
      <c r="F112">
        <v>600000</v>
      </c>
      <c r="G112" s="58">
        <f t="shared" si="137"/>
        <v>-20.119792505756209</v>
      </c>
      <c r="H112" s="58">
        <f t="shared" si="138"/>
        <v>-122.97820680084594</v>
      </c>
      <c r="I112">
        <f t="shared" si="139"/>
        <v>13.913911727652735</v>
      </c>
      <c r="J112">
        <f t="shared" si="140"/>
        <v>-0.10594059720012519</v>
      </c>
      <c r="K112" t="str">
        <f t="shared" si="141"/>
        <v>4169.27188785112-11788.3360878281i</v>
      </c>
      <c r="L112" t="str">
        <f t="shared" si="142"/>
        <v>1000000000-530516.587343827i</v>
      </c>
      <c r="M112" t="str">
        <f t="shared" si="143"/>
        <v>149977.503380824-0.0119330396763498i</v>
      </c>
      <c r="N112">
        <f t="shared" si="99"/>
        <v>-21.8430993150182</v>
      </c>
      <c r="O112">
        <f t="shared" si="144"/>
        <v>-66.149288334382888</v>
      </c>
      <c r="P112" t="str">
        <f t="shared" si="145"/>
        <v>-47.0232748930887i</v>
      </c>
      <c r="Q112" t="str">
        <f t="shared" si="146"/>
        <v>9360-43.4849661757235i</v>
      </c>
      <c r="R112" t="str">
        <f t="shared" si="100"/>
        <v>0.236215988111806-47.0209907591574i</v>
      </c>
      <c r="S112" t="str">
        <f t="shared" si="147"/>
        <v>175.904596479524-132628.913535191i</v>
      </c>
      <c r="T112" t="str">
        <f t="shared" si="101"/>
        <v>0.236070679415006-47.0043265210146i</v>
      </c>
      <c r="U112" t="str">
        <f t="shared" si="102"/>
        <v>0.1-0.3i</v>
      </c>
      <c r="V112">
        <f t="shared" si="148"/>
        <v>-36.55713376667471</v>
      </c>
      <c r="W112">
        <f t="shared" si="149"/>
        <v>-161.27732951931856</v>
      </c>
      <c r="X112">
        <f t="shared" si="103"/>
        <v>-10</v>
      </c>
      <c r="Y112">
        <f t="shared" si="150"/>
        <v>-71.565066065767226</v>
      </c>
      <c r="AA112" s="123">
        <f t="shared" si="104"/>
        <v>-6.2058807781034737</v>
      </c>
      <c r="AB112" s="123">
        <f t="shared" si="105"/>
        <v>-123.08414739804607</v>
      </c>
      <c r="AC112">
        <f t="shared" si="106"/>
        <v>-58.40023308169291</v>
      </c>
      <c r="AD112">
        <f t="shared" si="107"/>
        <v>-227.42661785370143</v>
      </c>
      <c r="AE112" s="123">
        <f t="shared" si="108"/>
        <v>-64.60611385979638</v>
      </c>
      <c r="AF112" s="123">
        <f t="shared" si="109"/>
        <v>-350.5107652517475</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1"/>
        <v>17140</v>
      </c>
      <c r="AX112" t="str">
        <f t="shared" si="152"/>
        <v>8506-42.7147010743822i</v>
      </c>
      <c r="AY112" t="str">
        <f t="shared" si="120"/>
        <v>5684.84968257262-19.079128190401i</v>
      </c>
      <c r="AZ112">
        <f t="shared" si="153"/>
        <v>1.1150285437147471</v>
      </c>
      <c r="BA112">
        <f t="shared" si="154"/>
        <v>-0.19229174143378464</v>
      </c>
      <c r="BB112">
        <f t="shared" si="155"/>
        <v>-1.6781367142676881E-5</v>
      </c>
      <c r="BC112">
        <f t="shared" si="156"/>
        <v>3.9061594650630929E-2</v>
      </c>
      <c r="BD112" s="123">
        <f t="shared" si="121"/>
        <v>-20.119809287123353</v>
      </c>
      <c r="BE112" s="123">
        <f t="shared" si="122"/>
        <v>-122.93914520619531</v>
      </c>
      <c r="BF112">
        <f t="shared" si="123"/>
        <v>-35.44210522295996</v>
      </c>
      <c r="BG112">
        <f t="shared" si="124"/>
        <v>-161.46962126075235</v>
      </c>
      <c r="BH112" s="123">
        <f t="shared" si="125"/>
        <v>-55.561914510083312</v>
      </c>
      <c r="BI112" s="123">
        <f t="shared" si="126"/>
        <v>-284.40876646694767</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c r="BU112" s="123">
        <f t="shared" si="134"/>
        <v>0</v>
      </c>
      <c r="BV112" s="123">
        <f t="shared" si="135"/>
        <v>0</v>
      </c>
      <c r="BX112" s="123">
        <f t="shared" si="136"/>
        <v>0</v>
      </c>
      <c r="BY112" s="123"/>
    </row>
    <row r="113" spans="5:77" x14ac:dyDescent="0.25">
      <c r="E113">
        <v>102</v>
      </c>
      <c r="F113">
        <v>650000</v>
      </c>
      <c r="G113" s="58">
        <f t="shared" si="137"/>
        <v>-21.110208031944182</v>
      </c>
      <c r="H113" s="58">
        <f t="shared" si="138"/>
        <v>-125.82104315069419</v>
      </c>
      <c r="I113">
        <f t="shared" si="139"/>
        <v>13.913901988722801</v>
      </c>
      <c r="J113">
        <f t="shared" si="140"/>
        <v>-9.7791567704371044E-2</v>
      </c>
      <c r="K113" t="str">
        <f t="shared" si="141"/>
        <v>3611.92033807707-11063.5005377717i</v>
      </c>
      <c r="L113" t="str">
        <f t="shared" si="142"/>
        <v>1000000000-489707.619086609i</v>
      </c>
      <c r="M113" t="str">
        <f t="shared" si="143"/>
        <v>149977.503379887-0.0110151140057842i</v>
      </c>
      <c r="N113">
        <f t="shared" si="99"/>
        <v>-22.432008133319847</v>
      </c>
      <c r="O113">
        <f t="shared" si="144"/>
        <v>-67.799544179880172</v>
      </c>
      <c r="P113" t="str">
        <f t="shared" si="145"/>
        <v>-43.4060999013126i</v>
      </c>
      <c r="Q113" t="str">
        <f t="shared" si="146"/>
        <v>9360-40.1399687775909i</v>
      </c>
      <c r="R113" t="str">
        <f t="shared" si="100"/>
        <v>0.201275578341987-43.4043033432686i</v>
      </c>
      <c r="S113" t="str">
        <f t="shared" si="147"/>
        <v>149.883245469462-122426.721274234i</v>
      </c>
      <c r="T113" t="str">
        <f t="shared" si="101"/>
        <v>0.201151762358099-43.3889207215i</v>
      </c>
      <c r="U113" t="str">
        <f t="shared" si="102"/>
        <v>0.0864864864864865-0.281081081081081i</v>
      </c>
      <c r="V113">
        <f t="shared" si="148"/>
        <v>-37.882847169125043</v>
      </c>
      <c r="W113">
        <f t="shared" si="149"/>
        <v>-162.63168257609672</v>
      </c>
      <c r="X113">
        <f t="shared" si="103"/>
        <v>-10.630517457470891</v>
      </c>
      <c r="Y113">
        <f t="shared" si="150"/>
        <v>-72.897286196797381</v>
      </c>
      <c r="AA113" s="123">
        <f t="shared" si="104"/>
        <v>-7.1963060432213819</v>
      </c>
      <c r="AB113" s="123">
        <f t="shared" si="105"/>
        <v>-125.91883471839857</v>
      </c>
      <c r="AC113">
        <f t="shared" si="106"/>
        <v>-60.31485530244489</v>
      </c>
      <c r="AD113">
        <f t="shared" si="107"/>
        <v>-230.43122675597689</v>
      </c>
      <c r="AE113" s="123">
        <f t="shared" si="108"/>
        <v>-67.511161345666267</v>
      </c>
      <c r="AF113" s="123">
        <f t="shared" si="109"/>
        <v>-356.35006147437548</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1"/>
        <v>17140</v>
      </c>
      <c r="AX113" t="str">
        <f t="shared" si="152"/>
        <v>8506-39.4289548378912i</v>
      </c>
      <c r="AY113" t="str">
        <f t="shared" si="120"/>
        <v>5684.84498180766-17.6115101720872i</v>
      </c>
      <c r="AZ113">
        <f t="shared" si="153"/>
        <v>1.11501412528296</v>
      </c>
      <c r="BA113">
        <f t="shared" si="154"/>
        <v>-0.17750038721159589</v>
      </c>
      <c r="BB113">
        <f t="shared" si="155"/>
        <v>-1.4298933570980795E-5</v>
      </c>
      <c r="BC113">
        <f t="shared" si="156"/>
        <v>3.6056899643253593E-2</v>
      </c>
      <c r="BD113" s="123">
        <f t="shared" si="121"/>
        <v>-21.110222330877754</v>
      </c>
      <c r="BE113" s="123">
        <f t="shared" si="122"/>
        <v>-125.78498625105094</v>
      </c>
      <c r="BF113">
        <f t="shared" si="123"/>
        <v>-36.767833043842082</v>
      </c>
      <c r="BG113">
        <f t="shared" si="124"/>
        <v>-162.80918296330833</v>
      </c>
      <c r="BH113" s="123">
        <f t="shared" si="125"/>
        <v>-57.878055374719835</v>
      </c>
      <c r="BI113" s="123">
        <f t="shared" si="126"/>
        <v>-288.59416921435928</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c r="BU113" s="123">
        <f t="shared" si="134"/>
        <v>0</v>
      </c>
      <c r="BV113" s="123">
        <f t="shared" si="135"/>
        <v>0</v>
      </c>
      <c r="BX113" s="123">
        <f t="shared" si="136"/>
        <v>0</v>
      </c>
      <c r="BY113" s="123"/>
    </row>
    <row r="114" spans="5:77" x14ac:dyDescent="0.25">
      <c r="E114">
        <v>103</v>
      </c>
      <c r="F114">
        <v>700000</v>
      </c>
      <c r="G114" s="58">
        <f t="shared" si="137"/>
        <v>-22.053214659232001</v>
      </c>
      <c r="H114" s="58">
        <f t="shared" si="138"/>
        <v>-128.42860528331741</v>
      </c>
      <c r="I114">
        <f t="shared" si="139"/>
        <v>13.913894261143795</v>
      </c>
      <c r="J114">
        <f t="shared" si="140"/>
        <v>-9.0806637870401247E-2</v>
      </c>
      <c r="K114" t="str">
        <f t="shared" si="141"/>
        <v>3156.2377254196-10411.3917476903i</v>
      </c>
      <c r="L114" t="str">
        <f t="shared" si="142"/>
        <v>1000000000-454728.503437566i</v>
      </c>
      <c r="M114" t="str">
        <f t="shared" si="143"/>
        <v>149977.503379144-0.0102283204860761i</v>
      </c>
      <c r="N114">
        <f t="shared" si="99"/>
        <v>-22.989437102994636</v>
      </c>
      <c r="O114">
        <f t="shared" si="144"/>
        <v>-69.245717865089944</v>
      </c>
      <c r="P114" t="str">
        <f t="shared" si="145"/>
        <v>-40.305664194076i</v>
      </c>
      <c r="Q114" t="str">
        <f t="shared" si="146"/>
        <v>9360-37.2728281506201i</v>
      </c>
      <c r="R114" t="str">
        <f t="shared" si="100"/>
        <v>0.173550745092216-40.3042257533548i</v>
      </c>
      <c r="S114" t="str">
        <f t="shared" si="147"/>
        <v>129.236090379218-113681.978941056i</v>
      </c>
      <c r="T114" t="str">
        <f t="shared" si="101"/>
        <v>0.173443983574322-40.2899417074806i</v>
      </c>
      <c r="U114" t="str">
        <f t="shared" si="102"/>
        <v>0.0754716981132075-0.264150943396226i</v>
      </c>
      <c r="V114">
        <f t="shared" si="148"/>
        <v>-39.118145518672328</v>
      </c>
      <c r="W114">
        <f t="shared" si="149"/>
        <v>-163.80798736597617</v>
      </c>
      <c r="X114">
        <f t="shared" si="103"/>
        <v>-11.222158782728279</v>
      </c>
      <c r="Y114">
        <f t="shared" si="150"/>
        <v>-74.054619505703258</v>
      </c>
      <c r="AA114" s="123">
        <f t="shared" si="104"/>
        <v>-8.1393203980882056</v>
      </c>
      <c r="AB114" s="123">
        <f t="shared" si="105"/>
        <v>-128.51941192118781</v>
      </c>
      <c r="AC114">
        <f t="shared" si="106"/>
        <v>-62.107582621666964</v>
      </c>
      <c r="AD114">
        <f t="shared" si="107"/>
        <v>-233.05370523106612</v>
      </c>
      <c r="AE114" s="123">
        <f t="shared" si="108"/>
        <v>-70.246903019755166</v>
      </c>
      <c r="AF114" s="123">
        <f t="shared" si="109"/>
        <v>-361.57311715225393</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1"/>
        <v>17140</v>
      </c>
      <c r="AX114" t="str">
        <f t="shared" si="152"/>
        <v>8506-36.612600920899i</v>
      </c>
      <c r="AY114" t="str">
        <f t="shared" si="120"/>
        <v>5684.84125189182-16.3535504846771i</v>
      </c>
      <c r="AZ114">
        <f t="shared" si="153"/>
        <v>1.1150026846562107</v>
      </c>
      <c r="BA114">
        <f t="shared" si="154"/>
        <v>-0.16482202257046161</v>
      </c>
      <c r="BB114">
        <f t="shared" si="155"/>
        <v>-1.2329194390971791E-5</v>
      </c>
      <c r="BC114">
        <f t="shared" si="156"/>
        <v>3.3481438525201718E-2</v>
      </c>
      <c r="BD114" s="123">
        <f t="shared" si="121"/>
        <v>-22.053226988426392</v>
      </c>
      <c r="BE114" s="123">
        <f t="shared" si="122"/>
        <v>-128.39512384479221</v>
      </c>
      <c r="BF114">
        <f t="shared" si="123"/>
        <v>-38.003142834016117</v>
      </c>
      <c r="BG114">
        <f t="shared" si="124"/>
        <v>-163.97280938854664</v>
      </c>
      <c r="BH114" s="123">
        <f t="shared" si="125"/>
        <v>-60.056369822442505</v>
      </c>
      <c r="BI114" s="123">
        <f t="shared" si="126"/>
        <v>-292.36793323333882</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c r="BU114" s="123">
        <f t="shared" si="134"/>
        <v>0</v>
      </c>
      <c r="BV114" s="123">
        <f t="shared" si="135"/>
        <v>0</v>
      </c>
      <c r="BX114" s="123">
        <f t="shared" si="136"/>
        <v>0</v>
      </c>
      <c r="BY114" s="123"/>
    </row>
    <row r="115" spans="5:77" x14ac:dyDescent="0.25">
      <c r="E115">
        <v>104</v>
      </c>
      <c r="F115">
        <v>750000</v>
      </c>
      <c r="G115" s="58">
        <f t="shared" si="137"/>
        <v>-22.953606243069203</v>
      </c>
      <c r="H115" s="58">
        <f t="shared" si="138"/>
        <v>-130.82675527211063</v>
      </c>
      <c r="I115">
        <f t="shared" si="139"/>
        <v>13.913888026904061</v>
      </c>
      <c r="J115">
        <f t="shared" si="140"/>
        <v>-8.4752999161777712E-2</v>
      </c>
      <c r="K115" t="str">
        <f t="shared" si="141"/>
        <v>2779.58700629025-9823.86934004859i</v>
      </c>
      <c r="L115" t="str">
        <f t="shared" si="142"/>
        <v>1000000000-424413.269875061i</v>
      </c>
      <c r="M115" t="str">
        <f t="shared" si="143"/>
        <v>149977.503378545-0.00954643270796641i</v>
      </c>
      <c r="N115">
        <f t="shared" si="99"/>
        <v>-23.517836810697119</v>
      </c>
      <c r="O115">
        <f t="shared" si="144"/>
        <v>-70.521918089060279</v>
      </c>
      <c r="P115" t="str">
        <f t="shared" si="145"/>
        <v>-37.6186199144709i</v>
      </c>
      <c r="Q115" t="str">
        <f t="shared" si="146"/>
        <v>9360-34.7879729405788i</v>
      </c>
      <c r="R115" t="str">
        <f t="shared" si="100"/>
        <v>0.151183320897992-37.6174503985347i</v>
      </c>
      <c r="S115" t="str">
        <f t="shared" si="147"/>
        <v>112.579013038291-106103.198018697i</v>
      </c>
      <c r="T115" t="str">
        <f t="shared" si="101"/>
        <v>0.151090318476199-37.6041184847367i</v>
      </c>
      <c r="U115" t="str">
        <f t="shared" si="102"/>
        <v>0.0663900414937759-0.24896265560166i</v>
      </c>
      <c r="V115">
        <f t="shared" si="148"/>
        <v>-40.274192240507809</v>
      </c>
      <c r="W115">
        <f t="shared" si="149"/>
        <v>-164.83840852829948</v>
      </c>
      <c r="X115">
        <f t="shared" si="103"/>
        <v>-11.778970599189426</v>
      </c>
      <c r="Y115">
        <f t="shared" si="150"/>
        <v>-75.068598439440919</v>
      </c>
      <c r="AA115" s="123">
        <f t="shared" si="104"/>
        <v>-9.0397182161651415</v>
      </c>
      <c r="AB115" s="123">
        <f t="shared" si="105"/>
        <v>-130.9115082712724</v>
      </c>
      <c r="AC115">
        <f t="shared" si="106"/>
        <v>-63.792029051204928</v>
      </c>
      <c r="AD115">
        <f t="shared" si="107"/>
        <v>-235.36032661735976</v>
      </c>
      <c r="AE115" s="123">
        <f t="shared" si="108"/>
        <v>-72.831747267370076</v>
      </c>
      <c r="AF115" s="123">
        <f t="shared" si="109"/>
        <v>-366.27183488863216</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1"/>
        <v>17140</v>
      </c>
      <c r="AX115" t="str">
        <f t="shared" si="152"/>
        <v>8506-34.1717608595057i</v>
      </c>
      <c r="AY115" t="str">
        <f t="shared" si="120"/>
        <v>5684.83824278428-15.2633177951544i</v>
      </c>
      <c r="AZ115">
        <f t="shared" si="153"/>
        <v>1.1149934549150271</v>
      </c>
      <c r="BA115">
        <f t="shared" si="154"/>
        <v>-0.15383406426236756</v>
      </c>
      <c r="BB115">
        <f t="shared" si="155"/>
        <v>-1.0740106471165213E-5</v>
      </c>
      <c r="BC115">
        <f t="shared" si="156"/>
        <v>3.1249366502822801E-2</v>
      </c>
      <c r="BD115" s="123">
        <f t="shared" si="121"/>
        <v>-22.953616983175674</v>
      </c>
      <c r="BE115" s="123">
        <f t="shared" si="122"/>
        <v>-130.7955059056078</v>
      </c>
      <c r="BF115">
        <f t="shared" si="123"/>
        <v>-39.159198785592778</v>
      </c>
      <c r="BG115">
        <f t="shared" si="124"/>
        <v>-164.99224259256184</v>
      </c>
      <c r="BH115" s="123">
        <f t="shared" si="125"/>
        <v>-62.112815768768456</v>
      </c>
      <c r="BI115" s="123">
        <f t="shared" si="126"/>
        <v>-295.78774849816966</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c r="BU115" s="123">
        <f t="shared" si="134"/>
        <v>0</v>
      </c>
      <c r="BV115" s="123">
        <f t="shared" si="135"/>
        <v>0</v>
      </c>
      <c r="BX115" s="123">
        <f t="shared" si="136"/>
        <v>0</v>
      </c>
      <c r="BY115" s="123"/>
    </row>
    <row r="116" spans="5:77" x14ac:dyDescent="0.25">
      <c r="E116">
        <v>105</v>
      </c>
      <c r="F116">
        <v>800000</v>
      </c>
      <c r="G116" s="58">
        <f t="shared" si="137"/>
        <v>-23.815300048003909</v>
      </c>
      <c r="H116" s="58">
        <f t="shared" si="138"/>
        <v>-133.03754303784814</v>
      </c>
      <c r="I116">
        <f t="shared" si="139"/>
        <v>13.913882924620108</v>
      </c>
      <c r="J116">
        <f t="shared" si="140"/>
        <v>-7.9456041945812836E-2</v>
      </c>
      <c r="K116" t="str">
        <f t="shared" si="141"/>
        <v>2465.12271675191-9293.29176715926i</v>
      </c>
      <c r="L116" t="str">
        <f t="shared" si="142"/>
        <v>1000000000-397887.44050787i</v>
      </c>
      <c r="M116" t="str">
        <f t="shared" si="143"/>
        <v>149977.503378054-0.00894978085891827i</v>
      </c>
      <c r="N116">
        <f t="shared" si="99"/>
        <v>-24.019540693558255</v>
      </c>
      <c r="O116">
        <f t="shared" si="144"/>
        <v>-71.655377706519246</v>
      </c>
      <c r="P116" t="str">
        <f t="shared" si="145"/>
        <v>-35.2674561698165i</v>
      </c>
      <c r="Q116" t="str">
        <f t="shared" si="146"/>
        <v>9360-32.6137246317926i</v>
      </c>
      <c r="R116" t="str">
        <f t="shared" si="100"/>
        <v>0.132876928463518-35.2664925113971i</v>
      </c>
      <c r="S116" t="str">
        <f t="shared" si="147"/>
        <v>98.9464116671692-99471.7617031313i</v>
      </c>
      <c r="T116" t="str">
        <f t="shared" si="101"/>
        <v>0.132795187134921-35.2539937365949i</v>
      </c>
      <c r="U116" t="str">
        <f t="shared" si="102"/>
        <v>0.0588235294117647-0.235294117647059i</v>
      </c>
      <c r="V116">
        <f t="shared" si="148"/>
        <v>-41.36026113239258</v>
      </c>
      <c r="W116">
        <f t="shared" si="149"/>
        <v>-165.74796957260631</v>
      </c>
      <c r="X116">
        <f t="shared" si="103"/>
        <v>-12.304489213782734</v>
      </c>
      <c r="Y116">
        <f t="shared" si="150"/>
        <v>-75.963772335887626</v>
      </c>
      <c r="AA116" s="123">
        <f t="shared" si="104"/>
        <v>-9.9014171233838013</v>
      </c>
      <c r="AB116" s="123">
        <f t="shared" si="105"/>
        <v>-133.11699907979394</v>
      </c>
      <c r="AC116">
        <f t="shared" si="106"/>
        <v>-65.379801825950835</v>
      </c>
      <c r="AD116">
        <f t="shared" si="107"/>
        <v>-237.40334727912557</v>
      </c>
      <c r="AE116" s="123">
        <f t="shared" si="108"/>
        <v>-75.28121894933463</v>
      </c>
      <c r="AF116" s="123">
        <f t="shared" si="109"/>
        <v>-370.52034635891948</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1"/>
        <v>17140</v>
      </c>
      <c r="AX116" t="str">
        <f t="shared" si="152"/>
        <v>8506-32.0360258057866i</v>
      </c>
      <c r="AY116" t="str">
        <f t="shared" si="120"/>
        <v>5684.83578004908-14.3093635093141i</v>
      </c>
      <c r="AZ116">
        <f t="shared" si="153"/>
        <v>1.1149859010299341</v>
      </c>
      <c r="BA116">
        <f t="shared" si="154"/>
        <v>-0.14421957069335176</v>
      </c>
      <c r="BB116">
        <f t="shared" si="155"/>
        <v>-9.4395526791450393E-6</v>
      </c>
      <c r="BC116">
        <f t="shared" si="156"/>
        <v>2.9296299418414318E-2</v>
      </c>
      <c r="BD116" s="123">
        <f t="shared" si="121"/>
        <v>-23.81530948755659</v>
      </c>
      <c r="BE116" s="123">
        <f t="shared" si="122"/>
        <v>-133.00824673842973</v>
      </c>
      <c r="BF116">
        <f t="shared" si="123"/>
        <v>-40.245275231362648</v>
      </c>
      <c r="BG116">
        <f t="shared" si="124"/>
        <v>-165.89218914329965</v>
      </c>
      <c r="BH116" s="123">
        <f t="shared" si="125"/>
        <v>-64.060584718919245</v>
      </c>
      <c r="BI116" s="123">
        <f t="shared" si="126"/>
        <v>-298.90043588172938</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c r="BU116" s="123">
        <f t="shared" si="134"/>
        <v>0</v>
      </c>
      <c r="BV116" s="123">
        <f t="shared" si="135"/>
        <v>0</v>
      </c>
      <c r="BX116" s="123">
        <f t="shared" si="136"/>
        <v>0</v>
      </c>
      <c r="BY116" s="123"/>
    </row>
    <row r="117" spans="5:77" x14ac:dyDescent="0.25">
      <c r="E117">
        <v>106</v>
      </c>
      <c r="F117">
        <v>850000</v>
      </c>
      <c r="G117" s="58">
        <f t="shared" si="137"/>
        <v>-24.641568787012172</v>
      </c>
      <c r="H117" s="58">
        <f t="shared" si="138"/>
        <v>-135.0800471930788</v>
      </c>
      <c r="I117">
        <f t="shared" si="139"/>
        <v>13.913878695961452</v>
      </c>
      <c r="J117">
        <f t="shared" si="140"/>
        <v>-7.4782239208895221E-2</v>
      </c>
      <c r="K117" t="str">
        <f t="shared" si="141"/>
        <v>2200.15302779425-8812.77851739007i</v>
      </c>
      <c r="L117" t="str">
        <f t="shared" si="142"/>
        <v>1000000000-374482.296948583i</v>
      </c>
      <c r="M117" t="str">
        <f t="shared" si="143"/>
        <v>149977.503377648-0.00842332331352165i</v>
      </c>
      <c r="N117">
        <f t="shared" si="99"/>
        <v>-24.496716851937215</v>
      </c>
      <c r="O117">
        <f t="shared" si="144"/>
        <v>-72.66802062925494</v>
      </c>
      <c r="P117" t="str">
        <f t="shared" si="145"/>
        <v>-33.1928999245332i</v>
      </c>
      <c r="Q117" t="str">
        <f t="shared" si="146"/>
        <v>9360-30.6952702416872i</v>
      </c>
      <c r="R117" t="str">
        <f t="shared" si="100"/>
        <v>0.117704837265688-33.1920965114272i</v>
      </c>
      <c r="S117" t="str">
        <f t="shared" si="147"/>
        <v>87.6480423830688-93620.4921805453i</v>
      </c>
      <c r="T117" t="str">
        <f t="shared" si="101"/>
        <v>0.117632429047464-33.1803328762872i</v>
      </c>
      <c r="U117" t="str">
        <f t="shared" si="102"/>
        <v>0.0524590163934426-0.222950819672131i</v>
      </c>
      <c r="V117">
        <f t="shared" si="148"/>
        <v>-42.384129207815448</v>
      </c>
      <c r="W117">
        <f t="shared" si="149"/>
        <v>-166.55638797683602</v>
      </c>
      <c r="X117">
        <f t="shared" si="103"/>
        <v>-12.801798566908616</v>
      </c>
      <c r="Y117">
        <f t="shared" si="150"/>
        <v>-76.759496054172502</v>
      </c>
      <c r="AA117" s="123">
        <f t="shared" si="104"/>
        <v>-10.72769009105072</v>
      </c>
      <c r="AB117" s="123">
        <f t="shared" si="105"/>
        <v>-135.1548294322877</v>
      </c>
      <c r="AC117">
        <f t="shared" si="106"/>
        <v>-66.880846059752656</v>
      </c>
      <c r="AD117">
        <f t="shared" si="107"/>
        <v>-239.22440860609095</v>
      </c>
      <c r="AE117" s="123">
        <f t="shared" si="108"/>
        <v>-77.608536150803374</v>
      </c>
      <c r="AF117" s="123">
        <f t="shared" si="109"/>
        <v>-374.37923803837862</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1"/>
        <v>17140</v>
      </c>
      <c r="AX117" t="str">
        <f t="shared" si="152"/>
        <v>8506-30.1515536995639i</v>
      </c>
      <c r="AY117" t="str">
        <f t="shared" si="120"/>
        <v>5684.8337389936-13.4676386436936i</v>
      </c>
      <c r="AZ117">
        <f t="shared" si="153"/>
        <v>1.11497964054234</v>
      </c>
      <c r="BA117">
        <f t="shared" si="154"/>
        <v>-0.13573617218736753</v>
      </c>
      <c r="BB117">
        <f t="shared" si="155"/>
        <v>-8.3616842625612243E-6</v>
      </c>
      <c r="BC117">
        <f t="shared" si="156"/>
        <v>2.7573001979550305E-2</v>
      </c>
      <c r="BD117" s="123">
        <f t="shared" si="121"/>
        <v>-24.641577148696435</v>
      </c>
      <c r="BE117" s="123">
        <f t="shared" si="122"/>
        <v>-135.05247419109924</v>
      </c>
      <c r="BF117">
        <f t="shared" si="123"/>
        <v>-41.269149567273111</v>
      </c>
      <c r="BG117">
        <f t="shared" si="124"/>
        <v>-166.69212414902339</v>
      </c>
      <c r="BH117" s="123">
        <f t="shared" si="125"/>
        <v>-65.910726715969545</v>
      </c>
      <c r="BI117" s="123">
        <f t="shared" si="126"/>
        <v>-301.74459834012259</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c r="BU117" s="123">
        <f t="shared" si="134"/>
        <v>0</v>
      </c>
      <c r="BV117" s="123">
        <f t="shared" si="135"/>
        <v>0</v>
      </c>
      <c r="BX117" s="123">
        <f t="shared" si="136"/>
        <v>0</v>
      </c>
      <c r="BY117" s="123"/>
    </row>
    <row r="118" spans="5:77" x14ac:dyDescent="0.25">
      <c r="E118">
        <v>107</v>
      </c>
      <c r="F118">
        <v>900000</v>
      </c>
      <c r="G118" s="58">
        <f t="shared" si="137"/>
        <v>-25.435200231376452</v>
      </c>
      <c r="H118" s="58">
        <f t="shared" si="138"/>
        <v>-136.97094268346345</v>
      </c>
      <c r="I118">
        <f t="shared" si="139"/>
        <v>13.913875152296971</v>
      </c>
      <c r="J118">
        <f t="shared" si="140"/>
        <v>-7.0627735329320596E-2</v>
      </c>
      <c r="K118" t="str">
        <f t="shared" si="141"/>
        <v>1974.99950441181-8376.26756813654i</v>
      </c>
      <c r="L118" t="str">
        <f t="shared" si="142"/>
        <v>1000000000-353677.724895884i</v>
      </c>
      <c r="M118" t="str">
        <f t="shared" si="143"/>
        <v>149977.503377307-0.00795536102773394i</v>
      </c>
      <c r="N118">
        <f t="shared" si="99"/>
        <v>-24.951351418532273</v>
      </c>
      <c r="O118">
        <f t="shared" si="144"/>
        <v>-73.57764361947703</v>
      </c>
      <c r="P118" t="str">
        <f t="shared" si="145"/>
        <v>-31.3488499287258i</v>
      </c>
      <c r="Q118" t="str">
        <f t="shared" si="146"/>
        <v>9360-28.9899774504823i</v>
      </c>
      <c r="R118" t="str">
        <f t="shared" si="100"/>
        <v>0.104990336922586-31.3481731131471i</v>
      </c>
      <c r="S118" t="str">
        <f t="shared" si="147"/>
        <v>78.1798970586947-88419.3620977508i</v>
      </c>
      <c r="T118" t="str">
        <f t="shared" si="101"/>
        <v>0.104925750075562-31.3370629480877i</v>
      </c>
      <c r="U118" t="str">
        <f t="shared" si="102"/>
        <v>0.0470588235294118-0.211764705882353i</v>
      </c>
      <c r="V118">
        <f t="shared" si="148"/>
        <v>-43.352374855259974</v>
      </c>
      <c r="W118">
        <f t="shared" si="149"/>
        <v>-167.27938460264892</v>
      </c>
      <c r="X118">
        <f t="shared" si="103"/>
        <v>-13.273589343863302</v>
      </c>
      <c r="Y118">
        <f t="shared" si="150"/>
        <v>-77.471208408275743</v>
      </c>
      <c r="AA118" s="123">
        <f t="shared" si="104"/>
        <v>-11.521325079079482</v>
      </c>
      <c r="AB118" s="123">
        <f t="shared" si="105"/>
        <v>-137.04157041879276</v>
      </c>
      <c r="AC118">
        <f t="shared" si="106"/>
        <v>-68.30372627379225</v>
      </c>
      <c r="AD118">
        <f t="shared" si="107"/>
        <v>-240.85702822212596</v>
      </c>
      <c r="AE118" s="123">
        <f t="shared" si="108"/>
        <v>-79.825051352871725</v>
      </c>
      <c r="AF118" s="123">
        <f t="shared" si="109"/>
        <v>-377.89859864091875</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1"/>
        <v>17140</v>
      </c>
      <c r="AX118" t="str">
        <f t="shared" si="152"/>
        <v>8506-28.4764673829214i</v>
      </c>
      <c r="AY118" t="str">
        <f t="shared" si="120"/>
        <v>5684.83202856869-12.7194383960208i</v>
      </c>
      <c r="AZ118">
        <f t="shared" si="153"/>
        <v>1.1149743941842101</v>
      </c>
      <c r="BA118">
        <f t="shared" si="154"/>
        <v>-0.12819535735168119</v>
      </c>
      <c r="BB118">
        <f t="shared" si="155"/>
        <v>-7.4584191741567518E-6</v>
      </c>
      <c r="BC118">
        <f t="shared" si="156"/>
        <v>2.6041179847416655E-2</v>
      </c>
      <c r="BD118" s="123">
        <f t="shared" si="121"/>
        <v>-25.435207689795625</v>
      </c>
      <c r="BE118" s="123">
        <f t="shared" si="122"/>
        <v>-136.94490150361602</v>
      </c>
      <c r="BF118">
        <f t="shared" si="123"/>
        <v>-42.237400461075765</v>
      </c>
      <c r="BG118">
        <f t="shared" si="124"/>
        <v>-167.40757996000059</v>
      </c>
      <c r="BH118" s="123">
        <f t="shared" si="125"/>
        <v>-67.672608150871383</v>
      </c>
      <c r="BI118" s="123">
        <f t="shared" si="126"/>
        <v>-304.35248146361664</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c r="BU118" s="123">
        <f t="shared" si="134"/>
        <v>0</v>
      </c>
      <c r="BV118" s="123">
        <f t="shared" si="135"/>
        <v>0</v>
      </c>
      <c r="BX118" s="123">
        <f t="shared" si="136"/>
        <v>0</v>
      </c>
      <c r="BY118" s="123"/>
    </row>
    <row r="119" spans="5:77" x14ac:dyDescent="0.25">
      <c r="E119">
        <v>108</v>
      </c>
      <c r="F119">
        <v>950000</v>
      </c>
      <c r="G119" s="58">
        <f t="shared" si="137"/>
        <v>-26.198608635877303</v>
      </c>
      <c r="H119" s="58">
        <f t="shared" si="138"/>
        <v>-138.72490510976138</v>
      </c>
      <c r="I119">
        <f t="shared" si="139"/>
        <v>13.913872153288612</v>
      </c>
      <c r="J119">
        <f t="shared" si="140"/>
        <v>-6.691053818804682E-2</v>
      </c>
      <c r="K119" t="str">
        <f t="shared" si="141"/>
        <v>1782.19596796178-7978.4789484179i</v>
      </c>
      <c r="L119" t="str">
        <f t="shared" si="142"/>
        <v>1000000000-335063.107796101i</v>
      </c>
      <c r="M119" t="str">
        <f t="shared" si="143"/>
        <v>149977.503377019-0.00753665791239236i</v>
      </c>
      <c r="N119">
        <f t="shared" si="99"/>
        <v>-25.385248971651677</v>
      </c>
      <c r="O119">
        <f t="shared" si="144"/>
        <v>-74.398810539835026</v>
      </c>
      <c r="P119" t="str">
        <f t="shared" si="145"/>
        <v>-29.6989104587929i</v>
      </c>
      <c r="Q119" t="str">
        <f t="shared" si="146"/>
        <v>9360-27.4641891636148i</v>
      </c>
      <c r="R119" t="str">
        <f t="shared" si="100"/>
        <v>0.0942299558033427-29.6983349805503i</v>
      </c>
      <c r="S119" t="str">
        <f t="shared" si="147"/>
        <v>70.1670046446184-83765.7181730886i</v>
      </c>
      <c r="T119" t="str">
        <f t="shared" si="101"/>
        <v>0.0941719882778664-29.6878095087411i</v>
      </c>
      <c r="U119" t="str">
        <f t="shared" si="102"/>
        <v>0.0424403183023873-0.20159151193634i</v>
      </c>
      <c r="V119">
        <f t="shared" si="148"/>
        <v>-44.270606882570746</v>
      </c>
      <c r="W119">
        <f t="shared" si="149"/>
        <v>-167.92963093915506</v>
      </c>
      <c r="X119">
        <f t="shared" si="103"/>
        <v>-13.72221367549866</v>
      </c>
      <c r="Y119">
        <f t="shared" si="150"/>
        <v>-78.111358210978679</v>
      </c>
      <c r="AA119" s="123">
        <f t="shared" si="104"/>
        <v>-12.284736482588691</v>
      </c>
      <c r="AB119" s="123">
        <f t="shared" si="105"/>
        <v>-138.79181564794942</v>
      </c>
      <c r="AC119">
        <f t="shared" si="106"/>
        <v>-69.655855854222423</v>
      </c>
      <c r="AD119">
        <f t="shared" si="107"/>
        <v>-242.3284414789901</v>
      </c>
      <c r="AE119" s="123">
        <f t="shared" si="108"/>
        <v>-81.940592336811108</v>
      </c>
      <c r="AF119" s="123">
        <f t="shared" si="109"/>
        <v>-381.12025712693952</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1"/>
        <v>17140</v>
      </c>
      <c r="AX119" t="str">
        <f t="shared" si="152"/>
        <v>8506-26.9777059417151i</v>
      </c>
      <c r="AY119" t="str">
        <f t="shared" si="120"/>
        <v>5684.83058103576-12.0499957926127i</v>
      </c>
      <c r="AZ119">
        <f t="shared" si="153"/>
        <v>1.1149699541853166</v>
      </c>
      <c r="BA119">
        <f t="shared" si="154"/>
        <v>-0.12144830032297003</v>
      </c>
      <c r="BB119">
        <f t="shared" si="155"/>
        <v>-6.6939852910390108E-6</v>
      </c>
      <c r="BC119">
        <f t="shared" si="156"/>
        <v>2.4670600503224858E-2</v>
      </c>
      <c r="BD119" s="123">
        <f t="shared" si="121"/>
        <v>-26.198615329862594</v>
      </c>
      <c r="BE119" s="123">
        <f t="shared" si="122"/>
        <v>-138.70023450925817</v>
      </c>
      <c r="BF119">
        <f t="shared" si="123"/>
        <v>-43.155636928385427</v>
      </c>
      <c r="BG119">
        <f t="shared" si="124"/>
        <v>-168.05107923947804</v>
      </c>
      <c r="BH119" s="123">
        <f t="shared" si="125"/>
        <v>-69.354252258248025</v>
      </c>
      <c r="BI119" s="123">
        <f t="shared" si="126"/>
        <v>-306.75131374873621</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c r="BU119" s="123">
        <f t="shared" si="134"/>
        <v>0</v>
      </c>
      <c r="BV119" s="123">
        <f t="shared" si="135"/>
        <v>0</v>
      </c>
      <c r="BX119" s="123">
        <f t="shared" si="136"/>
        <v>0</v>
      </c>
      <c r="BY119" s="123"/>
    </row>
    <row r="120" spans="5:77" x14ac:dyDescent="0.25">
      <c r="E120">
        <v>109</v>
      </c>
      <c r="F120">
        <v>1000000</v>
      </c>
      <c r="G120" s="58">
        <f t="shared" si="137"/>
        <v>-26.933913798212728</v>
      </c>
      <c r="H120" s="58">
        <f t="shared" si="138"/>
        <v>-140.35491364899903</v>
      </c>
      <c r="I120">
        <f t="shared" si="139"/>
        <v>13.913869592780069</v>
      </c>
      <c r="J120">
        <f t="shared" si="140"/>
        <v>-6.3565053525857354E-2</v>
      </c>
      <c r="K120" t="str">
        <f t="shared" si="141"/>
        <v>1615.91956294253-7614.83995737563i</v>
      </c>
      <c r="L120" t="str">
        <f t="shared" si="142"/>
        <v>1000000000-318309.952406296i</v>
      </c>
      <c r="M120" t="str">
        <f t="shared" si="143"/>
        <v>149977.503376773-0.00715982509506885i</v>
      </c>
      <c r="N120">
        <f t="shared" si="99"/>
        <v>-25.800041690102127</v>
      </c>
      <c r="O120">
        <f t="shared" si="144"/>
        <v>-75.143532726688719</v>
      </c>
      <c r="P120" t="str">
        <f t="shared" si="145"/>
        <v>-28.2139649358532i</v>
      </c>
      <c r="Q120" t="str">
        <f t="shared" si="146"/>
        <v>9360-26.0909797054341i</v>
      </c>
      <c r="R120" t="str">
        <f t="shared" si="100"/>
        <v>0.0850428443599025-28.2134715334007i</v>
      </c>
      <c r="S120" t="str">
        <f t="shared" si="147"/>
        <v>63.3257260240604-79577.4377085519i</v>
      </c>
      <c r="T120" t="str">
        <f t="shared" si="101"/>
        <v>0.0849905283730448-28.2034722927779i</v>
      </c>
      <c r="U120" t="str">
        <f t="shared" si="102"/>
        <v>0.0384615384615385-0.192307692307692i</v>
      </c>
      <c r="V120">
        <f t="shared" si="148"/>
        <v>-45.143642439016304</v>
      </c>
      <c r="W120">
        <f t="shared" si="149"/>
        <v>-168.51744356690259</v>
      </c>
      <c r="X120">
        <f t="shared" si="103"/>
        <v>-14.149733479708193</v>
      </c>
      <c r="Y120">
        <f t="shared" si="150"/>
        <v>-78.690083896986863</v>
      </c>
      <c r="AA120" s="123">
        <f t="shared" si="104"/>
        <v>-13.02004420543266</v>
      </c>
      <c r="AB120" s="123">
        <f t="shared" si="105"/>
        <v>-140.41847870252488</v>
      </c>
      <c r="AC120">
        <f t="shared" si="106"/>
        <v>-70.943684129118424</v>
      </c>
      <c r="AD120">
        <f t="shared" si="107"/>
        <v>-243.66097629359132</v>
      </c>
      <c r="AE120" s="123">
        <f t="shared" si="108"/>
        <v>-83.963728334551078</v>
      </c>
      <c r="AF120" s="123">
        <f t="shared" si="109"/>
        <v>-384.07945499611617</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1"/>
        <v>17140</v>
      </c>
      <c r="AX120" t="str">
        <f t="shared" si="152"/>
        <v>8506-25.6288206446293i</v>
      </c>
      <c r="AY120" t="str">
        <f t="shared" si="120"/>
        <v>5684.82934515533-11.4474972380346i</v>
      </c>
      <c r="AZ120">
        <f t="shared" si="153"/>
        <v>1.1149661633818546</v>
      </c>
      <c r="BA120">
        <f t="shared" si="154"/>
        <v>-0.11537593968464405</v>
      </c>
      <c r="BB120">
        <f t="shared" si="155"/>
        <v>-6.0413236755567349E-6</v>
      </c>
      <c r="BC120">
        <f t="shared" si="156"/>
        <v>2.3437077833748165E-2</v>
      </c>
      <c r="BD120" s="123">
        <f t="shared" si="121"/>
        <v>-26.933919839536404</v>
      </c>
      <c r="BE120" s="123">
        <f t="shared" si="122"/>
        <v>-140.33147657116527</v>
      </c>
      <c r="BF120">
        <f t="shared" si="123"/>
        <v>-44.028676275634453</v>
      </c>
      <c r="BG120">
        <f t="shared" si="124"/>
        <v>-168.63281950658723</v>
      </c>
      <c r="BH120" s="123">
        <f t="shared" si="125"/>
        <v>-70.962596115170854</v>
      </c>
      <c r="BI120" s="123">
        <f t="shared" si="126"/>
        <v>-308.96429607775246</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c r="BU120" s="123">
        <f t="shared" si="134"/>
        <v>0</v>
      </c>
      <c r="BV120" s="123">
        <f t="shared" si="135"/>
        <v>0</v>
      </c>
      <c r="BX120" s="123">
        <f t="shared" si="136"/>
        <v>0</v>
      </c>
      <c r="BY120" s="123"/>
    </row>
    <row r="121" spans="5:77" x14ac:dyDescent="0.25">
      <c r="E121">
        <v>110</v>
      </c>
      <c r="F121">
        <v>1500000</v>
      </c>
      <c r="G121" s="58">
        <f t="shared" si="137"/>
        <v>-33.078345555239778</v>
      </c>
      <c r="H121" s="58">
        <f t="shared" si="138"/>
        <v>-151.85213471586505</v>
      </c>
      <c r="I121">
        <f t="shared" si="139"/>
        <v>13.913856425437052</v>
      </c>
      <c r="J121">
        <f t="shared" si="140"/>
        <v>-4.2376847187325324E-2</v>
      </c>
      <c r="K121" t="str">
        <f t="shared" si="141"/>
        <v>735.801221883777-5201.07127258568i</v>
      </c>
      <c r="L121" t="str">
        <f t="shared" si="142"/>
        <v>1000000000-212206.634937531i</v>
      </c>
      <c r="M121" t="str">
        <f t="shared" si="143"/>
        <v>149977.503375507-0.00477321699870356i</v>
      </c>
      <c r="N121">
        <f t="shared" si="99"/>
        <v>-29.160283154817733</v>
      </c>
      <c r="O121">
        <f t="shared" si="144"/>
        <v>-79.971278275246021</v>
      </c>
      <c r="P121" t="str">
        <f t="shared" si="145"/>
        <v>-18.8093099572355i</v>
      </c>
      <c r="Q121" t="str">
        <f t="shared" si="146"/>
        <v>9360-17.3939864702894i</v>
      </c>
      <c r="R121" t="str">
        <f t="shared" si="100"/>
        <v>0.0377975265265289-18.8091637611824i</v>
      </c>
      <c r="S121" t="str">
        <f t="shared" si="147"/>
        <v>28.1447770234071-53051.6438031116i</v>
      </c>
      <c r="T121" t="str">
        <f t="shared" si="101"/>
        <v>0.0377742743022979-18.8024974553894i</v>
      </c>
      <c r="U121" t="str">
        <f t="shared" si="102"/>
        <v>0.0174672489082969-0.131004366812227i</v>
      </c>
      <c r="V121">
        <f t="shared" si="148"/>
        <v>-52.093426610119479</v>
      </c>
      <c r="W121">
        <f t="shared" si="149"/>
        <v>-172.29028523577179</v>
      </c>
      <c r="X121">
        <f t="shared" si="103"/>
        <v>-17.577754910119261</v>
      </c>
      <c r="Y121">
        <f t="shared" si="150"/>
        <v>-82.405373775359777</v>
      </c>
      <c r="AA121" s="123">
        <f t="shared" si="104"/>
        <v>-19.164489129802725</v>
      </c>
      <c r="AB121" s="123">
        <f t="shared" si="105"/>
        <v>-151.89451156305236</v>
      </c>
      <c r="AC121">
        <f t="shared" si="106"/>
        <v>-81.253709764937213</v>
      </c>
      <c r="AD121">
        <f t="shared" si="107"/>
        <v>-252.26156351101781</v>
      </c>
      <c r="AE121" s="123">
        <f t="shared" si="108"/>
        <v>-100.41819889473993</v>
      </c>
      <c r="AF121" s="123">
        <f t="shared" si="109"/>
        <v>-404.15607507407015</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1"/>
        <v>17140</v>
      </c>
      <c r="AX121" t="str">
        <f t="shared" si="152"/>
        <v>8506-17.0858804297529i</v>
      </c>
      <c r="AY121" t="str">
        <f t="shared" si="120"/>
        <v>5684.82298969762-7.63166905949002i</v>
      </c>
      <c r="AZ121">
        <f t="shared" si="153"/>
        <v>1.1149466692985706</v>
      </c>
      <c r="BA121">
        <f t="shared" si="154"/>
        <v>-7.6917479547290182E-2</v>
      </c>
      <c r="BB121">
        <f t="shared" si="155"/>
        <v>-2.6850370980391141E-6</v>
      </c>
      <c r="BC121">
        <f t="shared" si="156"/>
        <v>1.562474377337493E-2</v>
      </c>
      <c r="BD121" s="123">
        <f t="shared" si="121"/>
        <v>-33.078348240276874</v>
      </c>
      <c r="BE121" s="123">
        <f t="shared" si="122"/>
        <v>-151.83650997209168</v>
      </c>
      <c r="BF121">
        <f t="shared" si="123"/>
        <v>-50.978479940820911</v>
      </c>
      <c r="BG121">
        <f t="shared" si="124"/>
        <v>-172.36720271531908</v>
      </c>
      <c r="BH121" s="123">
        <f t="shared" si="125"/>
        <v>-84.056828181097785</v>
      </c>
      <c r="BI121" s="123">
        <f t="shared" si="126"/>
        <v>-324.20371268741076</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c r="BU121" s="123">
        <f t="shared" si="134"/>
        <v>0</v>
      </c>
      <c r="BV121" s="123">
        <f t="shared" si="135"/>
        <v>0</v>
      </c>
      <c r="BX121" s="123">
        <f t="shared" si="136"/>
        <v>0</v>
      </c>
      <c r="BY121" s="123"/>
    </row>
    <row r="122" spans="5:77" x14ac:dyDescent="0.25">
      <c r="E122">
        <v>111</v>
      </c>
      <c r="F122">
        <v>2000000</v>
      </c>
      <c r="G122" s="58">
        <f t="shared" si="137"/>
        <v>-37.713050032950314</v>
      </c>
      <c r="H122" s="58">
        <f t="shared" si="138"/>
        <v>-158.35192678754066</v>
      </c>
      <c r="I122">
        <f t="shared" si="139"/>
        <v>13.913851816845051</v>
      </c>
      <c r="J122">
        <f t="shared" si="140"/>
        <v>-3.178267341032863E-2</v>
      </c>
      <c r="K122" t="str">
        <f t="shared" si="141"/>
        <v>417.47191130476-3934.57925033923i</v>
      </c>
      <c r="L122" t="str">
        <f t="shared" si="142"/>
        <v>1000000000-159154.976203148i</v>
      </c>
      <c r="M122" t="str">
        <f t="shared" si="143"/>
        <v>149977.503375064-0.00357991281949367i</v>
      </c>
      <c r="N122">
        <f t="shared" si="99"/>
        <v>-31.601052690288665</v>
      </c>
      <c r="O122">
        <f t="shared" si="144"/>
        <v>-82.444794204655508</v>
      </c>
      <c r="P122" t="str">
        <f t="shared" si="145"/>
        <v>-14.1069824679266i</v>
      </c>
      <c r="Q122" t="str">
        <f t="shared" si="146"/>
        <v>9360-13.045489852717i</v>
      </c>
      <c r="R122" t="str">
        <f t="shared" si="100"/>
        <v>0.0212612478281044-14.106920791063i</v>
      </c>
      <c r="S122" t="str">
        <f t="shared" si="147"/>
        <v>15.8314390250454-39788.7377516562i</v>
      </c>
      <c r="T122" t="str">
        <f t="shared" si="101"/>
        <v>0.0212481683191747-14.1019210235552i</v>
      </c>
      <c r="U122" t="str">
        <f t="shared" si="102"/>
        <v>0.0099009900990099-0.099009900990099i</v>
      </c>
      <c r="V122">
        <f t="shared" si="148"/>
        <v>-57.057638315505692</v>
      </c>
      <c r="W122">
        <f t="shared" si="149"/>
        <v>-174.20311235248923</v>
      </c>
      <c r="X122">
        <f t="shared" si="103"/>
        <v>-20.043213737826427</v>
      </c>
      <c r="Y122">
        <f t="shared" si="150"/>
        <v>-84.289424398417182</v>
      </c>
      <c r="AA122" s="123">
        <f t="shared" si="104"/>
        <v>-23.79919821610526</v>
      </c>
      <c r="AB122" s="123">
        <f t="shared" si="105"/>
        <v>-158.383709460951</v>
      </c>
      <c r="AC122">
        <f t="shared" si="106"/>
        <v>-88.658691005794353</v>
      </c>
      <c r="AD122">
        <f t="shared" si="107"/>
        <v>-256.64790655714472</v>
      </c>
      <c r="AE122" s="123">
        <f t="shared" si="108"/>
        <v>-112.45788922189962</v>
      </c>
      <c r="AF122" s="123">
        <f t="shared" si="109"/>
        <v>-415.03161601809575</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1"/>
        <v>17140</v>
      </c>
      <c r="AX122" t="str">
        <f t="shared" si="152"/>
        <v>8506-12.8144103223147i</v>
      </c>
      <c r="AY122" t="str">
        <f t="shared" si="120"/>
        <v>5684.82076528575-5.72375290607843i</v>
      </c>
      <c r="AZ122">
        <f t="shared" si="153"/>
        <v>1.1149398463436815</v>
      </c>
      <c r="BA122">
        <f t="shared" si="154"/>
        <v>-5.7688158597025439E-2</v>
      </c>
      <c r="BB122">
        <f t="shared" si="155"/>
        <v>-1.5103341816876931E-6</v>
      </c>
      <c r="BC122">
        <f t="shared" si="156"/>
        <v>1.1718564449651013E-2</v>
      </c>
      <c r="BD122" s="123">
        <f t="shared" si="121"/>
        <v>-37.713051543284493</v>
      </c>
      <c r="BE122" s="123">
        <f t="shared" si="122"/>
        <v>-158.34020822309103</v>
      </c>
      <c r="BF122">
        <f t="shared" si="123"/>
        <v>-55.942698469162011</v>
      </c>
      <c r="BG122">
        <f t="shared" si="124"/>
        <v>-174.26080051108625</v>
      </c>
      <c r="BH122" s="123">
        <f t="shared" si="125"/>
        <v>-93.655750012446504</v>
      </c>
      <c r="BI122" s="123">
        <f t="shared" si="126"/>
        <v>-332.6010087341773</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c r="BU122" s="123">
        <f t="shared" si="134"/>
        <v>0</v>
      </c>
      <c r="BV122" s="123">
        <f t="shared" si="135"/>
        <v>0</v>
      </c>
      <c r="BX122" s="123">
        <f t="shared" si="136"/>
        <v>0</v>
      </c>
      <c r="BY122" s="123"/>
    </row>
    <row r="123" spans="5:77" x14ac:dyDescent="0.25">
      <c r="E123">
        <v>112</v>
      </c>
      <c r="F123">
        <v>2500000</v>
      </c>
      <c r="G123" s="58">
        <f t="shared" si="137"/>
        <v>-41.410973439668751</v>
      </c>
      <c r="H123" s="58">
        <f t="shared" si="138"/>
        <v>-162.46727833806059</v>
      </c>
      <c r="I123">
        <f t="shared" si="139"/>
        <v>13.913849683721446</v>
      </c>
      <c r="J123">
        <f t="shared" si="140"/>
        <v>-2.5426152806490861E-2</v>
      </c>
      <c r="K123" t="str">
        <f t="shared" si="141"/>
        <v>268.257125457953-3160.32914730638i</v>
      </c>
      <c r="L123" t="str">
        <f t="shared" si="142"/>
        <v>1000000000-127323.980962518i</v>
      </c>
      <c r="M123" t="str">
        <f t="shared" si="143"/>
        <v>149977.503374858-0.00286393028170379i</v>
      </c>
      <c r="N123">
        <f t="shared" si="99"/>
        <v>-33.512140280324417</v>
      </c>
      <c r="O123">
        <f t="shared" si="144"/>
        <v>-83.943224179551592</v>
      </c>
      <c r="P123" t="str">
        <f t="shared" si="145"/>
        <v>-11.2855859743413i</v>
      </c>
      <c r="Q123" t="str">
        <f t="shared" si="146"/>
        <v>9360-10.4363918821736i</v>
      </c>
      <c r="R123" t="str">
        <f t="shared" si="100"/>
        <v>0.0136072398326408-11.2855543956915i</v>
      </c>
      <c r="S123" t="str">
        <f t="shared" si="147"/>
        <v>10.1321215534909-31830.9920154745i</v>
      </c>
      <c r="T123" t="str">
        <f t="shared" si="101"/>
        <v>0.0135988689075861-11.2815545675539i</v>
      </c>
      <c r="U123" t="str">
        <f t="shared" si="102"/>
        <v>0.00635930047694754-0.0794912559618442i</v>
      </c>
      <c r="V123">
        <f t="shared" si="148"/>
        <v>-60.918521263448412</v>
      </c>
      <c r="W123">
        <f t="shared" si="149"/>
        <v>-175.35705050122803</v>
      </c>
      <c r="X123">
        <f t="shared" si="103"/>
        <v>-21.965906541173066</v>
      </c>
      <c r="Y123">
        <f t="shared" si="150"/>
        <v>-85.426096512493871</v>
      </c>
      <c r="AA123" s="123">
        <f t="shared" si="104"/>
        <v>-27.497123755947307</v>
      </c>
      <c r="AB123" s="123">
        <f t="shared" si="105"/>
        <v>-162.49270449086708</v>
      </c>
      <c r="AC123">
        <f t="shared" si="106"/>
        <v>-94.430661543772828</v>
      </c>
      <c r="AD123">
        <f t="shared" si="107"/>
        <v>-259.30027468077964</v>
      </c>
      <c r="AE123" s="123">
        <f t="shared" si="108"/>
        <v>-121.92778529972014</v>
      </c>
      <c r="AF123" s="123">
        <f t="shared" si="109"/>
        <v>-421.79297917164672</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1"/>
        <v>17140</v>
      </c>
      <c r="AX123" t="str">
        <f t="shared" si="152"/>
        <v>8506-10.2515282578517i</v>
      </c>
      <c r="AY123" t="str">
        <f t="shared" si="120"/>
        <v>5684.81973570054-4.57900273642092i</v>
      </c>
      <c r="AZ123">
        <f t="shared" si="153"/>
        <v>1.1149366882857605</v>
      </c>
      <c r="BA123">
        <f t="shared" si="154"/>
        <v>-4.6150544998156892E-2</v>
      </c>
      <c r="BB123">
        <f t="shared" si="155"/>
        <v>-9.6661412301947273E-7</v>
      </c>
      <c r="BC123">
        <f t="shared" si="156"/>
        <v>9.3748540108737049E-3</v>
      </c>
      <c r="BD123" s="123">
        <f t="shared" si="121"/>
        <v>-41.410974406282875</v>
      </c>
      <c r="BE123" s="123">
        <f t="shared" si="122"/>
        <v>-162.45790348404972</v>
      </c>
      <c r="BF123">
        <f t="shared" si="123"/>
        <v>-59.803584575162652</v>
      </c>
      <c r="BG123">
        <f t="shared" si="124"/>
        <v>-175.4032010462262</v>
      </c>
      <c r="BH123" s="123">
        <f t="shared" si="125"/>
        <v>-101.21455898144552</v>
      </c>
      <c r="BI123" s="123">
        <f t="shared" si="126"/>
        <v>-337.86110453027595</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c r="BU123" s="123">
        <f t="shared" si="134"/>
        <v>0</v>
      </c>
      <c r="BV123" s="123">
        <f t="shared" si="135"/>
        <v>0</v>
      </c>
      <c r="BX123" s="123">
        <f t="shared" si="136"/>
        <v>0</v>
      </c>
      <c r="BY123" s="123"/>
    </row>
    <row r="124" spans="5:77" x14ac:dyDescent="0.25">
      <c r="E124">
        <v>113</v>
      </c>
      <c r="F124">
        <v>3000000</v>
      </c>
      <c r="G124" s="58">
        <f t="shared" si="137"/>
        <v>-44.478193089686613</v>
      </c>
      <c r="H124" s="58">
        <f t="shared" si="138"/>
        <v>-165.28863985151642</v>
      </c>
      <c r="I124">
        <f t="shared" si="139"/>
        <v>13.913848524986555</v>
      </c>
      <c r="J124">
        <f t="shared" si="140"/>
        <v>-2.1188467044942171E-2</v>
      </c>
      <c r="K124" t="str">
        <f t="shared" si="141"/>
        <v>186.697754183975-2639.37676933054i</v>
      </c>
      <c r="L124" t="str">
        <f t="shared" si="142"/>
        <v>1000000000-106103.317468765i</v>
      </c>
      <c r="M124" t="str">
        <f t="shared" si="143"/>
        <v>149977.503374747-0.00238660857995519i</v>
      </c>
      <c r="N124">
        <f t="shared" si="99"/>
        <v>-35.080966076475697</v>
      </c>
      <c r="O124">
        <f t="shared" si="144"/>
        <v>-84.946946284553363</v>
      </c>
      <c r="P124" t="str">
        <f t="shared" si="145"/>
        <v>-9.40465497861774i</v>
      </c>
      <c r="Q124" t="str">
        <f t="shared" si="146"/>
        <v>9360-8.6969932351447i</v>
      </c>
      <c r="R124" t="str">
        <f t="shared" si="100"/>
        <v>0.00944948765645695-9.40463670390606i</v>
      </c>
      <c r="S124" t="str">
        <f t="shared" si="147"/>
        <v>7.03619574109294-26525.827500782i</v>
      </c>
      <c r="T124" t="str">
        <f t="shared" si="101"/>
        <v>0.00944367449921771-9.40130350739438i</v>
      </c>
      <c r="U124" t="str">
        <f t="shared" si="102"/>
        <v>0.00442477876106195-0.0663716814159292i</v>
      </c>
      <c r="V124">
        <f t="shared" si="148"/>
        <v>-64.077318539811301</v>
      </c>
      <c r="W124">
        <f t="shared" si="149"/>
        <v>-176.12840782011409</v>
      </c>
      <c r="X124">
        <f t="shared" si="103"/>
        <v>-23.541084391474008</v>
      </c>
      <c r="Y124">
        <f t="shared" si="150"/>
        <v>-86.18594309618598</v>
      </c>
      <c r="AA124" s="123">
        <f t="shared" si="104"/>
        <v>-30.564344564700058</v>
      </c>
      <c r="AB124" s="123">
        <f t="shared" si="105"/>
        <v>-165.30982831856136</v>
      </c>
      <c r="AC124">
        <f t="shared" si="106"/>
        <v>-99.158284616287006</v>
      </c>
      <c r="AD124">
        <f t="shared" si="107"/>
        <v>-261.07535410466744</v>
      </c>
      <c r="AE124" s="123">
        <f t="shared" si="108"/>
        <v>-129.72262918098707</v>
      </c>
      <c r="AF124" s="123">
        <f t="shared" si="109"/>
        <v>-426.3851824232288</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1"/>
        <v>17140</v>
      </c>
      <c r="AX124" t="str">
        <f t="shared" si="152"/>
        <v>8506-8.54294021487643i</v>
      </c>
      <c r="AY124" t="str">
        <f t="shared" si="120"/>
        <v>5684.8191764196-3.81583579998621i</v>
      </c>
      <c r="AZ124">
        <f t="shared" si="153"/>
        <v>1.1149349727962705</v>
      </c>
      <c r="BA124">
        <f t="shared" si="154"/>
        <v>-3.8458795701183032E-2</v>
      </c>
      <c r="BB124">
        <f t="shared" si="155"/>
        <v>-6.7125996647027626E-7</v>
      </c>
      <c r="BC124">
        <f t="shared" si="156"/>
        <v>7.8123794519703036E-3</v>
      </c>
      <c r="BD124" s="123">
        <f t="shared" si="121"/>
        <v>-44.478193760946581</v>
      </c>
      <c r="BE124" s="123">
        <f t="shared" si="122"/>
        <v>-165.28082747206446</v>
      </c>
      <c r="BF124">
        <f t="shared" si="123"/>
        <v>-62.962383567015031</v>
      </c>
      <c r="BG124">
        <f t="shared" si="124"/>
        <v>-176.16686661581528</v>
      </c>
      <c r="BH124" s="123">
        <f t="shared" si="125"/>
        <v>-107.44057732796162</v>
      </c>
      <c r="BI124" s="123">
        <f t="shared" si="126"/>
        <v>-341.44769408787977</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c r="BU124" s="123">
        <f t="shared" si="134"/>
        <v>0</v>
      </c>
      <c r="BV124" s="123">
        <f t="shared" si="135"/>
        <v>0</v>
      </c>
      <c r="BX124" s="123">
        <f t="shared" si="136"/>
        <v>0</v>
      </c>
      <c r="BY124" s="123"/>
    </row>
    <row r="125" spans="5:77" x14ac:dyDescent="0.25">
      <c r="E125">
        <v>114</v>
      </c>
      <c r="F125">
        <v>3500000</v>
      </c>
      <c r="G125" s="58">
        <f t="shared" si="137"/>
        <v>-47.094646376050669</v>
      </c>
      <c r="H125" s="58">
        <f t="shared" si="138"/>
        <v>-167.33702763602309</v>
      </c>
      <c r="I125">
        <f t="shared" si="139"/>
        <v>13.913847826305663</v>
      </c>
      <c r="J125">
        <f t="shared" si="140"/>
        <v>-1.8161546475069811E-2</v>
      </c>
      <c r="K125" t="str">
        <f t="shared" si="141"/>
        <v>137.34711255255-2265.3150975955i</v>
      </c>
      <c r="L125" t="str">
        <f t="shared" si="142"/>
        <v>1000000000-90945.7006875131i</v>
      </c>
      <c r="M125" t="str">
        <f t="shared" si="143"/>
        <v>149977.50337468-0.00204566450320578i</v>
      </c>
      <c r="N125">
        <f t="shared" si="99"/>
        <v>-36.410954031145174</v>
      </c>
      <c r="O125">
        <f t="shared" si="144"/>
        <v>-85.665835523009477</v>
      </c>
      <c r="P125" t="str">
        <f t="shared" si="145"/>
        <v>-8.0611328388152i</v>
      </c>
      <c r="Q125" t="str">
        <f t="shared" si="146"/>
        <v>9360-7.45456563012403i</v>
      </c>
      <c r="R125" t="str">
        <f t="shared" si="100"/>
        <v>0.00694248761602028-8.06112133053054i</v>
      </c>
      <c r="S125" t="str">
        <f t="shared" si="147"/>
        <v>5.16945002873206-22736.4239965302i</v>
      </c>
      <c r="T125" t="str">
        <f t="shared" si="101"/>
        <v>0.00693821671841321-8.05826430164294i</v>
      </c>
      <c r="U125" t="str">
        <f t="shared" si="102"/>
        <v>0.0032546786004882-0.0569568755085435i</v>
      </c>
      <c r="V125">
        <f t="shared" si="148"/>
        <v>-66.750085543283376</v>
      </c>
      <c r="W125">
        <f t="shared" si="149"/>
        <v>-176.68021681640198</v>
      </c>
      <c r="X125">
        <f t="shared" si="103"/>
        <v>-24.874918915584921</v>
      </c>
      <c r="Y125">
        <f t="shared" si="150"/>
        <v>-86.729530120382833</v>
      </c>
      <c r="AA125" s="123">
        <f t="shared" si="104"/>
        <v>-33.180798549745006</v>
      </c>
      <c r="AB125" s="123">
        <f t="shared" si="105"/>
        <v>-167.35518918249815</v>
      </c>
      <c r="AC125">
        <f t="shared" si="106"/>
        <v>-103.16103957442854</v>
      </c>
      <c r="AD125">
        <f t="shared" si="107"/>
        <v>-262.34605233941147</v>
      </c>
      <c r="AE125" s="123">
        <f t="shared" si="108"/>
        <v>-136.34183812417353</v>
      </c>
      <c r="AF125" s="123">
        <f t="shared" si="109"/>
        <v>-429.70124152190965</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1"/>
        <v>17140</v>
      </c>
      <c r="AX125" t="str">
        <f t="shared" si="152"/>
        <v>8506-7.3225201841798i</v>
      </c>
      <c r="AY125" t="str">
        <f t="shared" si="120"/>
        <v>5684.81883919081-3.27071649627473i</v>
      </c>
      <c r="AZ125">
        <f t="shared" si="153"/>
        <v>1.1149339384098047</v>
      </c>
      <c r="BA125">
        <f t="shared" si="154"/>
        <v>-3.2964686268999475E-2</v>
      </c>
      <c r="BB125">
        <f t="shared" si="155"/>
        <v>-4.9317062630398483E-7</v>
      </c>
      <c r="BC125">
        <f t="shared" si="156"/>
        <v>6.6963258180081945E-3</v>
      </c>
      <c r="BD125" s="123">
        <f t="shared" si="121"/>
        <v>-47.094646869221293</v>
      </c>
      <c r="BE125" s="123">
        <f t="shared" si="122"/>
        <v>-167.33033131020508</v>
      </c>
      <c r="BF125">
        <f t="shared" si="123"/>
        <v>-65.63515160487357</v>
      </c>
      <c r="BG125">
        <f t="shared" si="124"/>
        <v>-176.71318150267098</v>
      </c>
      <c r="BH125" s="123">
        <f t="shared" si="125"/>
        <v>-112.72979847409486</v>
      </c>
      <c r="BI125" s="123">
        <f t="shared" si="126"/>
        <v>-344.04351281287609</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c r="BU125" s="123">
        <f t="shared" si="134"/>
        <v>0</v>
      </c>
      <c r="BV125" s="123">
        <f t="shared" si="135"/>
        <v>0</v>
      </c>
      <c r="BX125" s="123">
        <f t="shared" si="136"/>
        <v>0</v>
      </c>
      <c r="BY125" s="123"/>
    </row>
    <row r="126" spans="5:77" x14ac:dyDescent="0.25">
      <c r="E126">
        <v>115</v>
      </c>
      <c r="F126">
        <v>4000000</v>
      </c>
      <c r="G126" s="58">
        <f t="shared" si="137"/>
        <v>-49.374003449384993</v>
      </c>
      <c r="H126" s="58">
        <f t="shared" si="138"/>
        <v>-168.88924512681166</v>
      </c>
      <c r="I126">
        <f t="shared" si="139"/>
        <v>13.913847372834747</v>
      </c>
      <c r="J126">
        <f t="shared" si="140"/>
        <v>-1.5891355036202141E-2</v>
      </c>
      <c r="K126" t="str">
        <f t="shared" si="141"/>
        <v>105.246728887535-1983.8536889955i</v>
      </c>
      <c r="L126" t="str">
        <f t="shared" si="142"/>
        <v>1000000000-79577.488101574i</v>
      </c>
      <c r="M126" t="str">
        <f t="shared" si="143"/>
        <v>149977.503374636-0.00178995644374174i</v>
      </c>
      <c r="N126">
        <f t="shared" si="99"/>
        <v>-37.564975598538517</v>
      </c>
      <c r="O126">
        <f t="shared" si="144"/>
        <v>-86.205913592455047</v>
      </c>
      <c r="P126" t="str">
        <f t="shared" si="145"/>
        <v>-7.0534912339633i</v>
      </c>
      <c r="Q126" t="str">
        <f t="shared" si="146"/>
        <v>9360-6.52274492635852i</v>
      </c>
      <c r="R126" t="str">
        <f t="shared" si="100"/>
        <v>0.00531534550421776-7.05348352430669i</v>
      </c>
      <c r="S126" t="str">
        <f t="shared" si="147"/>
        <v>3.95786022620101-19894.3712380021i</v>
      </c>
      <c r="T126" t="str">
        <f t="shared" si="101"/>
        <v>0.00531207559497049-7.05098362215243i</v>
      </c>
      <c r="U126" t="str">
        <f t="shared" si="102"/>
        <v>0.00249376558603491-0.0498753117206982i</v>
      </c>
      <c r="V126">
        <f t="shared" si="148"/>
        <v>-69.066447143024462</v>
      </c>
      <c r="W126">
        <f t="shared" si="149"/>
        <v>-177.0944660860138</v>
      </c>
      <c r="X126">
        <f t="shared" si="103"/>
        <v>-26.031443726201829</v>
      </c>
      <c r="Y126">
        <f t="shared" si="150"/>
        <v>-87.137612902353865</v>
      </c>
      <c r="AA126" s="123">
        <f t="shared" si="104"/>
        <v>-35.460156076550248</v>
      </c>
      <c r="AB126" s="123">
        <f t="shared" si="105"/>
        <v>-168.90513648184785</v>
      </c>
      <c r="AC126">
        <f t="shared" si="106"/>
        <v>-106.63142274156297</v>
      </c>
      <c r="AD126">
        <f t="shared" si="107"/>
        <v>-263.30037967846886</v>
      </c>
      <c r="AE126" s="123">
        <f t="shared" si="108"/>
        <v>-142.09157881811322</v>
      </c>
      <c r="AF126" s="123">
        <f t="shared" si="109"/>
        <v>-432.20551616031673</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1"/>
        <v>17140</v>
      </c>
      <c r="AX126" t="str">
        <f t="shared" si="152"/>
        <v>8506-6.40720516115733i</v>
      </c>
      <c r="AY126" t="str">
        <f t="shared" si="120"/>
        <v>5684.81862031635-2.86187698892236i</v>
      </c>
      <c r="AZ126">
        <f t="shared" si="153"/>
        <v>1.1149332670530745</v>
      </c>
      <c r="BA126">
        <f t="shared" si="154"/>
        <v>-2.8844102892975045E-2</v>
      </c>
      <c r="BB126">
        <f t="shared" si="155"/>
        <v>-3.7758376815107821E-7</v>
      </c>
      <c r="BC126">
        <f t="shared" si="156"/>
        <v>5.8592854164314688E-3</v>
      </c>
      <c r="BD126" s="123">
        <f t="shared" si="121"/>
        <v>-49.37400382696876</v>
      </c>
      <c r="BE126" s="123">
        <f t="shared" si="122"/>
        <v>-168.88338584139524</v>
      </c>
      <c r="BF126">
        <f t="shared" si="123"/>
        <v>-67.951513875971386</v>
      </c>
      <c r="BG126">
        <f t="shared" si="124"/>
        <v>-177.12331018890677</v>
      </c>
      <c r="BH126" s="123">
        <f t="shared" si="125"/>
        <v>-117.32551770294015</v>
      </c>
      <c r="BI126" s="123">
        <f t="shared" si="126"/>
        <v>-346.00669603030201</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c r="BU126" s="123">
        <f t="shared" si="134"/>
        <v>0</v>
      </c>
      <c r="BV126" s="123">
        <f t="shared" si="135"/>
        <v>0</v>
      </c>
      <c r="BX126" s="123">
        <f t="shared" si="136"/>
        <v>0</v>
      </c>
      <c r="BY126" s="123"/>
    </row>
    <row r="127" spans="5:77" x14ac:dyDescent="0.25">
      <c r="E127">
        <v>116</v>
      </c>
      <c r="F127">
        <v>4500000</v>
      </c>
      <c r="G127" s="58">
        <f t="shared" si="137"/>
        <v>-51.392248098316372</v>
      </c>
      <c r="H127" s="58">
        <f t="shared" si="138"/>
        <v>-170.10491890613065</v>
      </c>
      <c r="I127">
        <f t="shared" si="139"/>
        <v>13.913847061936512</v>
      </c>
      <c r="J127">
        <f t="shared" si="140"/>
        <v>-1.4125650060997495E-2</v>
      </c>
      <c r="K127" t="str">
        <f t="shared" si="141"/>
        <v>83.2069210490616-1764.46483320846i</v>
      </c>
      <c r="L127" t="str">
        <f t="shared" si="142"/>
        <v>1000000000-70735.5449791769i</v>
      </c>
      <c r="M127" t="str">
        <f t="shared" si="143"/>
        <v>149977.503374606-0.00159107239651508i</v>
      </c>
      <c r="N127">
        <f t="shared" si="99"/>
        <v>-38.584033168928713</v>
      </c>
      <c r="O127">
        <f t="shared" si="144"/>
        <v>-86.626446565546829</v>
      </c>
      <c r="P127" t="str">
        <f t="shared" si="145"/>
        <v>-6.26976998574516i</v>
      </c>
      <c r="Q127" t="str">
        <f t="shared" si="146"/>
        <v>9360-5.79799549009646i</v>
      </c>
      <c r="R127" t="str">
        <f t="shared" si="100"/>
        <v>0.00419978101819771-6.26976457100452i</v>
      </c>
      <c r="S127" t="str">
        <f t="shared" si="147"/>
        <v>3.12719822939452-17683.885691784i</v>
      </c>
      <c r="T127" t="str">
        <f t="shared" si="101"/>
        <v>0.00419719738443021-6.26754243461203i</v>
      </c>
      <c r="U127" t="str">
        <f t="shared" si="102"/>
        <v>0.0019714144898965-0.0443568260226713i</v>
      </c>
      <c r="V127">
        <f t="shared" si="148"/>
        <v>-71.110272948495677</v>
      </c>
      <c r="W127">
        <f t="shared" si="149"/>
        <v>-177.41686315987189</v>
      </c>
      <c r="X127">
        <f t="shared" si="103"/>
        <v>-27.052220557053829</v>
      </c>
      <c r="Y127">
        <f t="shared" si="150"/>
        <v>-87.4552138147275</v>
      </c>
      <c r="AA127" s="123">
        <f t="shared" si="104"/>
        <v>-37.478401036379864</v>
      </c>
      <c r="AB127" s="123">
        <f t="shared" si="105"/>
        <v>-170.11904455619165</v>
      </c>
      <c r="AC127">
        <f t="shared" si="106"/>
        <v>-109.69430611742439</v>
      </c>
      <c r="AD127">
        <f t="shared" si="107"/>
        <v>-264.04330972541874</v>
      </c>
      <c r="AE127" s="123">
        <f t="shared" si="108"/>
        <v>-147.17270715380425</v>
      </c>
      <c r="AF127" s="123">
        <f t="shared" si="109"/>
        <v>-434.16235428161042</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1"/>
        <v>17140</v>
      </c>
      <c r="AX127" t="str">
        <f t="shared" si="152"/>
        <v>8506-5.69529347658429i</v>
      </c>
      <c r="AY127" t="str">
        <f t="shared" si="120"/>
        <v>5684.81847025673-2.5438906901441i</v>
      </c>
      <c r="AZ127">
        <f t="shared" si="153"/>
        <v>1.1149328067730437</v>
      </c>
      <c r="BA127">
        <f t="shared" si="154"/>
        <v>-2.5639204038771558E-2</v>
      </c>
      <c r="BB127">
        <f t="shared" si="155"/>
        <v>-2.983377716861685E-7</v>
      </c>
      <c r="BC127">
        <f t="shared" si="156"/>
        <v>5.2082539019666875E-3</v>
      </c>
      <c r="BD127" s="123">
        <f t="shared" si="121"/>
        <v>-51.392248396654146</v>
      </c>
      <c r="BE127" s="123">
        <f t="shared" si="122"/>
        <v>-170.09971065222868</v>
      </c>
      <c r="BF127">
        <f t="shared" si="123"/>
        <v>-69.995340141722636</v>
      </c>
      <c r="BG127">
        <f t="shared" si="124"/>
        <v>-177.44250236391068</v>
      </c>
      <c r="BH127" s="123">
        <f t="shared" si="125"/>
        <v>-121.38758853837678</v>
      </c>
      <c r="BI127" s="123">
        <f t="shared" si="126"/>
        <v>-347.54221301613939</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c r="BU127" s="123">
        <f t="shared" si="134"/>
        <v>0</v>
      </c>
      <c r="BV127" s="123">
        <f t="shared" si="135"/>
        <v>0</v>
      </c>
      <c r="BX127" s="123">
        <f t="shared" si="136"/>
        <v>0</v>
      </c>
      <c r="BY127" s="123"/>
    </row>
    <row r="128" spans="5:77" x14ac:dyDescent="0.25">
      <c r="E128">
        <v>117</v>
      </c>
      <c r="F128">
        <v>5000000</v>
      </c>
      <c r="G128" s="58">
        <f t="shared" si="137"/>
        <v>-53.202514867018209</v>
      </c>
      <c r="H128" s="58">
        <f t="shared" si="138"/>
        <v>-171.0822106073193</v>
      </c>
      <c r="I128">
        <f t="shared" si="139"/>
        <v>13.913846839552825</v>
      </c>
      <c r="J128">
        <f t="shared" si="140"/>
        <v>-1.2713085788743745E-2</v>
      </c>
      <c r="K128" t="str">
        <f t="shared" si="141"/>
        <v>67.4260316330265-1588.68811177547i</v>
      </c>
      <c r="L128" t="str">
        <f t="shared" si="142"/>
        <v>1000000000-63661.9904812592i</v>
      </c>
      <c r="M128" t="str">
        <f t="shared" si="143"/>
        <v>149977.503374585-0.00143196515825919i</v>
      </c>
      <c r="N128">
        <f t="shared" si="99"/>
        <v>-39.496324643852681</v>
      </c>
      <c r="O128">
        <f t="shared" si="144"/>
        <v>-86.963137328236002</v>
      </c>
      <c r="P128" t="str">
        <f t="shared" si="145"/>
        <v>-5.64279298717064i</v>
      </c>
      <c r="Q128" t="str">
        <f t="shared" si="146"/>
        <v>9360-5.21819594108682i</v>
      </c>
      <c r="R128" t="str">
        <f t="shared" si="100"/>
        <v>0.00340182369914193-5.64278903982347i</v>
      </c>
      <c r="S128" t="str">
        <f t="shared" si="147"/>
        <v>2.53303058086002-15915.4972171704i</v>
      </c>
      <c r="T128" t="str">
        <f t="shared" si="101"/>
        <v>0.00339973095476493-5.64078911633362i</v>
      </c>
      <c r="U128" t="str">
        <f t="shared" si="102"/>
        <v>0.00159744408945687-0.0399361022364217i</v>
      </c>
      <c r="V128">
        <f t="shared" si="148"/>
        <v>-72.93894448018068</v>
      </c>
      <c r="W128">
        <f t="shared" si="149"/>
        <v>-177.67489448159324</v>
      </c>
      <c r="X128">
        <f t="shared" si="103"/>
        <v>-27.965743332104299</v>
      </c>
      <c r="Y128">
        <f t="shared" si="150"/>
        <v>-87.709408204785703</v>
      </c>
      <c r="AA128" s="123">
        <f t="shared" si="104"/>
        <v>-39.288668027465384</v>
      </c>
      <c r="AB128" s="123">
        <f t="shared" si="105"/>
        <v>-171.09492369310803</v>
      </c>
      <c r="AC128">
        <f t="shared" si="106"/>
        <v>-112.43526912403337</v>
      </c>
      <c r="AD128">
        <f t="shared" si="107"/>
        <v>-264.63803180982927</v>
      </c>
      <c r="AE128" s="123">
        <f t="shared" si="108"/>
        <v>-151.72393715149875</v>
      </c>
      <c r="AF128" s="123">
        <f t="shared" si="109"/>
        <v>-435.73295550293733</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1"/>
        <v>17140</v>
      </c>
      <c r="AX128" t="str">
        <f t="shared" si="152"/>
        <v>8506-5.12576412892586i</v>
      </c>
      <c r="AY128" t="str">
        <f t="shared" si="120"/>
        <v>5684.81836291996-2.28950164258267i</v>
      </c>
      <c r="AZ128">
        <f t="shared" si="153"/>
        <v>1.1149324775373388</v>
      </c>
      <c r="BA128">
        <f t="shared" si="154"/>
        <v>-2.3075284579451072E-2</v>
      </c>
      <c r="BB128">
        <f t="shared" si="155"/>
        <v>-2.4165361011153742E-7</v>
      </c>
      <c r="BC128">
        <f t="shared" si="156"/>
        <v>4.6874286395395077E-3</v>
      </c>
      <c r="BD128" s="123">
        <f t="shared" si="121"/>
        <v>-53.202515108671818</v>
      </c>
      <c r="BE128" s="123">
        <f t="shared" si="122"/>
        <v>-171.07752317867977</v>
      </c>
      <c r="BF128">
        <f t="shared" si="123"/>
        <v>-71.824012002643343</v>
      </c>
      <c r="BG128">
        <f t="shared" si="124"/>
        <v>-177.69796976617269</v>
      </c>
      <c r="BH128" s="123">
        <f t="shared" si="125"/>
        <v>-125.02652711131516</v>
      </c>
      <c r="BI128" s="123">
        <f t="shared" si="126"/>
        <v>-348.77549294485243</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c r="BU128" s="123">
        <f t="shared" si="134"/>
        <v>0</v>
      </c>
      <c r="BV128" s="123">
        <f t="shared" si="135"/>
        <v>0</v>
      </c>
      <c r="BX128" s="123">
        <f t="shared" si="136"/>
        <v>0</v>
      </c>
      <c r="BY128" s="123"/>
    </row>
    <row r="129" spans="5:77" x14ac:dyDescent="0.25">
      <c r="E129">
        <v>118</v>
      </c>
      <c r="F129">
        <v>5500000</v>
      </c>
      <c r="G129" s="58">
        <f t="shared" si="137"/>
        <v>-54.843341997807954</v>
      </c>
      <c r="H129" s="58">
        <f t="shared" si="138"/>
        <v>-171.88466332587129</v>
      </c>
      <c r="I129">
        <f t="shared" si="139"/>
        <v>13.913846675014019</v>
      </c>
      <c r="J129">
        <f t="shared" si="140"/>
        <v>-1.1557351210642663E-2</v>
      </c>
      <c r="K129" t="str">
        <f t="shared" si="141"/>
        <v>55.7413874281967-1444.71274870991i</v>
      </c>
      <c r="L129" t="str">
        <f t="shared" si="142"/>
        <v>1000000000-57874.5368011447i</v>
      </c>
      <c r="M129" t="str">
        <f t="shared" si="143"/>
        <v>149977.503374569-0.00130178650842773i</v>
      </c>
      <c r="N129">
        <f t="shared" si="99"/>
        <v>-40.322062289887256</v>
      </c>
      <c r="O129">
        <f t="shared" si="144"/>
        <v>-87.238768874198044</v>
      </c>
      <c r="P129" t="str">
        <f t="shared" si="145"/>
        <v>-5.12981180651876i</v>
      </c>
      <c r="Q129" t="str">
        <f t="shared" si="146"/>
        <v>9360-4.74381449189711i</v>
      </c>
      <c r="R129" t="str">
        <f t="shared" si="100"/>
        <v>0.00281142520171746-5.12980884081771i</v>
      </c>
      <c r="S129" t="str">
        <f t="shared" si="147"/>
        <v>2.0934137123931-14468.6338973978i</v>
      </c>
      <c r="T129" t="str">
        <f t="shared" si="101"/>
        <v>0.00280969566028305-5.12799072805874i</v>
      </c>
      <c r="U129" t="str">
        <f t="shared" si="102"/>
        <v>0.00132056784417299-0.0363156157147573i</v>
      </c>
      <c r="V129">
        <f t="shared" si="148"/>
        <v>-74.59344689102042</v>
      </c>
      <c r="W129">
        <f t="shared" si="149"/>
        <v>-177.88607859697851</v>
      </c>
      <c r="X129">
        <f t="shared" si="103"/>
        <v>-28.792392820048946</v>
      </c>
      <c r="Y129">
        <f t="shared" si="150"/>
        <v>-87.917453010975848</v>
      </c>
      <c r="AA129" s="123">
        <f t="shared" si="104"/>
        <v>-40.929495322793933</v>
      </c>
      <c r="AB129" s="123">
        <f t="shared" si="105"/>
        <v>-171.89622067708194</v>
      </c>
      <c r="AC129">
        <f t="shared" si="106"/>
        <v>-114.91550918090768</v>
      </c>
      <c r="AD129">
        <f t="shared" si="107"/>
        <v>-265.12484747117657</v>
      </c>
      <c r="AE129" s="123">
        <f t="shared" si="108"/>
        <v>-155.8450045037016</v>
      </c>
      <c r="AF129" s="123">
        <f t="shared" si="109"/>
        <v>-437.02106814825851</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1"/>
        <v>17140</v>
      </c>
      <c r="AX129" t="str">
        <f t="shared" si="152"/>
        <v>8506-4.65978557175078i</v>
      </c>
      <c r="AY129" t="str">
        <f t="shared" si="120"/>
        <v>5684.8182835029-2.0813651440504i</v>
      </c>
      <c r="AZ129">
        <f t="shared" si="153"/>
        <v>1.1149322339401979</v>
      </c>
      <c r="BA129">
        <f t="shared" si="154"/>
        <v>-2.0977532071196344E-2</v>
      </c>
      <c r="BB129">
        <f t="shared" si="155"/>
        <v>-1.9971373364897906E-7</v>
      </c>
      <c r="BC129">
        <f t="shared" si="156"/>
        <v>4.261298849158583E-3</v>
      </c>
      <c r="BD129" s="123">
        <f t="shared" si="121"/>
        <v>-54.843342197521686</v>
      </c>
      <c r="BE129" s="123">
        <f t="shared" si="122"/>
        <v>-171.88040202702211</v>
      </c>
      <c r="BF129">
        <f t="shared" si="123"/>
        <v>-73.478514657080225</v>
      </c>
      <c r="BG129">
        <f t="shared" si="124"/>
        <v>-177.90705612904969</v>
      </c>
      <c r="BH129" s="123">
        <f t="shared" si="125"/>
        <v>-128.32185685460192</v>
      </c>
      <c r="BI129" s="123">
        <f t="shared" si="126"/>
        <v>-349.78745815607181</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c r="BU129" s="123">
        <f t="shared" si="134"/>
        <v>0</v>
      </c>
      <c r="BV129" s="123">
        <f t="shared" si="135"/>
        <v>0</v>
      </c>
      <c r="BX129" s="123">
        <f t="shared" si="136"/>
        <v>0</v>
      </c>
      <c r="BY129" s="123"/>
    </row>
    <row r="130" spans="5:77" x14ac:dyDescent="0.25">
      <c r="E130">
        <v>119</v>
      </c>
      <c r="F130">
        <v>6000000</v>
      </c>
      <c r="G130" s="58">
        <f t="shared" si="137"/>
        <v>-56.343533372109967</v>
      </c>
      <c r="H130" s="58">
        <f t="shared" si="138"/>
        <v>-172.55516582068418</v>
      </c>
      <c r="I130">
        <f t="shared" si="139"/>
        <v>13.913846549868751</v>
      </c>
      <c r="J130">
        <f t="shared" si="140"/>
        <v>-1.0594238953895744E-2</v>
      </c>
      <c r="K130" t="str">
        <f t="shared" si="141"/>
        <v>46.8493719967284-1324.63451042951i</v>
      </c>
      <c r="L130" t="str">
        <f t="shared" si="142"/>
        <v>1000000000-53051.6587343827i</v>
      </c>
      <c r="M130" t="str">
        <f t="shared" si="143"/>
        <v>149977.503374557-0.0011933043000206i</v>
      </c>
      <c r="N130">
        <f t="shared" si="99"/>
        <v>-41.076223382098298</v>
      </c>
      <c r="O130">
        <f t="shared" si="144"/>
        <v>-87.468560116581472</v>
      </c>
      <c r="P130" t="str">
        <f t="shared" si="145"/>
        <v>-4.70232748930887i</v>
      </c>
      <c r="Q130" t="str">
        <f t="shared" si="146"/>
        <v>9360-4.34849661757235i</v>
      </c>
      <c r="R130" t="str">
        <f t="shared" si="100"/>
        <v>0.00236237854075873-4.7023252049635i</v>
      </c>
      <c r="S130" t="str">
        <f t="shared" si="147"/>
        <v>1.75904902810085-13262.9144502945i</v>
      </c>
      <c r="T130" t="str">
        <f t="shared" si="101"/>
        <v>0.00236092524512495-4.70065860125565i</v>
      </c>
      <c r="U130" t="str">
        <f t="shared" si="102"/>
        <v>0.00110987791342952-0.0332963374028857i</v>
      </c>
      <c r="V130">
        <f t="shared" si="148"/>
        <v>-76.104072605091091</v>
      </c>
      <c r="W130">
        <f t="shared" si="149"/>
        <v>-178.06210757170464</v>
      </c>
      <c r="X130">
        <f t="shared" si="103"/>
        <v>-29.547247909790624</v>
      </c>
      <c r="Y130">
        <f t="shared" si="150"/>
        <v>-88.090865893787893</v>
      </c>
      <c r="AA130" s="123">
        <f t="shared" si="104"/>
        <v>-42.429686822241216</v>
      </c>
      <c r="AB130" s="123">
        <f t="shared" si="105"/>
        <v>-172.56576005963808</v>
      </c>
      <c r="AC130">
        <f t="shared" si="106"/>
        <v>-117.1802959871894</v>
      </c>
      <c r="AD130">
        <f t="shared" si="107"/>
        <v>-265.53066768828614</v>
      </c>
      <c r="AE130" s="123">
        <f t="shared" si="108"/>
        <v>-159.60998280943062</v>
      </c>
      <c r="AF130" s="123">
        <f t="shared" si="109"/>
        <v>-438.09642774792422</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1"/>
        <v>17140</v>
      </c>
      <c r="AX130" t="str">
        <f t="shared" si="152"/>
        <v>8506-4.27147010743822i</v>
      </c>
      <c r="AY130" t="str">
        <f t="shared" si="120"/>
        <v>5684.8182230997-1.90791805877332i</v>
      </c>
      <c r="AZ130">
        <f t="shared" si="153"/>
        <v>1.1149320486645502</v>
      </c>
      <c r="BA130">
        <f t="shared" si="154"/>
        <v>-1.9229404841550144E-2</v>
      </c>
      <c r="BB130">
        <f t="shared" si="155"/>
        <v>-1.678149693962915E-7</v>
      </c>
      <c r="BC130">
        <f t="shared" si="156"/>
        <v>3.9061906716466601E-3</v>
      </c>
      <c r="BD130" s="123">
        <f t="shared" si="121"/>
        <v>-56.343533539924934</v>
      </c>
      <c r="BE130" s="123">
        <f t="shared" si="122"/>
        <v>-172.55125963001254</v>
      </c>
      <c r="BF130">
        <f t="shared" si="123"/>
        <v>-74.989140556426534</v>
      </c>
      <c r="BG130">
        <f t="shared" si="124"/>
        <v>-178.0813369765462</v>
      </c>
      <c r="BH130" s="123">
        <f t="shared" si="125"/>
        <v>-131.33267409635147</v>
      </c>
      <c r="BI130" s="123">
        <f t="shared" si="126"/>
        <v>-350.63259660655876</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c r="BU130" s="123">
        <f t="shared" si="134"/>
        <v>0</v>
      </c>
      <c r="BV130" s="123">
        <f t="shared" si="135"/>
        <v>0</v>
      </c>
      <c r="BX130" s="123">
        <f t="shared" si="136"/>
        <v>0</v>
      </c>
      <c r="BY130" s="123"/>
    </row>
    <row r="131" spans="5:77" x14ac:dyDescent="0.25">
      <c r="E131">
        <v>120</v>
      </c>
      <c r="F131">
        <v>6500000</v>
      </c>
      <c r="G131" s="58">
        <f t="shared" si="137"/>
        <v>-57.725163758299196</v>
      </c>
      <c r="H131" s="58">
        <f t="shared" si="138"/>
        <v>-173.12368556295579</v>
      </c>
      <c r="I131">
        <f t="shared" si="139"/>
        <v>13.913846452476299</v>
      </c>
      <c r="J131">
        <f t="shared" si="140"/>
        <v>-9.7792977431239558E-3</v>
      </c>
      <c r="K131" t="str">
        <f t="shared" si="141"/>
        <v>39.9263703221654-1222.96556453324i</v>
      </c>
      <c r="L131" t="str">
        <f t="shared" si="142"/>
        <v>1000000000-48970.7619086609i</v>
      </c>
      <c r="M131" t="str">
        <f t="shared" si="143"/>
        <v>149977.503374548-0.00110151166201653i</v>
      </c>
      <c r="N131">
        <f t="shared" si="99"/>
        <v>-41.770212037791275</v>
      </c>
      <c r="O131">
        <f t="shared" si="144"/>
        <v>-87.663062826100912</v>
      </c>
      <c r="P131" t="str">
        <f t="shared" si="145"/>
        <v>-4.34060999013126i</v>
      </c>
      <c r="Q131" t="str">
        <f t="shared" si="146"/>
        <v>9360-4.01399687775909i</v>
      </c>
      <c r="R131" t="str">
        <f t="shared" si="100"/>
        <v>0.00201291453800291-4.34060819343151i</v>
      </c>
      <c r="S131" t="str">
        <f t="shared" si="147"/>
        <v>1.49883467873166-12242.6902936675i</v>
      </c>
      <c r="T131" t="str">
        <f t="shared" si="101"/>
        <v>0.00201167622666465-4.33906978976075i</v>
      </c>
      <c r="U131" t="str">
        <f t="shared" si="102"/>
        <v>0.000945850082761882-0.0307401276897612i</v>
      </c>
      <c r="V131">
        <f t="shared" si="148"/>
        <v>-77.4938432968233</v>
      </c>
      <c r="W131">
        <f t="shared" si="149"/>
        <v>-178.21108262840539</v>
      </c>
      <c r="X131">
        <f t="shared" si="103"/>
        <v>-30.241776938189375</v>
      </c>
      <c r="Y131">
        <f t="shared" si="150"/>
        <v>-88.237627333656604</v>
      </c>
      <c r="AA131" s="123">
        <f t="shared" si="104"/>
        <v>-43.811317305822897</v>
      </c>
      <c r="AB131" s="123">
        <f t="shared" si="105"/>
        <v>-173.13346486069892</v>
      </c>
      <c r="AC131">
        <f t="shared" si="106"/>
        <v>-119.26405533461457</v>
      </c>
      <c r="AD131">
        <f t="shared" si="107"/>
        <v>-265.87414545450633</v>
      </c>
      <c r="AE131" s="123">
        <f t="shared" si="108"/>
        <v>-163.07537264043748</v>
      </c>
      <c r="AF131" s="123">
        <f t="shared" si="109"/>
        <v>-439.00761031520528</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1"/>
        <v>17140</v>
      </c>
      <c r="AX131" t="str">
        <f t="shared" si="152"/>
        <v>8506-3.94289548378912i</v>
      </c>
      <c r="AY131" t="str">
        <f t="shared" si="120"/>
        <v>5684.81817609181-1.76115513840251i</v>
      </c>
      <c r="AZ131">
        <f t="shared" si="153"/>
        <v>1.1149319044765162</v>
      </c>
      <c r="BA131">
        <f t="shared" si="154"/>
        <v>-1.7750220171943543E-2</v>
      </c>
      <c r="BB131">
        <f t="shared" si="155"/>
        <v>-1.4299029951691947E-7</v>
      </c>
      <c r="BC131">
        <f t="shared" si="156"/>
        <v>3.6057145091787446E-3</v>
      </c>
      <c r="BD131" s="123">
        <f t="shared" si="121"/>
        <v>-57.725163901289498</v>
      </c>
      <c r="BE131" s="123">
        <f t="shared" si="122"/>
        <v>-173.12007984844661</v>
      </c>
      <c r="BF131">
        <f t="shared" si="123"/>
        <v>-76.37891139234678</v>
      </c>
      <c r="BG131">
        <f t="shared" si="124"/>
        <v>-178.22883284857733</v>
      </c>
      <c r="BH131" s="123">
        <f t="shared" si="125"/>
        <v>-134.10407529363627</v>
      </c>
      <c r="BI131" s="123">
        <f t="shared" si="126"/>
        <v>-351.34891269702393</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c r="BU131" s="123">
        <f t="shared" si="134"/>
        <v>0</v>
      </c>
      <c r="BV131" s="123">
        <f t="shared" si="135"/>
        <v>0</v>
      </c>
      <c r="BX131" s="123">
        <f t="shared" si="136"/>
        <v>0</v>
      </c>
      <c r="BY131" s="123"/>
    </row>
    <row r="132" spans="5:77" x14ac:dyDescent="0.25">
      <c r="E132">
        <v>121</v>
      </c>
      <c r="F132">
        <v>7000000</v>
      </c>
      <c r="G132" s="58">
        <f t="shared" si="137"/>
        <v>-59.005513272106143</v>
      </c>
      <c r="H132" s="58">
        <f t="shared" si="138"/>
        <v>-173.61177986032169</v>
      </c>
      <c r="I132">
        <f t="shared" si="139"/>
        <v>13.913846375198357</v>
      </c>
      <c r="J132">
        <f t="shared" si="140"/>
        <v>-9.0807766579081278E-3</v>
      </c>
      <c r="K132" t="str">
        <f t="shared" si="141"/>
        <v>34.4313590931913-1135.77746390112i</v>
      </c>
      <c r="L132" t="str">
        <f t="shared" si="142"/>
        <v>1000000000-45472.8503437566i</v>
      </c>
      <c r="M132" t="str">
        <f t="shared" si="143"/>
        <v>149977.50337454-0.00102283225792785i</v>
      </c>
      <c r="N132">
        <f t="shared" si="99"/>
        <v>-42.412910858068351</v>
      </c>
      <c r="O132">
        <f t="shared" si="144"/>
        <v>-87.829822509083129</v>
      </c>
      <c r="P132" t="str">
        <f t="shared" si="145"/>
        <v>-4.0305664194076i</v>
      </c>
      <c r="Q132" t="str">
        <f t="shared" si="146"/>
        <v>9360-3.72728281506201i</v>
      </c>
      <c r="R132" t="str">
        <f t="shared" si="100"/>
        <v>0.00173562548090715-4.03056498086905i</v>
      </c>
      <c r="S132" t="str">
        <f t="shared" si="147"/>
        <v>1.29236255728903-11368.2124390206i</v>
      </c>
      <c r="T132" t="str">
        <f t="shared" si="101"/>
        <v>0.00173455775309185-4.0291364629919i</v>
      </c>
      <c r="U132" t="str">
        <f t="shared" si="102"/>
        <v>0.000815660685154975-0.0285481239804241i</v>
      </c>
      <c r="V132">
        <f t="shared" si="148"/>
        <v>-78.780664361421472</v>
      </c>
      <c r="W132">
        <f t="shared" si="149"/>
        <v>-178.33879402288193</v>
      </c>
      <c r="X132">
        <f t="shared" si="103"/>
        <v>-30.884904701823977</v>
      </c>
      <c r="Y132">
        <f t="shared" si="150"/>
        <v>-88.363441341875244</v>
      </c>
      <c r="AA132" s="123">
        <f t="shared" si="104"/>
        <v>-45.091666896907782</v>
      </c>
      <c r="AB132" s="123">
        <f t="shared" si="105"/>
        <v>-173.62086063697959</v>
      </c>
      <c r="AC132">
        <f t="shared" si="106"/>
        <v>-121.19357521948982</v>
      </c>
      <c r="AD132">
        <f t="shared" si="107"/>
        <v>-266.16861653196509</v>
      </c>
      <c r="AE132" s="123">
        <f t="shared" si="108"/>
        <v>-166.2852421163976</v>
      </c>
      <c r="AF132" s="123">
        <f t="shared" si="109"/>
        <v>-439.7894771689447</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1"/>
        <v>17140</v>
      </c>
      <c r="AX132" t="str">
        <f t="shared" si="152"/>
        <v>8506-3.6612600920899i</v>
      </c>
      <c r="AY132" t="str">
        <f t="shared" si="120"/>
        <v>5684.81813879249-1.63535834812724i</v>
      </c>
      <c r="AZ132">
        <f t="shared" si="153"/>
        <v>1.1149317900677653</v>
      </c>
      <c r="BA132">
        <f t="shared" si="154"/>
        <v>-1.6482347536970154E-2</v>
      </c>
      <c r="BB132">
        <f t="shared" si="155"/>
        <v>-1.2329267637147676E-7</v>
      </c>
      <c r="BC132">
        <f t="shared" si="156"/>
        <v>3.3481635045228431E-3</v>
      </c>
      <c r="BD132" s="123">
        <f t="shared" si="121"/>
        <v>-59.005513395398822</v>
      </c>
      <c r="BE132" s="123">
        <f t="shared" si="122"/>
        <v>-173.60843169681718</v>
      </c>
      <c r="BF132">
        <f t="shared" si="123"/>
        <v>-77.665732571353701</v>
      </c>
      <c r="BG132">
        <f t="shared" si="124"/>
        <v>-178.35527637041889</v>
      </c>
      <c r="BH132" s="123">
        <f t="shared" si="125"/>
        <v>-136.67124596675251</v>
      </c>
      <c r="BI132" s="123">
        <f t="shared" si="126"/>
        <v>-351.9637080672361</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c r="BU132" s="123">
        <f t="shared" si="134"/>
        <v>0</v>
      </c>
      <c r="BV132" s="123">
        <f t="shared" si="135"/>
        <v>0</v>
      </c>
      <c r="BX132" s="123">
        <f t="shared" si="136"/>
        <v>0</v>
      </c>
      <c r="BY132" s="123"/>
    </row>
    <row r="133" spans="5:77" x14ac:dyDescent="0.25">
      <c r="E133">
        <v>122</v>
      </c>
      <c r="F133">
        <v>7500000</v>
      </c>
      <c r="G133" s="58">
        <f t="shared" si="137"/>
        <v>-60.198356332117449</v>
      </c>
      <c r="H133" s="58">
        <f t="shared" si="138"/>
        <v>-174.03534529457085</v>
      </c>
      <c r="I133">
        <f t="shared" si="139"/>
        <v>13.913846312854464</v>
      </c>
      <c r="J133">
        <f t="shared" si="140"/>
        <v>-8.4753916845337184E-3</v>
      </c>
      <c r="K133" t="str">
        <f t="shared" si="141"/>
        <v>29.9970893879816-1060.18443050139i</v>
      </c>
      <c r="L133" t="str">
        <f t="shared" si="142"/>
        <v>1000000000-42441.3269875061i</v>
      </c>
      <c r="M133" t="str">
        <f t="shared" si="143"/>
        <v>149977.503374534-0.000954643440992409i</v>
      </c>
      <c r="N133">
        <f t="shared" si="99"/>
        <v>-43.011372567581859</v>
      </c>
      <c r="O133">
        <f t="shared" si="144"/>
        <v>-87.974377430491344</v>
      </c>
      <c r="P133" t="str">
        <f t="shared" si="145"/>
        <v>-3.7618619914471i</v>
      </c>
      <c r="Q133" t="str">
        <f t="shared" si="146"/>
        <v>9360-3.47879729405788i</v>
      </c>
      <c r="R133" t="str">
        <f t="shared" si="100"/>
        <v>0.00151192277501349-3.76186082186188i</v>
      </c>
      <c r="S133" t="str">
        <f t="shared" si="147"/>
        <v>1.12579138511369-10610.3316274263i</v>
      </c>
      <c r="T133" t="str">
        <f t="shared" si="101"/>
        <v>0.00151099266532219-3.7605275383722i</v>
      </c>
      <c r="U133" t="str">
        <f t="shared" si="102"/>
        <v>0.0007106057914372-0.026647717178895i</v>
      </c>
      <c r="V133">
        <f t="shared" si="148"/>
        <v>-79.978736404823835</v>
      </c>
      <c r="W133">
        <f t="shared" si="149"/>
        <v>-178.44949004667524</v>
      </c>
      <c r="X133">
        <f t="shared" si="103"/>
        <v>-31.4837125733224</v>
      </c>
      <c r="Y133">
        <f t="shared" si="150"/>
        <v>-88.472492963966587</v>
      </c>
      <c r="AA133" s="123">
        <f t="shared" si="104"/>
        <v>-46.284510019262981</v>
      </c>
      <c r="AB133" s="123">
        <f t="shared" si="105"/>
        <v>-174.04382068625537</v>
      </c>
      <c r="AC133">
        <f t="shared" si="106"/>
        <v>-122.99010897240569</v>
      </c>
      <c r="AD133">
        <f t="shared" si="107"/>
        <v>-266.4238674771666</v>
      </c>
      <c r="AE133" s="123">
        <f t="shared" si="108"/>
        <v>-169.27461899166866</v>
      </c>
      <c r="AF133" s="123">
        <f t="shared" si="109"/>
        <v>-440.46768816342194</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1"/>
        <v>17140</v>
      </c>
      <c r="AX133" t="str">
        <f t="shared" si="152"/>
        <v>8506-3.41717608595057i</v>
      </c>
      <c r="AY133" t="str">
        <f t="shared" si="120"/>
        <v>5684.8181087013-1.52633446226156i</v>
      </c>
      <c r="AZ133">
        <f t="shared" si="153"/>
        <v>1.1149316977685779</v>
      </c>
      <c r="BA133">
        <f t="shared" si="154"/>
        <v>-1.538352454437252E-2</v>
      </c>
      <c r="BB133">
        <f t="shared" si="155"/>
        <v>-1.0740158169876211E-7</v>
      </c>
      <c r="BC133">
        <f t="shared" si="156"/>
        <v>3.1249526281008563E-3</v>
      </c>
      <c r="BD133" s="123">
        <f t="shared" si="121"/>
        <v>-60.198356439519031</v>
      </c>
      <c r="BE133" s="123">
        <f t="shared" si="122"/>
        <v>-174.03222034194275</v>
      </c>
      <c r="BF133">
        <f t="shared" si="123"/>
        <v>-78.863804707055252</v>
      </c>
      <c r="BG133">
        <f t="shared" si="124"/>
        <v>-178.46487357121961</v>
      </c>
      <c r="BH133" s="123">
        <f t="shared" si="125"/>
        <v>-139.06216114657428</v>
      </c>
      <c r="BI133" s="123">
        <f t="shared" si="126"/>
        <v>-352.49709391316236</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c r="BU133" s="123">
        <f t="shared" si="134"/>
        <v>0</v>
      </c>
      <c r="BV133" s="123">
        <f t="shared" si="135"/>
        <v>0</v>
      </c>
      <c r="BX133" s="123">
        <f t="shared" si="136"/>
        <v>0</v>
      </c>
      <c r="BY133" s="123"/>
    </row>
    <row r="134" spans="5:77" x14ac:dyDescent="0.25">
      <c r="E134">
        <v>123</v>
      </c>
      <c r="F134">
        <v>8000000</v>
      </c>
      <c r="G134" s="58">
        <f t="shared" si="137"/>
        <v>-61.314846393634568</v>
      </c>
      <c r="H134" s="58">
        <f t="shared" si="138"/>
        <v>-174.4063571893287</v>
      </c>
      <c r="I134">
        <f t="shared" si="139"/>
        <v>13.913846261830527</v>
      </c>
      <c r="J134">
        <f t="shared" si="140"/>
        <v>-7.945679809484324E-3</v>
      </c>
      <c r="K134" t="str">
        <f t="shared" si="141"/>
        <v>26.3671834179782-994.019189861436i</v>
      </c>
      <c r="L134" t="str">
        <f t="shared" si="142"/>
        <v>1000000000-39788.744050787i</v>
      </c>
      <c r="M134" t="str">
        <f t="shared" si="143"/>
        <v>149977.503374529-0.000894978226120236i</v>
      </c>
      <c r="N134">
        <f t="shared" si="99"/>
        <v>-43.571289930523982</v>
      </c>
      <c r="O134">
        <f t="shared" si="144"/>
        <v>-88.100884215945086</v>
      </c>
      <c r="P134" t="str">
        <f t="shared" si="145"/>
        <v>-3.52674561698165i</v>
      </c>
      <c r="Q134" t="str">
        <f t="shared" si="146"/>
        <v>9360-3.26137246317926i</v>
      </c>
      <c r="R134" t="str">
        <f t="shared" si="100"/>
        <v>0.00132883847277046-3.52674465327305i</v>
      </c>
      <c r="S134" t="str">
        <f t="shared" si="147"/>
        <v>0.989465085921487-9947.18591427282i</v>
      </c>
      <c r="T134" t="str">
        <f t="shared" si="101"/>
        <v>0.0013280209934577-3.52549469989586i</v>
      </c>
      <c r="U134" t="str">
        <f t="shared" si="102"/>
        <v>0.000624609618988132-0.0249843847595253i</v>
      </c>
      <c r="V134">
        <f t="shared" si="148"/>
        <v>-81.099511380735606</v>
      </c>
      <c r="W134">
        <f t="shared" si="149"/>
        <v>-178.54635817626405</v>
      </c>
      <c r="X134">
        <f t="shared" si="103"/>
        <v>-32.043913319192995</v>
      </c>
      <c r="Y134">
        <f t="shared" si="150"/>
        <v>-88.567922241868374</v>
      </c>
      <c r="AA134" s="123">
        <f t="shared" si="104"/>
        <v>-47.401000131804039</v>
      </c>
      <c r="AB134" s="123">
        <f t="shared" si="105"/>
        <v>-174.4143028691382</v>
      </c>
      <c r="AC134">
        <f t="shared" si="106"/>
        <v>-124.67080131125959</v>
      </c>
      <c r="AD134">
        <f t="shared" si="107"/>
        <v>-266.64724239220914</v>
      </c>
      <c r="AE134" s="123">
        <f t="shared" si="108"/>
        <v>-172.07180144306363</v>
      </c>
      <c r="AF134" s="123">
        <f t="shared" si="109"/>
        <v>-441.06154526134731</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1"/>
        <v>17140</v>
      </c>
      <c r="AX134" t="str">
        <f t="shared" si="152"/>
        <v>8506-3.20360258057866i</v>
      </c>
      <c r="AY134" t="str">
        <f t="shared" si="120"/>
        <v>5684.81808407387-1.43093856144658i</v>
      </c>
      <c r="AZ134">
        <f t="shared" si="153"/>
        <v>1.1149316222284438</v>
      </c>
      <c r="BA134">
        <f t="shared" si="154"/>
        <v>-1.4422054395799189E-2</v>
      </c>
      <c r="BB134">
        <f t="shared" si="155"/>
        <v>-9.4395948695748062E-8</v>
      </c>
      <c r="BC134">
        <f t="shared" si="156"/>
        <v>2.9296431071667013E-3</v>
      </c>
      <c r="BD134" s="123">
        <f t="shared" si="121"/>
        <v>-61.314846488030518</v>
      </c>
      <c r="BE134" s="123">
        <f t="shared" si="122"/>
        <v>-174.40342754622154</v>
      </c>
      <c r="BF134">
        <f t="shared" si="123"/>
        <v>-79.984579758507167</v>
      </c>
      <c r="BG134">
        <f t="shared" si="124"/>
        <v>-178.56078023065984</v>
      </c>
      <c r="BH134" s="123">
        <f t="shared" si="125"/>
        <v>-141.29942624653768</v>
      </c>
      <c r="BI134" s="123">
        <f t="shared" si="126"/>
        <v>-352.96420777688138</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c r="BU134" s="123">
        <f t="shared" si="134"/>
        <v>0</v>
      </c>
      <c r="BV134" s="123">
        <f t="shared" si="135"/>
        <v>0</v>
      </c>
      <c r="BX134" s="123">
        <f t="shared" si="136"/>
        <v>0</v>
      </c>
      <c r="BY134" s="123"/>
    </row>
    <row r="135" spans="5:77" x14ac:dyDescent="0.25">
      <c r="E135">
        <v>124</v>
      </c>
      <c r="F135">
        <v>8500000</v>
      </c>
      <c r="G135" s="58">
        <f t="shared" si="137"/>
        <v>-62.364139076051671</v>
      </c>
      <c r="H135" s="58">
        <f t="shared" si="138"/>
        <v>-174.73400608159542</v>
      </c>
      <c r="I135">
        <f t="shared" si="139"/>
        <v>13.913846219543162</v>
      </c>
      <c r="J135">
        <f t="shared" si="140"/>
        <v>-7.4782869615996365E-3</v>
      </c>
      <c r="K135" t="str">
        <f t="shared" si="141"/>
        <v>23.3582731482705-935.622591719371i</v>
      </c>
      <c r="L135" t="str">
        <f t="shared" si="142"/>
        <v>1000000000-37448.2296948583i</v>
      </c>
      <c r="M135" t="str">
        <f t="shared" si="143"/>
        <v>149977.503374525-0.000842332448270942i</v>
      </c>
      <c r="N135">
        <f t="shared" si="99"/>
        <v>-44.097324033701554</v>
      </c>
      <c r="O135">
        <f t="shared" si="144"/>
        <v>-88.212523275421404</v>
      </c>
      <c r="P135" t="str">
        <f t="shared" si="145"/>
        <v>-3.31928999245332i</v>
      </c>
      <c r="Q135" t="str">
        <f t="shared" si="146"/>
        <v>9360-3.06952702416872i</v>
      </c>
      <c r="R135" t="str">
        <f t="shared" si="100"/>
        <v>0.00117710266248981-3.31928918900316i</v>
      </c>
      <c r="S135" t="str">
        <f t="shared" si="147"/>
        <v>0.876481184367102-9362.05734165792i</v>
      </c>
      <c r="T135" t="str">
        <f t="shared" si="101"/>
        <v>0.00117637852849824-3.31811276221282i</v>
      </c>
      <c r="U135" t="str">
        <f t="shared" si="102"/>
        <v>0.000553326877853092-0.0235163923087564i</v>
      </c>
      <c r="V135">
        <f t="shared" si="148"/>
        <v>-82.152358969646016</v>
      </c>
      <c r="W135">
        <f t="shared" si="149"/>
        <v>-178.63183667291102</v>
      </c>
      <c r="X135">
        <f t="shared" si="103"/>
        <v>-32.570182334190065</v>
      </c>
      <c r="Y135">
        <f t="shared" si="150"/>
        <v>-88.652131163353587</v>
      </c>
      <c r="AA135" s="123">
        <f t="shared" si="104"/>
        <v>-48.450292856508511</v>
      </c>
      <c r="AB135" s="123">
        <f t="shared" si="105"/>
        <v>-174.74148436855702</v>
      </c>
      <c r="AC135">
        <f t="shared" si="106"/>
        <v>-126.24968300334757</v>
      </c>
      <c r="AD135">
        <f t="shared" si="107"/>
        <v>-266.84435994833245</v>
      </c>
      <c r="AE135" s="123">
        <f t="shared" si="108"/>
        <v>-174.69997585985607</v>
      </c>
      <c r="AF135" s="123">
        <f t="shared" si="109"/>
        <v>-441.58584431688951</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1"/>
        <v>17140</v>
      </c>
      <c r="AX135" t="str">
        <f t="shared" si="152"/>
        <v>8506-3.01515536995639i</v>
      </c>
      <c r="AY135" t="str">
        <f t="shared" si="120"/>
        <v>5684.81806366326-1.34676570729054i</v>
      </c>
      <c r="AZ135">
        <f t="shared" si="153"/>
        <v>1.1149315596226679</v>
      </c>
      <c r="BA135">
        <f t="shared" si="154"/>
        <v>-1.3573698360523986E-2</v>
      </c>
      <c r="BB135">
        <f t="shared" si="155"/>
        <v>-8.3617237151871869E-8</v>
      </c>
      <c r="BC135">
        <f t="shared" si="156"/>
        <v>2.7573111739781411E-3</v>
      </c>
      <c r="BD135" s="123">
        <f t="shared" si="121"/>
        <v>-62.364139159668909</v>
      </c>
      <c r="BE135" s="123">
        <f t="shared" si="122"/>
        <v>-174.73124877042144</v>
      </c>
      <c r="BF135">
        <f t="shared" si="123"/>
        <v>-81.037427410023355</v>
      </c>
      <c r="BG135">
        <f t="shared" si="124"/>
        <v>-178.64541037127154</v>
      </c>
      <c r="BH135" s="123">
        <f t="shared" si="125"/>
        <v>-143.40156656969225</v>
      </c>
      <c r="BI135" s="123">
        <f t="shared" si="126"/>
        <v>-353.37665914169298</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c r="BU135" s="123">
        <f t="shared" si="134"/>
        <v>0</v>
      </c>
      <c r="BV135" s="123">
        <f t="shared" si="135"/>
        <v>0</v>
      </c>
      <c r="BX135" s="123">
        <f t="shared" si="136"/>
        <v>0</v>
      </c>
      <c r="BY135" s="123"/>
    </row>
    <row r="136" spans="5:77" x14ac:dyDescent="0.25">
      <c r="E136">
        <v>125</v>
      </c>
      <c r="F136">
        <v>9000000</v>
      </c>
      <c r="G136" s="58">
        <f t="shared" si="137"/>
        <v>-63.353841042974757</v>
      </c>
      <c r="H136" s="58">
        <f t="shared" si="138"/>
        <v>-175.02546130331621</v>
      </c>
      <c r="I136">
        <f t="shared" si="139"/>
        <v>13.913846184105942</v>
      </c>
      <c r="J136">
        <f t="shared" si="140"/>
        <v>-7.0628266398105677E-3</v>
      </c>
      <c r="K136" t="str">
        <f t="shared" si="141"/>
        <v>20.8364049242551-883.703020753804i</v>
      </c>
      <c r="L136" t="str">
        <f t="shared" si="142"/>
        <v>1000000000-35367.7724895884i</v>
      </c>
      <c r="M136" t="str">
        <f t="shared" si="143"/>
        <v>149977.503374522-0.000795536201261074i</v>
      </c>
      <c r="N136">
        <f t="shared" si="99"/>
        <v>-44.593339215766647</v>
      </c>
      <c r="O136">
        <f t="shared" si="144"/>
        <v>-88.311769420559372</v>
      </c>
      <c r="P136" t="str">
        <f t="shared" si="145"/>
        <v>-3.13488499287258i</v>
      </c>
      <c r="Q136" t="str">
        <f t="shared" si="146"/>
        <v>9360-2.89899774504823i</v>
      </c>
      <c r="R136" t="str">
        <f t="shared" si="100"/>
        <v>0.00104994656351964-3.13488431602915i</v>
      </c>
      <c r="S136" t="str">
        <f t="shared" si="147"/>
        <v>0.78179957568495-8841.94305327084i</v>
      </c>
      <c r="T136" t="str">
        <f t="shared" si="101"/>
        <v>0.00104930065382858-3.1337732462175i</v>
      </c>
      <c r="U136" t="str">
        <f t="shared" si="102"/>
        <v>0.000493583415597236-0.0222112537018756i</v>
      </c>
      <c r="V136">
        <f t="shared" si="148"/>
        <v>-83.14504255215013</v>
      </c>
      <c r="W136">
        <f t="shared" si="149"/>
        <v>-178.70782245998782</v>
      </c>
      <c r="X136">
        <f t="shared" si="103"/>
        <v>-33.066394410242623</v>
      </c>
      <c r="Y136">
        <f t="shared" si="150"/>
        <v>-88.726988439069089</v>
      </c>
      <c r="AA136" s="123">
        <f t="shared" si="104"/>
        <v>-49.439994858868815</v>
      </c>
      <c r="AB136" s="123">
        <f t="shared" si="105"/>
        <v>-175.03252412995602</v>
      </c>
      <c r="AC136">
        <f t="shared" si="106"/>
        <v>-127.73838176791678</v>
      </c>
      <c r="AD136">
        <f t="shared" si="107"/>
        <v>-267.01959188054718</v>
      </c>
      <c r="AE136" s="123">
        <f t="shared" si="108"/>
        <v>-177.17837662678559</v>
      </c>
      <c r="AF136" s="123">
        <f t="shared" si="109"/>
        <v>-442.0521160105032</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1"/>
        <v>17140</v>
      </c>
      <c r="AX136" t="str">
        <f t="shared" si="152"/>
        <v>8506-2.84764673829214i</v>
      </c>
      <c r="AY136" t="str">
        <f t="shared" si="120"/>
        <v>5684.81804655896-1.27194539211804i</v>
      </c>
      <c r="AZ136">
        <f t="shared" si="153"/>
        <v>1.1149315071583938</v>
      </c>
      <c r="BA136">
        <f t="shared" si="154"/>
        <v>-1.281960409078187E-2</v>
      </c>
      <c r="BB136">
        <f t="shared" si="155"/>
        <v>-7.4584468479879401E-8</v>
      </c>
      <c r="BC136">
        <f t="shared" si="156"/>
        <v>2.6041272311794362E-3</v>
      </c>
      <c r="BD136" s="123">
        <f t="shared" si="121"/>
        <v>-63.353841117559227</v>
      </c>
      <c r="BE136" s="123">
        <f t="shared" si="122"/>
        <v>-175.02285717608504</v>
      </c>
      <c r="BF136">
        <f t="shared" si="123"/>
        <v>-82.030111044991742</v>
      </c>
      <c r="BG136">
        <f t="shared" si="124"/>
        <v>-178.72064206407862</v>
      </c>
      <c r="BH136" s="123">
        <f t="shared" si="125"/>
        <v>-145.38395216255097</v>
      </c>
      <c r="BI136" s="123">
        <f t="shared" si="126"/>
        <v>-353.74349924016366</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c r="BU136" s="123">
        <f t="shared" si="134"/>
        <v>0</v>
      </c>
      <c r="BV136" s="123">
        <f t="shared" si="135"/>
        <v>0</v>
      </c>
      <c r="BX136" s="123">
        <f t="shared" si="136"/>
        <v>0</v>
      </c>
      <c r="BY136" s="123"/>
    </row>
    <row r="137" spans="5:77" x14ac:dyDescent="0.25">
      <c r="E137">
        <v>126</v>
      </c>
      <c r="F137">
        <v>9500000</v>
      </c>
      <c r="G137" s="58">
        <f t="shared" si="137"/>
        <v>-64.290339850125491</v>
      </c>
      <c r="H137" s="58">
        <f t="shared" si="138"/>
        <v>-175.28639678062743</v>
      </c>
      <c r="I137">
        <f t="shared" si="139"/>
        <v>13.913846154115422</v>
      </c>
      <c r="J137">
        <f t="shared" si="140"/>
        <v>-6.691098974013163E-3</v>
      </c>
      <c r="K137" t="str">
        <f t="shared" si="141"/>
        <v>18.7018827693283-837.240015426098i</v>
      </c>
      <c r="L137" t="str">
        <f t="shared" si="142"/>
        <v>1000000000-33506.3107796101i</v>
      </c>
      <c r="M137" t="str">
        <f t="shared" si="143"/>
        <v>149977.503374519-0.000753665874979623i</v>
      </c>
      <c r="N137">
        <f t="shared" si="99"/>
        <v>-45.062574765736514</v>
      </c>
      <c r="O137">
        <f t="shared" si="144"/>
        <v>-88.400577211493214</v>
      </c>
      <c r="P137" t="str">
        <f t="shared" si="145"/>
        <v>-2.96989104587929i</v>
      </c>
      <c r="Q137" t="str">
        <f t="shared" si="146"/>
        <v>9360-2.74641891636148i</v>
      </c>
      <c r="R137" t="str">
        <f t="shared" si="100"/>
        <v>0.000942334351993647-2.9698904703798i</v>
      </c>
      <c r="S137" t="str">
        <f t="shared" si="147"/>
        <v>0.701670533863969-8376.57763612654i</v>
      </c>
      <c r="T137" t="str">
        <f t="shared" si="101"/>
        <v>0.00094175464353456-2.96883787787437i</v>
      </c>
      <c r="U137" t="str">
        <f t="shared" si="102"/>
        <v>0.000443016945398161-0.0210433049064127i</v>
      </c>
      <c r="V137">
        <f t="shared" si="148"/>
        <v>-84.084066533630846</v>
      </c>
      <c r="W137">
        <f t="shared" si="149"/>
        <v>-178.77581343553155</v>
      </c>
      <c r="X137">
        <f t="shared" si="103"/>
        <v>-33.535796616952879</v>
      </c>
      <c r="Y137">
        <f t="shared" si="150"/>
        <v>-88.793969693840893</v>
      </c>
      <c r="AA137" s="123">
        <f t="shared" si="104"/>
        <v>-50.376493696010073</v>
      </c>
      <c r="AB137" s="123">
        <f t="shared" si="105"/>
        <v>-175.29308787960144</v>
      </c>
      <c r="AC137">
        <f t="shared" si="106"/>
        <v>-129.14664129936736</v>
      </c>
      <c r="AD137">
        <f t="shared" si="107"/>
        <v>-267.17639064702473</v>
      </c>
      <c r="AE137" s="123">
        <f t="shared" si="108"/>
        <v>-179.52313499537743</v>
      </c>
      <c r="AF137" s="123">
        <f t="shared" si="109"/>
        <v>-442.46947852662618</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1"/>
        <v>17140</v>
      </c>
      <c r="AX137" t="str">
        <f t="shared" si="152"/>
        <v>8506-2.69777059417151i</v>
      </c>
      <c r="AY137" t="str">
        <f t="shared" si="120"/>
        <v>5684.8180320836-1.20500089931875i</v>
      </c>
      <c r="AZ137">
        <f t="shared" si="153"/>
        <v>1.1149314627579021</v>
      </c>
      <c r="BA137">
        <f t="shared" si="154"/>
        <v>-1.2144888153047262E-2</v>
      </c>
      <c r="BB137">
        <f t="shared" si="155"/>
        <v>-6.6940085476202194E-8</v>
      </c>
      <c r="BC137">
        <f t="shared" si="156"/>
        <v>2.4670679122915889E-3</v>
      </c>
      <c r="BD137" s="123">
        <f t="shared" si="121"/>
        <v>-64.29033991706558</v>
      </c>
      <c r="BE137" s="123">
        <f t="shared" si="122"/>
        <v>-175.28392971271515</v>
      </c>
      <c r="BF137">
        <f t="shared" si="123"/>
        <v>-82.969135070872937</v>
      </c>
      <c r="BG137">
        <f t="shared" si="124"/>
        <v>-178.78795832368459</v>
      </c>
      <c r="BH137" s="123">
        <f t="shared" si="125"/>
        <v>-147.25947498793852</v>
      </c>
      <c r="BI137" s="123">
        <f t="shared" si="126"/>
        <v>-354.07188803639974</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c r="BU137" s="123">
        <f t="shared" si="134"/>
        <v>0</v>
      </c>
      <c r="BV137" s="123">
        <f t="shared" si="135"/>
        <v>0</v>
      </c>
      <c r="BX137" s="123">
        <f t="shared" si="136"/>
        <v>0</v>
      </c>
      <c r="BY137" s="123"/>
    </row>
    <row r="138" spans="5:77" x14ac:dyDescent="0.25">
      <c r="E138">
        <v>127</v>
      </c>
      <c r="F138">
        <v>10000000</v>
      </c>
      <c r="G138" s="58">
        <f t="shared" si="137"/>
        <v>-65.179050638742609</v>
      </c>
      <c r="H138" s="58">
        <f t="shared" si="138"/>
        <v>-175.52136104916551</v>
      </c>
      <c r="I138">
        <f t="shared" si="139"/>
        <v>13.913846128510004</v>
      </c>
      <c r="J138">
        <f t="shared" si="140"/>
        <v>-6.3565440675603015E-3</v>
      </c>
      <c r="K138" t="str">
        <f t="shared" si="141"/>
        <v>16.8792699520512-795.416691708069i</v>
      </c>
      <c r="L138" t="str">
        <f t="shared" si="142"/>
        <v>1000000000-31830.9952406296i</v>
      </c>
      <c r="M138" t="str">
        <f t="shared" si="143"/>
        <v>149977.503374517-0.000715982581305272i</v>
      </c>
      <c r="N138">
        <f t="shared" si="99"/>
        <v>-45.507772758859147</v>
      </c>
      <c r="O138">
        <f t="shared" si="144"/>
        <v>-88.480510808581897</v>
      </c>
      <c r="P138" t="str">
        <f t="shared" si="145"/>
        <v>-2.82139649358532i</v>
      </c>
      <c r="Q138" t="str">
        <f t="shared" si="146"/>
        <v>9360-2.60909797054341i</v>
      </c>
      <c r="R138" t="str">
        <f t="shared" si="100"/>
        <v>0.000850456783601172-2.82139600016643i</v>
      </c>
      <c r="S138" t="str">
        <f t="shared" si="147"/>
        <v>0.633257657245463-7957.74875976435i</v>
      </c>
      <c r="T138" t="str">
        <f t="shared" si="101"/>
        <v>0.000849933596687332-2.82039603724386i</v>
      </c>
      <c r="U138" t="str">
        <f t="shared" si="102"/>
        <v>0.00039984006397441-0.0199920031987205i</v>
      </c>
      <c r="V138">
        <f t="shared" si="148"/>
        <v>-84.97493460678092</v>
      </c>
      <c r="W138">
        <f t="shared" si="149"/>
        <v>-178.83700813787453</v>
      </c>
      <c r="X138">
        <f t="shared" si="103"/>
        <v>-33.981136917305029</v>
      </c>
      <c r="Y138">
        <f t="shared" si="150"/>
        <v>-88.854255647427891</v>
      </c>
      <c r="AA138" s="123">
        <f t="shared" si="104"/>
        <v>-51.265204510232607</v>
      </c>
      <c r="AB138" s="123">
        <f t="shared" si="105"/>
        <v>-175.52771759323306</v>
      </c>
      <c r="AC138">
        <f t="shared" si="106"/>
        <v>-130.48270736564007</v>
      </c>
      <c r="AD138">
        <f t="shared" si="107"/>
        <v>-267.3175189464564</v>
      </c>
      <c r="AE138" s="123">
        <f t="shared" si="108"/>
        <v>-181.74791187587266</v>
      </c>
      <c r="AF138" s="123">
        <f t="shared" si="109"/>
        <v>-442.84523653968949</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1"/>
        <v>17140</v>
      </c>
      <c r="AX138" t="str">
        <f t="shared" si="152"/>
        <v>8506-2.56288206446293i</v>
      </c>
      <c r="AY138" t="str">
        <f t="shared" si="120"/>
        <v>5684.81801972477-1.14475085558786i</v>
      </c>
      <c r="AZ138">
        <f t="shared" si="153"/>
        <v>1.11493142484944</v>
      </c>
      <c r="BA138">
        <f t="shared" si="154"/>
        <v>-1.1537643799773322E-2</v>
      </c>
      <c r="BB138">
        <f t="shared" si="155"/>
        <v>-6.0413393700806284E-8</v>
      </c>
      <c r="BC138">
        <f t="shared" si="156"/>
        <v>2.3437145240326872E-3</v>
      </c>
      <c r="BD138" s="123">
        <f t="shared" si="121"/>
        <v>-65.179050699156008</v>
      </c>
      <c r="BE138" s="123">
        <f t="shared" si="122"/>
        <v>-175.51901733464146</v>
      </c>
      <c r="BF138">
        <f t="shared" si="123"/>
        <v>-83.860003181931475</v>
      </c>
      <c r="BG138">
        <f t="shared" si="124"/>
        <v>-178.84854578167432</v>
      </c>
      <c r="BH138" s="123">
        <f t="shared" si="125"/>
        <v>-149.03905388108748</v>
      </c>
      <c r="BI138" s="123">
        <f t="shared" si="126"/>
        <v>-354.36756311631575</v>
      </c>
      <c r="BL138" s="123">
        <f t="shared" si="127"/>
        <v>0</v>
      </c>
      <c r="BM138" s="123">
        <f t="shared" si="128"/>
        <v>0</v>
      </c>
      <c r="BN138" s="123">
        <f t="shared" si="129"/>
        <v>0</v>
      </c>
      <c r="BO138" s="123">
        <f t="shared" si="130"/>
        <v>0</v>
      </c>
      <c r="BP138" s="123">
        <f t="shared" si="131"/>
        <v>0</v>
      </c>
      <c r="BQ138" s="123">
        <f t="shared" si="132"/>
        <v>0</v>
      </c>
      <c r="BR138" s="123">
        <f t="shared" si="133"/>
        <v>0</v>
      </c>
      <c r="BS138" s="123"/>
      <c r="BX138" s="123">
        <f t="shared" si="136"/>
        <v>0</v>
      </c>
      <c r="BY138" s="123"/>
    </row>
    <row r="139" spans="5:77" x14ac:dyDescent="0.25">
      <c r="AI139" s="123"/>
      <c r="AJ139" s="123"/>
      <c r="AK139" s="123"/>
      <c r="AL139" s="123"/>
      <c r="AM139" s="123"/>
      <c r="AN139" s="123"/>
      <c r="AO139" s="123"/>
      <c r="AP139" s="123"/>
      <c r="AQ139" s="123"/>
      <c r="AR139" s="123"/>
      <c r="AS139" s="12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B66E-7E9B-43CB-A19C-32363780FFFC}">
  <sheetPr codeName="Sheet13"/>
  <dimension ref="C1:BS212"/>
  <sheetViews>
    <sheetView zoomScaleNormal="100" workbookViewId="0">
      <selection activeCell="E1" sqref="E1"/>
    </sheetView>
  </sheetViews>
  <sheetFormatPr defaultRowHeight="13.2" x14ac:dyDescent="0.25"/>
  <cols>
    <col min="1" max="1" width="111.44140625" style="61" customWidth="1"/>
    <col min="2" max="2" width="8.88671875" style="61"/>
    <col min="3" max="3" width="6.77734375" style="61" customWidth="1"/>
    <col min="4" max="4" width="10.44140625" style="61" customWidth="1"/>
    <col min="5" max="5" width="6.77734375" style="61" customWidth="1"/>
    <col min="6" max="6" width="8" style="61" customWidth="1"/>
    <col min="7" max="7" width="8.88671875" style="62"/>
    <col min="8" max="9" width="9.77734375" style="61" customWidth="1"/>
    <col min="10" max="13" width="8.21875" style="65" customWidth="1"/>
    <col min="14" max="14" width="10.77734375" style="63" customWidth="1"/>
    <col min="15" max="17" width="8.77734375" style="64" customWidth="1"/>
    <col min="18" max="18" width="12.21875" style="64" customWidth="1"/>
    <col min="19" max="19" width="8" style="64" customWidth="1"/>
    <col min="20" max="20" width="9.44140625" style="65" customWidth="1"/>
    <col min="21" max="21" width="8" style="61" customWidth="1"/>
    <col min="22" max="22" width="9.21875" style="66" customWidth="1"/>
    <col min="23" max="23" width="8.77734375" style="64" customWidth="1"/>
    <col min="24" max="24" width="9.77734375" style="61" customWidth="1"/>
    <col min="25" max="25" width="10.77734375" style="61" customWidth="1"/>
    <col min="26" max="26" width="9.77734375" style="65" customWidth="1"/>
    <col min="27" max="27" width="10.5546875" style="61" customWidth="1"/>
    <col min="28" max="28" width="8.88671875" style="61"/>
    <col min="29" max="31" width="8.5546875" style="61" customWidth="1"/>
    <col min="32" max="32" width="11.77734375" style="61" customWidth="1"/>
    <col min="33" max="33" width="12.77734375" style="61" customWidth="1"/>
    <col min="34" max="35" width="8" style="61" customWidth="1"/>
    <col min="36" max="36" width="9.77734375" style="61" customWidth="1"/>
    <col min="37" max="39" width="8.77734375" style="61" customWidth="1"/>
    <col min="40" max="46" width="10.5546875" style="61" customWidth="1"/>
    <col min="47" max="47" width="10.21875" style="61" customWidth="1"/>
    <col min="48" max="48" width="11.5546875" style="61" customWidth="1"/>
    <col min="49" max="49" width="9.21875" style="61" customWidth="1"/>
    <col min="50" max="50" width="10.44140625" style="61" customWidth="1"/>
    <col min="51" max="51" width="8.88671875" style="61"/>
    <col min="52" max="52" width="8.44140625" style="64" customWidth="1"/>
    <col min="53" max="53" width="7.21875" style="64" customWidth="1"/>
    <col min="54" max="54" width="10.21875" style="67" customWidth="1"/>
    <col min="55" max="55" width="7.77734375" style="63" customWidth="1"/>
    <col min="56" max="56" width="8.88671875" style="65"/>
    <col min="57" max="57" width="10.21875" style="65" customWidth="1"/>
    <col min="58" max="58" width="12.21875" style="65" customWidth="1"/>
    <col min="59" max="59" width="8.77734375" style="65" customWidth="1"/>
    <col min="60" max="63" width="7.77734375" style="61" customWidth="1"/>
    <col min="64" max="66" width="8.88671875" style="61"/>
    <col min="67" max="67" width="28.44140625" style="61" customWidth="1"/>
    <col min="68" max="69" width="8.88671875" style="61"/>
    <col min="70" max="70" width="12.44140625" style="61" bestFit="1" customWidth="1"/>
    <col min="71" max="16384" width="8.88671875" style="61"/>
  </cols>
  <sheetData>
    <row r="1" spans="3:71" ht="374.4" customHeight="1" x14ac:dyDescent="0.25"/>
    <row r="2" spans="3:71" x14ac:dyDescent="0.25">
      <c r="AI2" s="120" t="s">
        <v>378</v>
      </c>
      <c r="AJ2" s="119">
        <f>V.supply_typ</f>
        <v>24</v>
      </c>
    </row>
    <row r="3" spans="3:71" x14ac:dyDescent="0.25">
      <c r="AI3" s="120" t="s">
        <v>379</v>
      </c>
      <c r="AJ3" s="119">
        <f>V.bd_ls</f>
        <v>0.8</v>
      </c>
    </row>
    <row r="4" spans="3:71" ht="12.75" customHeight="1" x14ac:dyDescent="0.25">
      <c r="AI4" s="120" t="s">
        <v>380</v>
      </c>
      <c r="AJ4" s="119">
        <f>V.fwd_sch</f>
        <v>4444</v>
      </c>
    </row>
    <row r="5" spans="3:71" ht="12.75" customHeight="1" x14ac:dyDescent="0.25">
      <c r="G5" s="68"/>
      <c r="H5" s="69"/>
      <c r="I5" s="69"/>
      <c r="AI5" s="120" t="s">
        <v>381</v>
      </c>
      <c r="AJ5" s="119">
        <f>MIN(AJ3:AJ4)</f>
        <v>0.8</v>
      </c>
      <c r="AU5" s="69"/>
    </row>
    <row r="6" spans="3:71" ht="12.75" customHeight="1" x14ac:dyDescent="0.25">
      <c r="D6" s="118" t="str">
        <f>"Full Load Efficiency = "&amp;ROUND(BB112*100,1)&amp;" %"</f>
        <v>Full Load Efficiency = 91.4 %</v>
      </c>
      <c r="G6" s="68"/>
      <c r="H6" s="69"/>
      <c r="I6" s="69"/>
      <c r="AI6" s="120" t="s">
        <v>382</v>
      </c>
      <c r="AJ6" s="119">
        <f>0.5*AJ2/(AJ5+AJ2)</f>
        <v>0.48387096774193544</v>
      </c>
      <c r="AU6" s="69"/>
    </row>
    <row r="7" spans="3:71" ht="12.75" customHeight="1" x14ac:dyDescent="0.25">
      <c r="G7" s="68"/>
      <c r="H7" s="69"/>
      <c r="I7" s="69"/>
      <c r="AI7" s="120" t="s">
        <v>383</v>
      </c>
      <c r="AJ7" s="119">
        <f>(AJ5+0.5*AJ2)/(AJ5+AJ2)</f>
        <v>0.5161290322580645</v>
      </c>
      <c r="AU7" s="69"/>
      <c r="AW7" s="69"/>
    </row>
    <row r="8" spans="3:71" x14ac:dyDescent="0.25">
      <c r="D8" s="119" t="s">
        <v>369</v>
      </c>
      <c r="E8" s="119" t="s">
        <v>369</v>
      </c>
      <c r="F8" s="119" t="s">
        <v>369</v>
      </c>
    </row>
    <row r="9" spans="3:71" ht="13.5" customHeight="1" x14ac:dyDescent="0.25">
      <c r="D9" s="119">
        <v>0</v>
      </c>
      <c r="E9" s="119">
        <v>0</v>
      </c>
      <c r="F9" s="119">
        <v>0</v>
      </c>
      <c r="N9" s="70"/>
      <c r="O9" s="71"/>
      <c r="P9" s="71"/>
      <c r="Q9" s="71"/>
      <c r="R9" s="71"/>
      <c r="AV9" s="72"/>
      <c r="AW9" s="72"/>
      <c r="AY9" s="72"/>
      <c r="AZ9" s="71"/>
    </row>
    <row r="10" spans="3:71" s="69" customFormat="1" x14ac:dyDescent="0.25">
      <c r="C10" s="168" t="s">
        <v>285</v>
      </c>
      <c r="D10" s="169"/>
      <c r="E10" s="169"/>
      <c r="F10" s="169"/>
      <c r="G10" s="169"/>
      <c r="H10" s="169"/>
      <c r="I10" s="169"/>
      <c r="J10" s="169"/>
      <c r="K10" s="169"/>
      <c r="L10" s="169"/>
      <c r="M10" s="169"/>
      <c r="N10" s="169"/>
      <c r="O10" s="169"/>
      <c r="P10" s="169"/>
      <c r="Q10" s="169"/>
      <c r="R10" s="170"/>
      <c r="S10" s="164" t="s">
        <v>286</v>
      </c>
      <c r="T10" s="164"/>
      <c r="U10" s="164"/>
      <c r="V10" s="164"/>
      <c r="W10" s="171" t="s">
        <v>287</v>
      </c>
      <c r="X10" s="171"/>
      <c r="Y10" s="171"/>
      <c r="Z10" s="164" t="s">
        <v>288</v>
      </c>
      <c r="AA10" s="164"/>
      <c r="AB10" s="164"/>
      <c r="AC10" s="164" t="s">
        <v>289</v>
      </c>
      <c r="AD10" s="164"/>
      <c r="AE10" s="164"/>
      <c r="AF10" s="164"/>
      <c r="AG10" s="164"/>
      <c r="AH10" s="164"/>
      <c r="AI10" s="164"/>
      <c r="AJ10" s="164"/>
      <c r="AK10" s="164" t="s">
        <v>356</v>
      </c>
      <c r="AL10" s="164"/>
      <c r="AM10" s="164"/>
      <c r="AN10" s="164"/>
      <c r="AO10" s="164"/>
      <c r="AP10" s="164"/>
      <c r="AQ10" s="164"/>
      <c r="AR10" s="164"/>
      <c r="AS10" s="164"/>
      <c r="AT10" s="164"/>
      <c r="AU10" s="164"/>
      <c r="AV10" s="100" t="s">
        <v>290</v>
      </c>
      <c r="AW10" s="164" t="s">
        <v>291</v>
      </c>
      <c r="AX10" s="164"/>
      <c r="AY10" s="164"/>
      <c r="AZ10" s="164" t="s">
        <v>292</v>
      </c>
      <c r="BA10" s="164"/>
      <c r="BB10" s="164"/>
      <c r="BC10" s="165" t="s">
        <v>372</v>
      </c>
      <c r="BD10" s="166"/>
      <c r="BE10" s="166"/>
      <c r="BF10" s="166"/>
      <c r="BG10" s="166"/>
      <c r="BH10" s="166"/>
      <c r="BI10" s="166"/>
      <c r="BJ10" s="166"/>
      <c r="BK10" s="166"/>
      <c r="BL10" s="167"/>
    </row>
    <row r="11" spans="3:71" s="69" customFormat="1" ht="66" x14ac:dyDescent="0.25">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5">
      <c r="C12" s="61">
        <v>0</v>
      </c>
      <c r="D12" s="61">
        <f t="shared" ref="D12:D43" si="0">T.amb+I12*$D$9</f>
        <v>105</v>
      </c>
      <c r="E12" s="61">
        <f t="shared" ref="E12:E43" si="1">T.amb+I12*$E$9</f>
        <v>105</v>
      </c>
      <c r="F12" s="61">
        <f t="shared" ref="F12:F43" si="2">T.amb+I12*$F$9</f>
        <v>105</v>
      </c>
      <c r="G12" s="73">
        <f t="shared" ref="G12:G43" si="3">V.supply_typ</f>
        <v>24</v>
      </c>
      <c r="H12" s="64">
        <f t="shared" ref="H12:H43" si="4">FPWM</f>
        <v>1</v>
      </c>
      <c r="I12" s="61">
        <v>0</v>
      </c>
      <c r="J12" s="65">
        <f t="shared" ref="J12:J43" si="5">R.hs25*((D12+275)/300)^2.3</f>
        <v>8.6117892021752077E-4</v>
      </c>
      <c r="K12" s="65">
        <f t="shared" ref="K12:K43" si="6">R.ls25*((E12+275)/300)^2.3</f>
        <v>8.6117892021752077E-4</v>
      </c>
      <c r="L12" s="65">
        <f t="shared" ref="L12:L43" si="7">R.dcr25*((F12+275)/300)^1.2</f>
        <v>5.1791610661465239E-3</v>
      </c>
      <c r="M12" s="65">
        <f t="shared" ref="M12:M43" si="8">R.s</f>
        <v>4.0000000000000001E-3</v>
      </c>
      <c r="N12" s="63">
        <f t="shared" ref="N12:N43" si="9">(V.load+I12*(K12+L12+M12))/(V.supply_typ+I12*(K12-J12))</f>
        <v>0.16666666666666666</v>
      </c>
      <c r="O12" s="64">
        <f t="shared" ref="O12:O43" si="10">(V.supply_typ-I.load*(J12+L12+M12)-V.load)*N12/(f.sw*L.out)</f>
        <v>2.1383619815319532</v>
      </c>
      <c r="P12" s="64">
        <f t="shared" ref="P12:P43" si="11">I12+O12/2</f>
        <v>1.0691809907659766</v>
      </c>
      <c r="Q12" s="64">
        <f t="shared" ref="Q12:Q43" si="12">I12-O12/2</f>
        <v>-1.0691809907659766</v>
      </c>
      <c r="R12" s="64">
        <f t="shared" ref="R12:R43" si="13">IF(MIN(V.supply_typ, -Q12/(C.oss_hs+C.oss_ls)*0.00000002)&lt;0, 0, MIN(V.supply_typ, -Q12/(C.oss_hs+C.oss_ls)*0.00000002))</f>
        <v>24</v>
      </c>
      <c r="S12" s="64">
        <f t="shared" ref="S12:S43" si="14">SQRT(I12^2+(O12^2)/12)</f>
        <v>0.61729193283116734</v>
      </c>
      <c r="T12" s="63">
        <f>S12^2*L12</f>
        <v>1.9735158559700456E-3</v>
      </c>
      <c r="U12" s="63">
        <f t="shared" ref="U12:U43" si="15">IF(FPWM=1,P.core,MIN(P.core,P.core*(O12+Q12)/O12))</f>
        <v>1</v>
      </c>
      <c r="V12" s="63">
        <f>U12+T12</f>
        <v>1.0019735158559699</v>
      </c>
      <c r="W12" s="64">
        <f>O12/SQRT(12)</f>
        <v>0.61729193283116746</v>
      </c>
      <c r="X12" s="63">
        <f t="shared" ref="X12:X43" si="16">R.esrb*W12^2</f>
        <v>7.6209866067687718E-2</v>
      </c>
      <c r="Y12" s="63">
        <f>X12</f>
        <v>7.6209866067687718E-2</v>
      </c>
      <c r="Z12" s="64">
        <f t="shared" ref="Z12:Z43" si="17">SQRT(N12*(1-N12))*SQRT(I12^2+(O12^2)/12)</f>
        <v>0.23005112062878741</v>
      </c>
      <c r="AA12" s="74">
        <f t="shared" ref="AA12:AA43" si="18">R.esr_cin*Z12^2</f>
        <v>5.2923518102560896E-5</v>
      </c>
      <c r="AB12" s="75">
        <f>AA12</f>
        <v>5.2923518102560896E-5</v>
      </c>
      <c r="AC12" s="63">
        <f t="shared" ref="AC12:AC43" si="19">SQRT(N12)*SQRT(I12^2+(O12^2)/12)</f>
        <v>0.2520083762954578</v>
      </c>
      <c r="AD12" s="63">
        <f>J12*AC12^2</f>
        <v>5.4691941808410958E-5</v>
      </c>
      <c r="AE12" s="63">
        <f t="shared" ref="AE12:AE43" si="20">AD12*(1+TC_rdson_hs*(T.amb-25))/(1-AD12*TC_rdson_hs*theta.ja_hs)</f>
        <v>7.2194342402398312E-5</v>
      </c>
      <c r="AF12" s="63">
        <f t="shared" ref="AF12:AF43" si="21">(V.supply_typ*P12/2)*f.sw*T.rise+(V.supply_typ*MAX(Q12,0)/2)*f.sw*T.fall</f>
        <v>6.0827259317152632E-2</v>
      </c>
      <c r="AG12" s="63">
        <f t="shared" ref="AG12:AG43" si="22">0.5*(C.oss_hs+C.oss_ls)*(V.supply_typ-R12)^2*f.sw</f>
        <v>0</v>
      </c>
      <c r="AH12" s="63">
        <f t="shared" ref="AH12:AH43" si="23">IF(I12&gt;O12/2,0,ABS(Q12)*V.bd_hs*t.d_loff_hon*f.sw)</f>
        <v>1.4070421838480254E-2</v>
      </c>
      <c r="AI12" s="63">
        <f>AS12*$AJ$6</f>
        <v>0.22378064516129031</v>
      </c>
      <c r="AJ12" s="63">
        <f>(AH12+AG12+AF12+AE12+AI12)</f>
        <v>0.29875052065932561</v>
      </c>
      <c r="AK12" s="63">
        <f t="shared" ref="AK12:AK43" si="24">SQRT((1-N12))*SQRT(I12^2+(O12^2)/12)</f>
        <v>0.56350786029599031</v>
      </c>
      <c r="AL12" s="63">
        <f t="shared" ref="AL12:AL43" si="25">K12*AK12^2</f>
        <v>2.7345970904205482E-4</v>
      </c>
      <c r="AM12" s="63">
        <f t="shared" ref="AM12:AM43" si="26">AL12*(1+TC_rdson_ls*(T.amb-25))/(1-AL12*TC_rdson_ls*theta.ja_ls)</f>
        <v>3.6099129764616717E-4</v>
      </c>
      <c r="AN12" s="63">
        <f t="shared" ref="AN12:AN43" si="27">IF(I12&gt;O12/2, Q12*V.bd_ls*t.d_loff_hon*f.sw + P12*V.bd_ls*t.d_hoff_lon*f.sw,P12*V.bd_ls*t.d_hoff_lon*f.sw)</f>
        <v>1.005030131320018E-2</v>
      </c>
      <c r="AO12" s="63">
        <f t="shared" ref="AO12:AO43" si="28">IF(I12&gt;O12/2, Q12*V.fwd_sch*t.d_loff_hon*f.sw + P12*V.fwd_sch*t.d_hoff_lon*f.sw,P12*V.fwd_sch*t.d_hoff_lon*f.sw)</f>
        <v>55.829423794827008</v>
      </c>
      <c r="AP12" s="63">
        <f>MIN(AN12:AO12)</f>
        <v>1.005030131320018E-2</v>
      </c>
      <c r="AQ12" s="61">
        <f t="shared" ref="AQ12:AQ43" si="29">Q.rr_ls*V.supply_typ*f.sw</f>
        <v>0.46248</v>
      </c>
      <c r="AR12" s="61">
        <f t="shared" ref="AR12:AR43" si="30">Q.rr_sch*V.supply_typ*f.sw</f>
        <v>50128320000</v>
      </c>
      <c r="AS12" s="61">
        <f>MIN(AQ12:AR12)</f>
        <v>0.46248</v>
      </c>
      <c r="AT12" s="61">
        <f>AS12*$AJ$7</f>
        <v>0.23869935483870966</v>
      </c>
      <c r="AU12" s="63">
        <f>AM12+AP12+AT12</f>
        <v>0.24911064744955602</v>
      </c>
      <c r="AV12" s="63">
        <f t="shared" ref="AV12:AV43" si="31">R.s*S12^2</f>
        <v>1.5241973213537536E-3</v>
      </c>
      <c r="AW12" s="63">
        <f t="shared" ref="AW12:AW43" si="32">I.q_IC*V.supply_typ</f>
        <v>2.9760000000000003E-3</v>
      </c>
      <c r="AX12" s="63">
        <f t="shared" ref="AX12:AX43" si="33">IF(ExtVCC=1,  (Q.g_hs+Q.g_ls)*f.sw*V.load, (Q.g_hs+Q.g_ls)*f.sw*V.supply_typ)</f>
        <v>4.1360000000000001E-2</v>
      </c>
      <c r="AY12" s="63">
        <f t="shared" ref="AY12:AY43" si="34">SUM(AW12:AX12)</f>
        <v>4.4336E-2</v>
      </c>
      <c r="AZ12" s="63">
        <f t="shared" ref="AZ12:AZ43" si="35">V12+Y12+AB12+AJ12+AU12+AV12+AY12</f>
        <v>1.6719576708719956</v>
      </c>
      <c r="BA12" s="64">
        <f t="shared" ref="BA12:BA43" si="36">V.load*I12</f>
        <v>0</v>
      </c>
      <c r="BB12" s="76">
        <f>BA12/(BA12+AZ12)</f>
        <v>0</v>
      </c>
      <c r="BC12" s="64">
        <f>BB12*100</f>
        <v>0</v>
      </c>
      <c r="BD12" s="63">
        <f t="shared" ref="BD12:BD43" si="37">V12</f>
        <v>1.0019735158559699</v>
      </c>
      <c r="BE12" s="63">
        <f>BF12+BG12</f>
        <v>0.54786116810888164</v>
      </c>
      <c r="BF12" s="63">
        <f t="shared" ref="BF12:BF43" si="38">AJ12</f>
        <v>0.29875052065932561</v>
      </c>
      <c r="BG12" s="63">
        <f t="shared" ref="BG12:BG43" si="39">AU12</f>
        <v>0.24911064744955602</v>
      </c>
      <c r="BH12" s="63">
        <f t="shared" ref="BH12:BH43" si="40">AV12</f>
        <v>1.5241973213537536E-3</v>
      </c>
      <c r="BI12" s="63">
        <f>AY12</f>
        <v>4.4336E-2</v>
      </c>
      <c r="BJ12" s="63">
        <f>AB12</f>
        <v>5.2923518102560896E-5</v>
      </c>
      <c r="BK12" s="63">
        <f>Y12</f>
        <v>7.6209866067687718E-2</v>
      </c>
      <c r="BL12" s="63">
        <f>BD12+BF12+BG12+BH12+BI12+BJ12+BK12</f>
        <v>1.6719576708719956</v>
      </c>
      <c r="BP12" s="77"/>
      <c r="BQ12" s="77"/>
      <c r="BR12" s="77"/>
      <c r="BS12" s="78"/>
    </row>
    <row r="13" spans="3:71" x14ac:dyDescent="0.25">
      <c r="C13" s="61">
        <v>1</v>
      </c>
      <c r="D13" s="61">
        <f t="shared" si="0"/>
        <v>105</v>
      </c>
      <c r="E13" s="61">
        <f t="shared" si="1"/>
        <v>105</v>
      </c>
      <c r="F13" s="61">
        <f t="shared" si="2"/>
        <v>105</v>
      </c>
      <c r="G13" s="73">
        <f t="shared" si="3"/>
        <v>24</v>
      </c>
      <c r="H13" s="64">
        <f t="shared" si="4"/>
        <v>1</v>
      </c>
      <c r="I13" s="63">
        <f t="shared" ref="I13:I44" si="41">I.load*C13/100</f>
        <v>0.1</v>
      </c>
      <c r="J13" s="65">
        <f t="shared" si="5"/>
        <v>8.6117892021752077E-4</v>
      </c>
      <c r="K13" s="65">
        <f t="shared" si="6"/>
        <v>8.6117892021752077E-4</v>
      </c>
      <c r="L13" s="65">
        <f t="shared" si="7"/>
        <v>5.1791610661465239E-3</v>
      </c>
      <c r="M13" s="65">
        <f t="shared" si="8"/>
        <v>4.0000000000000001E-3</v>
      </c>
      <c r="N13" s="63">
        <f t="shared" si="9"/>
        <v>0.16670850141660987</v>
      </c>
      <c r="O13" s="64">
        <f t="shared" si="10"/>
        <v>2.1388987285646661</v>
      </c>
      <c r="P13" s="64">
        <f t="shared" si="11"/>
        <v>1.1694493642823331</v>
      </c>
      <c r="Q13" s="64">
        <f t="shared" si="12"/>
        <v>-0.96944936428233308</v>
      </c>
      <c r="R13" s="64">
        <f t="shared" si="13"/>
        <v>24</v>
      </c>
      <c r="S13" s="64">
        <f t="shared" si="14"/>
        <v>0.62549232416390377</v>
      </c>
      <c r="T13" s="63">
        <f t="shared" ref="T13:T76" si="42">S13^2*L13</f>
        <v>2.026298329481526E-3</v>
      </c>
      <c r="U13" s="63">
        <f t="shared" si="15"/>
        <v>1</v>
      </c>
      <c r="V13" s="63">
        <f t="shared" ref="V13:V76" si="43">U13+T13</f>
        <v>1.0020262983294814</v>
      </c>
      <c r="W13" s="64">
        <f t="shared" ref="W13:W76" si="44">O13/SQRT(12)</f>
        <v>0.61744687835307921</v>
      </c>
      <c r="X13" s="63">
        <f t="shared" si="16"/>
        <v>7.6248129517592453E-2</v>
      </c>
      <c r="Y13" s="63">
        <f t="shared" ref="Y13:Y76" si="45">X13</f>
        <v>7.6248129517592453E-2</v>
      </c>
      <c r="Z13" s="64">
        <f t="shared" si="17"/>
        <v>0.23313062815377275</v>
      </c>
      <c r="AA13" s="74">
        <f t="shared" si="18"/>
        <v>5.4349889783372657E-5</v>
      </c>
      <c r="AB13" s="75">
        <f t="shared" ref="AB13:AB76" si="46">AA13</f>
        <v>5.4349889783372657E-5</v>
      </c>
      <c r="AC13" s="63">
        <f t="shared" si="19"/>
        <v>0.25538821831214753</v>
      </c>
      <c r="AD13" s="63">
        <f t="shared" ref="AD13:AD76" si="47">J13*AC13^2</f>
        <v>5.6168795046097793E-5</v>
      </c>
      <c r="AE13" s="63">
        <f t="shared" si="20"/>
        <v>7.4143842274278696E-5</v>
      </c>
      <c r="AF13" s="63">
        <f t="shared" si="21"/>
        <v>6.6531672704467998E-2</v>
      </c>
      <c r="AG13" s="63">
        <f t="shared" si="22"/>
        <v>0</v>
      </c>
      <c r="AH13" s="63">
        <f t="shared" si="23"/>
        <v>1.2757953633955507E-2</v>
      </c>
      <c r="AI13" s="63">
        <f t="shared" ref="AI13:AI76" si="48">AS13*$AJ$6</f>
        <v>0.22378064516129031</v>
      </c>
      <c r="AJ13" s="63">
        <f t="shared" ref="AJ13:AJ76" si="49">(AH13+AG13+AF13+AE13+AI13)</f>
        <v>0.3031444153419881</v>
      </c>
      <c r="AK13" s="63">
        <f t="shared" si="24"/>
        <v>0.57097942654294376</v>
      </c>
      <c r="AL13" s="63">
        <f t="shared" si="25"/>
        <v>2.8075940338890691E-4</v>
      </c>
      <c r="AM13" s="63">
        <f t="shared" si="26"/>
        <v>3.7062821869803225E-4</v>
      </c>
      <c r="AN13" s="63">
        <f t="shared" si="27"/>
        <v>1.0992824024253932E-2</v>
      </c>
      <c r="AO13" s="63">
        <f t="shared" si="28"/>
        <v>61.065137454730596</v>
      </c>
      <c r="AP13" s="63">
        <f t="shared" ref="AP13:AP76" si="50">MIN(AN13:AO13)</f>
        <v>1.0992824024253932E-2</v>
      </c>
      <c r="AQ13" s="61">
        <f t="shared" si="29"/>
        <v>0.46248</v>
      </c>
      <c r="AR13" s="61">
        <f t="shared" si="30"/>
        <v>50128320000</v>
      </c>
      <c r="AS13" s="61">
        <f t="shared" ref="AS13:AS76" si="51">MIN(AQ13:AR13)</f>
        <v>0.46248</v>
      </c>
      <c r="AT13" s="61">
        <f t="shared" ref="AT13:AT76" si="52">AS13*$AJ$7</f>
        <v>0.23869935483870966</v>
      </c>
      <c r="AU13" s="63">
        <f t="shared" ref="AU13:AU76" si="53">AM13+AP13+AT13</f>
        <v>0.25006280708166162</v>
      </c>
      <c r="AV13" s="63">
        <f t="shared" si="31"/>
        <v>1.5649625903518484E-3</v>
      </c>
      <c r="AW13" s="63">
        <f t="shared" si="32"/>
        <v>2.9760000000000003E-3</v>
      </c>
      <c r="AX13" s="63">
        <f t="shared" si="33"/>
        <v>4.1360000000000001E-2</v>
      </c>
      <c r="AY13" s="63">
        <f t="shared" si="34"/>
        <v>4.4336E-2</v>
      </c>
      <c r="AZ13" s="63">
        <f t="shared" si="35"/>
        <v>1.677436962750859</v>
      </c>
      <c r="BA13" s="64">
        <f t="shared" si="36"/>
        <v>0.4</v>
      </c>
      <c r="BB13" s="76">
        <f t="shared" ref="BB13:BB76" si="54">BA13/(BA13+AZ13)</f>
        <v>0.19254495186719697</v>
      </c>
      <c r="BC13" s="64">
        <f t="shared" ref="BC13:BC76" si="55">BB13*100</f>
        <v>19.254495186719698</v>
      </c>
      <c r="BD13" s="63">
        <f t="shared" si="37"/>
        <v>1.0020262983294814</v>
      </c>
      <c r="BE13" s="63">
        <f t="shared" ref="BE13:BE76" si="56">BF13+BG13</f>
        <v>0.55320722242364972</v>
      </c>
      <c r="BF13" s="63">
        <f t="shared" si="38"/>
        <v>0.3031444153419881</v>
      </c>
      <c r="BG13" s="63">
        <f t="shared" si="39"/>
        <v>0.25006280708166162</v>
      </c>
      <c r="BH13" s="63">
        <f t="shared" si="40"/>
        <v>1.5649625903518484E-3</v>
      </c>
      <c r="BI13" s="63">
        <f t="shared" ref="BI13:BI76" si="57">AY13</f>
        <v>4.4336E-2</v>
      </c>
      <c r="BJ13" s="63">
        <f t="shared" ref="BJ13:BJ76" si="58">AB13</f>
        <v>5.4349889783372657E-5</v>
      </c>
      <c r="BK13" s="63">
        <f t="shared" ref="BK13:BK76" si="59">Y13</f>
        <v>7.6248129517592453E-2</v>
      </c>
      <c r="BL13" s="63">
        <f t="shared" ref="BL13:BL76" si="60">BD13+BF13+BG13+BH13+BI13+BJ13+BK13</f>
        <v>1.6774369627508587</v>
      </c>
      <c r="BP13" s="77"/>
      <c r="BQ13" s="77"/>
      <c r="BR13" s="77"/>
      <c r="BS13" s="78"/>
    </row>
    <row r="14" spans="3:71" x14ac:dyDescent="0.25">
      <c r="C14" s="61">
        <v>2</v>
      </c>
      <c r="D14" s="61">
        <f t="shared" si="0"/>
        <v>105</v>
      </c>
      <c r="E14" s="61">
        <f t="shared" si="1"/>
        <v>105</v>
      </c>
      <c r="F14" s="61">
        <f t="shared" si="2"/>
        <v>105</v>
      </c>
      <c r="G14" s="73">
        <f t="shared" si="3"/>
        <v>24</v>
      </c>
      <c r="H14" s="64">
        <f t="shared" si="4"/>
        <v>1</v>
      </c>
      <c r="I14" s="63">
        <f t="shared" si="41"/>
        <v>0.2</v>
      </c>
      <c r="J14" s="65">
        <f t="shared" si="5"/>
        <v>8.6117892021752077E-4</v>
      </c>
      <c r="K14" s="65">
        <f t="shared" si="6"/>
        <v>8.6117892021752077E-4</v>
      </c>
      <c r="L14" s="65">
        <f t="shared" si="7"/>
        <v>5.1791610661465239E-3</v>
      </c>
      <c r="M14" s="65">
        <f t="shared" si="8"/>
        <v>4.0000000000000001E-3</v>
      </c>
      <c r="N14" s="63">
        <f t="shared" si="9"/>
        <v>0.16675033616655302</v>
      </c>
      <c r="O14" s="64">
        <f t="shared" si="10"/>
        <v>2.1394354755973781</v>
      </c>
      <c r="P14" s="64">
        <f t="shared" si="11"/>
        <v>1.269717737798689</v>
      </c>
      <c r="Q14" s="64">
        <f t="shared" si="12"/>
        <v>-0.86971773779868911</v>
      </c>
      <c r="R14" s="64">
        <f t="shared" si="13"/>
        <v>24</v>
      </c>
      <c r="S14" s="64">
        <f t="shared" si="14"/>
        <v>0.64917795160781222</v>
      </c>
      <c r="T14" s="63">
        <f t="shared" si="42"/>
        <v>2.1826642729997222E-3</v>
      </c>
      <c r="U14" s="63">
        <f t="shared" si="15"/>
        <v>1</v>
      </c>
      <c r="V14" s="63">
        <f t="shared" si="43"/>
        <v>1.0021826642729996</v>
      </c>
      <c r="W14" s="64">
        <f t="shared" si="44"/>
        <v>0.61760182387499063</v>
      </c>
      <c r="X14" s="63">
        <f t="shared" si="16"/>
        <v>7.6286402570742984E-2</v>
      </c>
      <c r="Y14" s="63">
        <f t="shared" si="45"/>
        <v>7.6286402570742984E-2</v>
      </c>
      <c r="Z14" s="64">
        <f t="shared" si="17"/>
        <v>0.24198290930220134</v>
      </c>
      <c r="AA14" s="74">
        <f t="shared" si="18"/>
        <v>5.8555728394357401E-5</v>
      </c>
      <c r="AB14" s="75">
        <f t="shared" si="46"/>
        <v>5.8555728394357401E-5</v>
      </c>
      <c r="AC14" s="63">
        <f t="shared" si="19"/>
        <v>0.26509230432946196</v>
      </c>
      <c r="AD14" s="63">
        <f t="shared" si="47"/>
        <v>6.0518426997268699E-5</v>
      </c>
      <c r="AE14" s="63">
        <f t="shared" si="20"/>
        <v>7.9885522603844312E-5</v>
      </c>
      <c r="AF14" s="63">
        <f t="shared" si="21"/>
        <v>7.2236086091783322E-2</v>
      </c>
      <c r="AG14" s="63">
        <f t="shared" si="22"/>
        <v>0</v>
      </c>
      <c r="AH14" s="63">
        <f t="shared" si="23"/>
        <v>1.1445485429430751E-2</v>
      </c>
      <c r="AI14" s="63">
        <f t="shared" si="48"/>
        <v>0.22378064516129031</v>
      </c>
      <c r="AJ14" s="63">
        <f t="shared" si="49"/>
        <v>0.30754210220510825</v>
      </c>
      <c r="AK14" s="63">
        <f t="shared" si="24"/>
        <v>0.59258592882299432</v>
      </c>
      <c r="AL14" s="63">
        <f t="shared" si="25"/>
        <v>3.0240993877718989E-4</v>
      </c>
      <c r="AM14" s="63">
        <f t="shared" si="26"/>
        <v>3.9921105908309091E-4</v>
      </c>
      <c r="AN14" s="63">
        <f t="shared" si="27"/>
        <v>1.1935346735307677E-2</v>
      </c>
      <c r="AO14" s="63">
        <f t="shared" si="28"/>
        <v>66.300851114634156</v>
      </c>
      <c r="AP14" s="63">
        <f t="shared" si="50"/>
        <v>1.1935346735307677E-2</v>
      </c>
      <c r="AQ14" s="61">
        <f t="shared" si="29"/>
        <v>0.46248</v>
      </c>
      <c r="AR14" s="61">
        <f t="shared" si="30"/>
        <v>50128320000</v>
      </c>
      <c r="AS14" s="61">
        <f t="shared" si="51"/>
        <v>0.46248</v>
      </c>
      <c r="AT14" s="61">
        <f t="shared" si="52"/>
        <v>0.23869935483870966</v>
      </c>
      <c r="AU14" s="63">
        <f t="shared" si="53"/>
        <v>0.25103391263310043</v>
      </c>
      <c r="AV14" s="63">
        <f t="shared" si="31"/>
        <v>1.6857280514148601E-3</v>
      </c>
      <c r="AW14" s="63">
        <f t="shared" si="32"/>
        <v>2.9760000000000003E-3</v>
      </c>
      <c r="AX14" s="63">
        <f t="shared" si="33"/>
        <v>4.1360000000000001E-2</v>
      </c>
      <c r="AY14" s="63">
        <f t="shared" si="34"/>
        <v>4.4336E-2</v>
      </c>
      <c r="AZ14" s="63">
        <f t="shared" si="35"/>
        <v>1.6831253654617606</v>
      </c>
      <c r="BA14" s="64">
        <f t="shared" si="36"/>
        <v>0.8</v>
      </c>
      <c r="BB14" s="76">
        <f t="shared" si="54"/>
        <v>0.32217463166674731</v>
      </c>
      <c r="BC14" s="64">
        <f t="shared" si="55"/>
        <v>32.217463166674733</v>
      </c>
      <c r="BD14" s="63">
        <f t="shared" si="37"/>
        <v>1.0021826642729996</v>
      </c>
      <c r="BE14" s="63">
        <f t="shared" si="56"/>
        <v>0.55857601483820862</v>
      </c>
      <c r="BF14" s="63">
        <f t="shared" si="38"/>
        <v>0.30754210220510825</v>
      </c>
      <c r="BG14" s="63">
        <f t="shared" si="39"/>
        <v>0.25103391263310043</v>
      </c>
      <c r="BH14" s="63">
        <f t="shared" si="40"/>
        <v>1.6857280514148601E-3</v>
      </c>
      <c r="BI14" s="63">
        <f t="shared" si="57"/>
        <v>4.4336E-2</v>
      </c>
      <c r="BJ14" s="63">
        <f t="shared" si="58"/>
        <v>5.8555728394357401E-5</v>
      </c>
      <c r="BK14" s="63">
        <f t="shared" si="59"/>
        <v>7.6286402570742984E-2</v>
      </c>
      <c r="BL14" s="63">
        <f t="shared" si="60"/>
        <v>1.6831253654617604</v>
      </c>
      <c r="BP14" s="77"/>
      <c r="BQ14" s="77"/>
      <c r="BR14" s="77"/>
      <c r="BS14" s="78"/>
    </row>
    <row r="15" spans="3:71" x14ac:dyDescent="0.25">
      <c r="C15" s="61">
        <v>3</v>
      </c>
      <c r="D15" s="61">
        <f t="shared" si="0"/>
        <v>105</v>
      </c>
      <c r="E15" s="61">
        <f t="shared" si="1"/>
        <v>105</v>
      </c>
      <c r="F15" s="61">
        <f t="shared" si="2"/>
        <v>105</v>
      </c>
      <c r="G15" s="73">
        <f t="shared" si="3"/>
        <v>24</v>
      </c>
      <c r="H15" s="64">
        <f t="shared" si="4"/>
        <v>1</v>
      </c>
      <c r="I15" s="63">
        <f t="shared" si="41"/>
        <v>0.3</v>
      </c>
      <c r="J15" s="65">
        <f t="shared" si="5"/>
        <v>8.6117892021752077E-4</v>
      </c>
      <c r="K15" s="65">
        <f t="shared" si="6"/>
        <v>8.6117892021752077E-4</v>
      </c>
      <c r="L15" s="65">
        <f t="shared" si="7"/>
        <v>5.1791610661465239E-3</v>
      </c>
      <c r="M15" s="65">
        <f t="shared" si="8"/>
        <v>4.0000000000000001E-3</v>
      </c>
      <c r="N15" s="63">
        <f t="shared" si="9"/>
        <v>0.16679217091649623</v>
      </c>
      <c r="O15" s="64">
        <f t="shared" si="10"/>
        <v>2.139972222630091</v>
      </c>
      <c r="P15" s="64">
        <f t="shared" si="11"/>
        <v>1.3699861113150456</v>
      </c>
      <c r="Q15" s="64">
        <f t="shared" si="12"/>
        <v>-0.76998611131504546</v>
      </c>
      <c r="R15" s="64">
        <f t="shared" si="13"/>
        <v>24</v>
      </c>
      <c r="S15" s="64">
        <f t="shared" si="14"/>
        <v>0.68674844458192819</v>
      </c>
      <c r="T15" s="63">
        <f t="shared" si="42"/>
        <v>2.4426136865246363E-3</v>
      </c>
      <c r="U15" s="63">
        <f t="shared" si="15"/>
        <v>1</v>
      </c>
      <c r="V15" s="63">
        <f t="shared" si="43"/>
        <v>1.0024426136865245</v>
      </c>
      <c r="W15" s="64">
        <f t="shared" si="44"/>
        <v>0.61775676939690238</v>
      </c>
      <c r="X15" s="63">
        <f t="shared" si="16"/>
        <v>7.6324685227139533E-2</v>
      </c>
      <c r="Y15" s="63">
        <f t="shared" si="45"/>
        <v>7.6324685227139533E-2</v>
      </c>
      <c r="Z15" s="64">
        <f t="shared" si="17"/>
        <v>0.25601309868338284</v>
      </c>
      <c r="AA15" s="74">
        <f t="shared" si="18"/>
        <v>6.5542706697467517E-5</v>
      </c>
      <c r="AB15" s="75">
        <f t="shared" si="46"/>
        <v>6.5542706697467517E-5</v>
      </c>
      <c r="AC15" s="63">
        <f t="shared" si="19"/>
        <v>0.28046941918906032</v>
      </c>
      <c r="AD15" s="63">
        <f t="shared" si="47"/>
        <v>6.7742999299400447E-5</v>
      </c>
      <c r="AE15" s="63">
        <f t="shared" si="20"/>
        <v>8.9422261392791932E-5</v>
      </c>
      <c r="AF15" s="63">
        <f t="shared" si="21"/>
        <v>7.7940499479098688E-2</v>
      </c>
      <c r="AG15" s="63">
        <f t="shared" si="22"/>
        <v>0</v>
      </c>
      <c r="AH15" s="63">
        <f t="shared" si="23"/>
        <v>1.0133017224905999E-2</v>
      </c>
      <c r="AI15" s="63">
        <f t="shared" si="48"/>
        <v>0.22378064516129031</v>
      </c>
      <c r="AJ15" s="63">
        <f t="shared" si="49"/>
        <v>0.31194358412668777</v>
      </c>
      <c r="AK15" s="63">
        <f t="shared" si="24"/>
        <v>0.62686548081342686</v>
      </c>
      <c r="AL15" s="63">
        <f t="shared" si="25"/>
        <v>3.3840915356942732E-4</v>
      </c>
      <c r="AM15" s="63">
        <f t="shared" si="26"/>
        <v>4.4673757537266195E-4</v>
      </c>
      <c r="AN15" s="63">
        <f t="shared" si="27"/>
        <v>1.2877869446361429E-2</v>
      </c>
      <c r="AO15" s="63">
        <f t="shared" si="28"/>
        <v>71.536564774537737</v>
      </c>
      <c r="AP15" s="63">
        <f t="shared" si="50"/>
        <v>1.2877869446361429E-2</v>
      </c>
      <c r="AQ15" s="61">
        <f t="shared" si="29"/>
        <v>0.46248</v>
      </c>
      <c r="AR15" s="61">
        <f t="shared" si="30"/>
        <v>50128320000</v>
      </c>
      <c r="AS15" s="61">
        <f t="shared" si="51"/>
        <v>0.46248</v>
      </c>
      <c r="AT15" s="61">
        <f t="shared" si="52"/>
        <v>0.23869935483870966</v>
      </c>
      <c r="AU15" s="63">
        <f t="shared" si="53"/>
        <v>0.25202396186044373</v>
      </c>
      <c r="AV15" s="63">
        <f t="shared" si="31"/>
        <v>1.8864937045427908E-3</v>
      </c>
      <c r="AW15" s="63">
        <f t="shared" si="32"/>
        <v>2.9760000000000003E-3</v>
      </c>
      <c r="AX15" s="63">
        <f t="shared" si="33"/>
        <v>4.1360000000000001E-2</v>
      </c>
      <c r="AY15" s="63">
        <f t="shared" si="34"/>
        <v>4.4336E-2</v>
      </c>
      <c r="AZ15" s="63">
        <f t="shared" si="35"/>
        <v>1.6890228813120358</v>
      </c>
      <c r="BA15" s="64">
        <f t="shared" si="36"/>
        <v>1.2</v>
      </c>
      <c r="BB15" s="76">
        <f t="shared" si="54"/>
        <v>0.41536534991201796</v>
      </c>
      <c r="BC15" s="64">
        <f t="shared" si="55"/>
        <v>41.536534991201798</v>
      </c>
      <c r="BD15" s="63">
        <f t="shared" si="37"/>
        <v>1.0024426136865245</v>
      </c>
      <c r="BE15" s="63">
        <f t="shared" si="56"/>
        <v>0.5639675459871315</v>
      </c>
      <c r="BF15" s="63">
        <f t="shared" si="38"/>
        <v>0.31194358412668777</v>
      </c>
      <c r="BG15" s="63">
        <f t="shared" si="39"/>
        <v>0.25202396186044373</v>
      </c>
      <c r="BH15" s="63">
        <f t="shared" si="40"/>
        <v>1.8864937045427908E-3</v>
      </c>
      <c r="BI15" s="63">
        <f t="shared" si="57"/>
        <v>4.4336E-2</v>
      </c>
      <c r="BJ15" s="63">
        <f t="shared" si="58"/>
        <v>6.5542706697467517E-5</v>
      </c>
      <c r="BK15" s="63">
        <f t="shared" si="59"/>
        <v>7.6324685227139533E-2</v>
      </c>
      <c r="BL15" s="63">
        <f t="shared" si="60"/>
        <v>1.6890228813120358</v>
      </c>
      <c r="BP15" s="77"/>
      <c r="BQ15" s="77"/>
      <c r="BR15" s="77"/>
      <c r="BS15" s="78"/>
    </row>
    <row r="16" spans="3:71" x14ac:dyDescent="0.25">
      <c r="C16" s="61">
        <v>4</v>
      </c>
      <c r="D16" s="61">
        <f t="shared" si="0"/>
        <v>105</v>
      </c>
      <c r="E16" s="61">
        <f t="shared" si="1"/>
        <v>105</v>
      </c>
      <c r="F16" s="61">
        <f t="shared" si="2"/>
        <v>105</v>
      </c>
      <c r="G16" s="73">
        <f t="shared" si="3"/>
        <v>24</v>
      </c>
      <c r="H16" s="64">
        <f t="shared" si="4"/>
        <v>1</v>
      </c>
      <c r="I16" s="63">
        <f t="shared" si="41"/>
        <v>0.4</v>
      </c>
      <c r="J16" s="65">
        <f t="shared" si="5"/>
        <v>8.6117892021752077E-4</v>
      </c>
      <c r="K16" s="65">
        <f t="shared" si="6"/>
        <v>8.6117892021752077E-4</v>
      </c>
      <c r="L16" s="65">
        <f t="shared" si="7"/>
        <v>5.1791610661465239E-3</v>
      </c>
      <c r="M16" s="65">
        <f t="shared" si="8"/>
        <v>4.0000000000000001E-3</v>
      </c>
      <c r="N16" s="63">
        <f t="shared" si="9"/>
        <v>0.16683400566643938</v>
      </c>
      <c r="O16" s="64">
        <f t="shared" si="10"/>
        <v>2.140508969662803</v>
      </c>
      <c r="P16" s="64">
        <f t="shared" si="11"/>
        <v>1.4702544848314014</v>
      </c>
      <c r="Q16" s="64">
        <f t="shared" si="12"/>
        <v>-0.67025448483140149</v>
      </c>
      <c r="R16" s="64">
        <f t="shared" si="13"/>
        <v>24</v>
      </c>
      <c r="S16" s="64">
        <f t="shared" si="14"/>
        <v>0.73608076148878498</v>
      </c>
      <c r="T16" s="63">
        <f t="shared" si="42"/>
        <v>2.8061465700562659E-3</v>
      </c>
      <c r="U16" s="63">
        <f t="shared" si="15"/>
        <v>1</v>
      </c>
      <c r="V16" s="63">
        <f t="shared" si="43"/>
        <v>1.0028061465700562</v>
      </c>
      <c r="W16" s="64">
        <f t="shared" si="44"/>
        <v>0.61791171491881391</v>
      </c>
      <c r="X16" s="63">
        <f t="shared" si="16"/>
        <v>7.6362977486781919E-2</v>
      </c>
      <c r="Y16" s="63">
        <f t="shared" si="45"/>
        <v>7.6362977486781919E-2</v>
      </c>
      <c r="Z16" s="64">
        <f t="shared" si="17"/>
        <v>0.2744312245984758</v>
      </c>
      <c r="AA16" s="74">
        <f t="shared" si="18"/>
        <v>7.5312497034619069E-5</v>
      </c>
      <c r="AB16" s="75">
        <f t="shared" si="46"/>
        <v>7.5312497034619069E-5</v>
      </c>
      <c r="AC16" s="63">
        <f t="shared" si="19"/>
        <v>0.30065453264554332</v>
      </c>
      <c r="AD16" s="63">
        <f t="shared" si="47"/>
        <v>7.7844673589969578E-5</v>
      </c>
      <c r="AE16" s="63">
        <f t="shared" si="20"/>
        <v>1.0275695291096154E-4</v>
      </c>
      <c r="AF16" s="63">
        <f t="shared" si="21"/>
        <v>8.3644912866413998E-2</v>
      </c>
      <c r="AG16" s="63">
        <f t="shared" si="22"/>
        <v>0</v>
      </c>
      <c r="AH16" s="63">
        <f t="shared" si="23"/>
        <v>8.820549020381244E-3</v>
      </c>
      <c r="AI16" s="63">
        <f t="shared" si="48"/>
        <v>0.22378064516129031</v>
      </c>
      <c r="AJ16" s="63">
        <f t="shared" si="49"/>
        <v>0.31634886400099654</v>
      </c>
      <c r="AK16" s="63">
        <f t="shared" si="24"/>
        <v>0.67187925956499017</v>
      </c>
      <c r="AL16" s="63">
        <f t="shared" si="25"/>
        <v>3.8875488612814216E-4</v>
      </c>
      <c r="AM16" s="63">
        <f t="shared" si="26"/>
        <v>5.1320592849459607E-4</v>
      </c>
      <c r="AN16" s="63">
        <f t="shared" si="27"/>
        <v>1.3820392157415174E-2</v>
      </c>
      <c r="AO16" s="63">
        <f t="shared" si="28"/>
        <v>76.77227843444129</v>
      </c>
      <c r="AP16" s="63">
        <f t="shared" si="50"/>
        <v>1.3820392157415174E-2</v>
      </c>
      <c r="AQ16" s="61">
        <f t="shared" si="29"/>
        <v>0.46248</v>
      </c>
      <c r="AR16" s="61">
        <f t="shared" si="30"/>
        <v>50128320000</v>
      </c>
      <c r="AS16" s="61">
        <f t="shared" si="51"/>
        <v>0.46248</v>
      </c>
      <c r="AT16" s="61">
        <f t="shared" si="52"/>
        <v>0.23869935483870966</v>
      </c>
      <c r="AU16" s="63">
        <f t="shared" si="53"/>
        <v>0.25303295292461941</v>
      </c>
      <c r="AV16" s="63">
        <f t="shared" si="31"/>
        <v>2.1672595497356385E-3</v>
      </c>
      <c r="AW16" s="63">
        <f t="shared" si="32"/>
        <v>2.9760000000000003E-3</v>
      </c>
      <c r="AX16" s="63">
        <f t="shared" si="33"/>
        <v>4.1360000000000001E-2</v>
      </c>
      <c r="AY16" s="63">
        <f t="shared" si="34"/>
        <v>4.4336E-2</v>
      </c>
      <c r="AZ16" s="63">
        <f t="shared" si="35"/>
        <v>1.6951295130292243</v>
      </c>
      <c r="BA16" s="64">
        <f t="shared" si="36"/>
        <v>1.6</v>
      </c>
      <c r="BB16" s="76">
        <f t="shared" si="54"/>
        <v>0.48556513292526526</v>
      </c>
      <c r="BC16" s="64">
        <f t="shared" si="55"/>
        <v>48.556513292526525</v>
      </c>
      <c r="BD16" s="63">
        <f t="shared" si="37"/>
        <v>1.0028061465700562</v>
      </c>
      <c r="BE16" s="63">
        <f t="shared" si="56"/>
        <v>0.56938181692561596</v>
      </c>
      <c r="BF16" s="63">
        <f t="shared" si="38"/>
        <v>0.31634886400099654</v>
      </c>
      <c r="BG16" s="63">
        <f t="shared" si="39"/>
        <v>0.25303295292461941</v>
      </c>
      <c r="BH16" s="63">
        <f t="shared" si="40"/>
        <v>2.1672595497356385E-3</v>
      </c>
      <c r="BI16" s="63">
        <f t="shared" si="57"/>
        <v>4.4336E-2</v>
      </c>
      <c r="BJ16" s="63">
        <f t="shared" si="58"/>
        <v>7.5312497034619069E-5</v>
      </c>
      <c r="BK16" s="63">
        <f t="shared" si="59"/>
        <v>7.6362977486781919E-2</v>
      </c>
      <c r="BL16" s="63">
        <f t="shared" si="60"/>
        <v>1.6951295130292243</v>
      </c>
      <c r="BP16" s="77"/>
      <c r="BQ16" s="77"/>
      <c r="BR16" s="77"/>
      <c r="BS16" s="78"/>
    </row>
    <row r="17" spans="3:71" x14ac:dyDescent="0.25">
      <c r="C17" s="61">
        <v>5</v>
      </c>
      <c r="D17" s="61">
        <f t="shared" si="0"/>
        <v>105</v>
      </c>
      <c r="E17" s="61">
        <f t="shared" si="1"/>
        <v>105</v>
      </c>
      <c r="F17" s="61">
        <f t="shared" si="2"/>
        <v>105</v>
      </c>
      <c r="G17" s="73">
        <f t="shared" si="3"/>
        <v>24</v>
      </c>
      <c r="H17" s="64">
        <f t="shared" si="4"/>
        <v>1</v>
      </c>
      <c r="I17" s="63">
        <f t="shared" si="41"/>
        <v>0.5</v>
      </c>
      <c r="J17" s="65">
        <f t="shared" si="5"/>
        <v>8.6117892021752077E-4</v>
      </c>
      <c r="K17" s="65">
        <f t="shared" si="6"/>
        <v>8.6117892021752077E-4</v>
      </c>
      <c r="L17" s="65">
        <f t="shared" si="7"/>
        <v>5.1791610661465239E-3</v>
      </c>
      <c r="M17" s="65">
        <f t="shared" si="8"/>
        <v>4.0000000000000001E-3</v>
      </c>
      <c r="N17" s="63">
        <f t="shared" si="9"/>
        <v>0.16687584041638259</v>
      </c>
      <c r="O17" s="64">
        <f t="shared" si="10"/>
        <v>2.1410457166955155</v>
      </c>
      <c r="P17" s="64">
        <f t="shared" si="11"/>
        <v>1.5705228583477577</v>
      </c>
      <c r="Q17" s="64">
        <f t="shared" si="12"/>
        <v>-0.57052285834775773</v>
      </c>
      <c r="R17" s="64">
        <f t="shared" si="13"/>
        <v>24</v>
      </c>
      <c r="S17" s="64">
        <f t="shared" si="14"/>
        <v>0.79498829975563234</v>
      </c>
      <c r="T17" s="63">
        <f t="shared" si="42"/>
        <v>3.273262923594613E-3</v>
      </c>
      <c r="U17" s="63">
        <f t="shared" si="15"/>
        <v>1</v>
      </c>
      <c r="V17" s="63">
        <f t="shared" si="43"/>
        <v>1.0032732629235945</v>
      </c>
      <c r="W17" s="64">
        <f t="shared" si="44"/>
        <v>0.61806666044072556</v>
      </c>
      <c r="X17" s="63">
        <f t="shared" si="16"/>
        <v>7.6401279349670226E-2</v>
      </c>
      <c r="Y17" s="63">
        <f t="shared" si="45"/>
        <v>7.6401279349670226E-2</v>
      </c>
      <c r="Z17" s="64">
        <f t="shared" si="17"/>
        <v>0.29642329754540581</v>
      </c>
      <c r="AA17" s="74">
        <f t="shared" si="18"/>
        <v>8.786677132769219E-5</v>
      </c>
      <c r="AB17" s="75">
        <f t="shared" si="46"/>
        <v>8.786677132769219E-5</v>
      </c>
      <c r="AC17" s="63">
        <f t="shared" si="19"/>
        <v>0.32475621411438893</v>
      </c>
      <c r="AD17" s="63">
        <f t="shared" si="47"/>
        <v>9.0825611506452976E-5</v>
      </c>
      <c r="AE17" s="63">
        <f t="shared" si="20"/>
        <v>1.1989250773747985E-4</v>
      </c>
      <c r="AF17" s="63">
        <f t="shared" si="21"/>
        <v>8.9349326253729336E-2</v>
      </c>
      <c r="AG17" s="63">
        <f t="shared" si="22"/>
        <v>0</v>
      </c>
      <c r="AH17" s="63">
        <f t="shared" si="23"/>
        <v>7.5080808158564929E-3</v>
      </c>
      <c r="AI17" s="63">
        <f t="shared" si="48"/>
        <v>0.22378064516129031</v>
      </c>
      <c r="AJ17" s="63">
        <f t="shared" si="49"/>
        <v>0.32075794473861363</v>
      </c>
      <c r="AK17" s="63">
        <f t="shared" si="24"/>
        <v>0.72563062100661124</v>
      </c>
      <c r="AL17" s="63">
        <f t="shared" si="25"/>
        <v>4.5344497481585803E-4</v>
      </c>
      <c r="AM17" s="63">
        <f t="shared" si="26"/>
        <v>5.9861468358432285E-4</v>
      </c>
      <c r="AN17" s="63">
        <f t="shared" si="27"/>
        <v>1.4762914868468925E-2</v>
      </c>
      <c r="AO17" s="63">
        <f t="shared" si="28"/>
        <v>82.007992094344871</v>
      </c>
      <c r="AP17" s="63">
        <f t="shared" si="50"/>
        <v>1.4762914868468925E-2</v>
      </c>
      <c r="AQ17" s="61">
        <f t="shared" si="29"/>
        <v>0.46248</v>
      </c>
      <c r="AR17" s="61">
        <f t="shared" si="30"/>
        <v>50128320000</v>
      </c>
      <c r="AS17" s="61">
        <f t="shared" si="51"/>
        <v>0.46248</v>
      </c>
      <c r="AT17" s="61">
        <f t="shared" si="52"/>
        <v>0.23869935483870966</v>
      </c>
      <c r="AU17" s="63">
        <f t="shared" si="53"/>
        <v>0.25406088439076291</v>
      </c>
      <c r="AV17" s="63">
        <f t="shared" si="31"/>
        <v>2.5280255869934046E-3</v>
      </c>
      <c r="AW17" s="63">
        <f t="shared" si="32"/>
        <v>2.9760000000000003E-3</v>
      </c>
      <c r="AX17" s="63">
        <f t="shared" si="33"/>
        <v>4.1360000000000001E-2</v>
      </c>
      <c r="AY17" s="63">
        <f t="shared" si="34"/>
        <v>4.4336E-2</v>
      </c>
      <c r="AZ17" s="63">
        <f t="shared" si="35"/>
        <v>1.7014452637609623</v>
      </c>
      <c r="BA17" s="64">
        <f t="shared" si="36"/>
        <v>2</v>
      </c>
      <c r="BB17" s="76">
        <f t="shared" si="54"/>
        <v>0.54032948145445259</v>
      </c>
      <c r="BC17" s="64">
        <f t="shared" si="55"/>
        <v>54.03294814544526</v>
      </c>
      <c r="BD17" s="63">
        <f t="shared" si="37"/>
        <v>1.0032732629235945</v>
      </c>
      <c r="BE17" s="63">
        <f t="shared" si="56"/>
        <v>0.57481882912937654</v>
      </c>
      <c r="BF17" s="63">
        <f t="shared" si="38"/>
        <v>0.32075794473861363</v>
      </c>
      <c r="BG17" s="63">
        <f t="shared" si="39"/>
        <v>0.25406088439076291</v>
      </c>
      <c r="BH17" s="63">
        <f t="shared" si="40"/>
        <v>2.5280255869934046E-3</v>
      </c>
      <c r="BI17" s="63">
        <f t="shared" si="57"/>
        <v>4.4336E-2</v>
      </c>
      <c r="BJ17" s="63">
        <f t="shared" si="58"/>
        <v>8.786677132769219E-5</v>
      </c>
      <c r="BK17" s="63">
        <f t="shared" si="59"/>
        <v>7.6401279349670226E-2</v>
      </c>
      <c r="BL17" s="63">
        <f t="shared" si="60"/>
        <v>1.7014452637609623</v>
      </c>
      <c r="BP17" s="77"/>
      <c r="BQ17" s="77"/>
      <c r="BR17" s="77"/>
      <c r="BS17" s="78"/>
    </row>
    <row r="18" spans="3:71" x14ac:dyDescent="0.25">
      <c r="C18" s="61">
        <v>6</v>
      </c>
      <c r="D18" s="61">
        <f t="shared" si="0"/>
        <v>105</v>
      </c>
      <c r="E18" s="61">
        <f t="shared" si="1"/>
        <v>105</v>
      </c>
      <c r="F18" s="61">
        <f t="shared" si="2"/>
        <v>105</v>
      </c>
      <c r="G18" s="73">
        <f t="shared" si="3"/>
        <v>24</v>
      </c>
      <c r="H18" s="64">
        <f t="shared" si="4"/>
        <v>1</v>
      </c>
      <c r="I18" s="63">
        <f t="shared" si="41"/>
        <v>0.6</v>
      </c>
      <c r="J18" s="65">
        <f t="shared" si="5"/>
        <v>8.6117892021752077E-4</v>
      </c>
      <c r="K18" s="65">
        <f t="shared" si="6"/>
        <v>8.6117892021752077E-4</v>
      </c>
      <c r="L18" s="65">
        <f t="shared" si="7"/>
        <v>5.1791610661465239E-3</v>
      </c>
      <c r="M18" s="65">
        <f t="shared" si="8"/>
        <v>4.0000000000000001E-3</v>
      </c>
      <c r="N18" s="63">
        <f t="shared" si="9"/>
        <v>0.16691767516632575</v>
      </c>
      <c r="O18" s="64">
        <f t="shared" si="10"/>
        <v>2.1415824637282279</v>
      </c>
      <c r="P18" s="64">
        <f t="shared" si="11"/>
        <v>1.670791231864114</v>
      </c>
      <c r="Q18" s="64">
        <f t="shared" si="12"/>
        <v>-0.47079123186411398</v>
      </c>
      <c r="R18" s="64">
        <f t="shared" si="13"/>
        <v>24</v>
      </c>
      <c r="S18" s="64">
        <f t="shared" si="14"/>
        <v>0.8615091143331115</v>
      </c>
      <c r="T18" s="63">
        <f t="shared" si="42"/>
        <v>3.8439627471396776E-3</v>
      </c>
      <c r="U18" s="63">
        <f t="shared" si="15"/>
        <v>1</v>
      </c>
      <c r="V18" s="63">
        <f t="shared" si="43"/>
        <v>1.0038439627471396</v>
      </c>
      <c r="W18" s="64">
        <f t="shared" si="44"/>
        <v>0.6182216059626372</v>
      </c>
      <c r="X18" s="63">
        <f t="shared" si="16"/>
        <v>7.6439590815804453E-2</v>
      </c>
      <c r="Y18" s="63">
        <f t="shared" si="45"/>
        <v>7.6439590815804453E-2</v>
      </c>
      <c r="Z18" s="64">
        <f t="shared" si="17"/>
        <v>0.32125877587784391</v>
      </c>
      <c r="AA18" s="74">
        <f t="shared" si="18"/>
        <v>1.0320720107853074E-4</v>
      </c>
      <c r="AB18" s="75">
        <f t="shared" si="46"/>
        <v>1.0320720107853074E-4</v>
      </c>
      <c r="AC18" s="63">
        <f t="shared" si="19"/>
        <v>0.35197436981699926</v>
      </c>
      <c r="AD18" s="63">
        <f t="shared" si="47"/>
        <v>1.0668797468632716E-4</v>
      </c>
      <c r="AE18" s="63">
        <f t="shared" si="20"/>
        <v>1.4083185280210826E-4</v>
      </c>
      <c r="AF18" s="63">
        <f t="shared" si="21"/>
        <v>9.5053739641044702E-2</v>
      </c>
      <c r="AG18" s="63">
        <f t="shared" si="22"/>
        <v>0</v>
      </c>
      <c r="AH18" s="63">
        <f t="shared" si="23"/>
        <v>6.195612611331741E-3</v>
      </c>
      <c r="AI18" s="63">
        <f t="shared" si="48"/>
        <v>0.22378064516129031</v>
      </c>
      <c r="AJ18" s="63">
        <f t="shared" si="49"/>
        <v>0.3251708292664689</v>
      </c>
      <c r="AK18" s="63">
        <f t="shared" si="24"/>
        <v>0.78632817390129706</v>
      </c>
      <c r="AL18" s="63">
        <f t="shared" si="25"/>
        <v>5.3247725799509822E-4</v>
      </c>
      <c r="AM18" s="63">
        <f t="shared" si="26"/>
        <v>7.029628098574771E-4</v>
      </c>
      <c r="AN18" s="63">
        <f t="shared" si="27"/>
        <v>1.5705437579522676E-2</v>
      </c>
      <c r="AO18" s="63">
        <f t="shared" si="28"/>
        <v>87.243705754248452</v>
      </c>
      <c r="AP18" s="63">
        <f t="shared" si="50"/>
        <v>1.5705437579522676E-2</v>
      </c>
      <c r="AQ18" s="61">
        <f t="shared" si="29"/>
        <v>0.46248</v>
      </c>
      <c r="AR18" s="61">
        <f t="shared" si="30"/>
        <v>50128320000</v>
      </c>
      <c r="AS18" s="61">
        <f t="shared" si="51"/>
        <v>0.46248</v>
      </c>
      <c r="AT18" s="61">
        <f t="shared" si="52"/>
        <v>0.23869935483870966</v>
      </c>
      <c r="AU18" s="63">
        <f t="shared" si="53"/>
        <v>0.25510775522808982</v>
      </c>
      <c r="AV18" s="63">
        <f t="shared" si="31"/>
        <v>2.9687918163160891E-3</v>
      </c>
      <c r="AW18" s="63">
        <f t="shared" si="32"/>
        <v>2.9760000000000003E-3</v>
      </c>
      <c r="AX18" s="63">
        <f t="shared" si="33"/>
        <v>4.1360000000000001E-2</v>
      </c>
      <c r="AY18" s="63">
        <f t="shared" si="34"/>
        <v>4.4336E-2</v>
      </c>
      <c r="AZ18" s="63">
        <f t="shared" si="35"/>
        <v>1.7079701370748974</v>
      </c>
      <c r="BA18" s="64">
        <f t="shared" si="36"/>
        <v>2.4</v>
      </c>
      <c r="BB18" s="76">
        <f t="shared" si="54"/>
        <v>0.58423014771692894</v>
      </c>
      <c r="BC18" s="64">
        <f t="shared" si="55"/>
        <v>58.423014771692891</v>
      </c>
      <c r="BD18" s="63">
        <f t="shared" si="37"/>
        <v>1.0038439627471396</v>
      </c>
      <c r="BE18" s="63">
        <f t="shared" si="56"/>
        <v>0.58027858449455871</v>
      </c>
      <c r="BF18" s="63">
        <f t="shared" si="38"/>
        <v>0.3251708292664689</v>
      </c>
      <c r="BG18" s="63">
        <f t="shared" si="39"/>
        <v>0.25510775522808982</v>
      </c>
      <c r="BH18" s="63">
        <f t="shared" si="40"/>
        <v>2.9687918163160891E-3</v>
      </c>
      <c r="BI18" s="63">
        <f t="shared" si="57"/>
        <v>4.4336E-2</v>
      </c>
      <c r="BJ18" s="63">
        <f t="shared" si="58"/>
        <v>1.0320720107853074E-4</v>
      </c>
      <c r="BK18" s="63">
        <f t="shared" si="59"/>
        <v>7.6439590815804453E-2</v>
      </c>
      <c r="BL18" s="63">
        <f t="shared" si="60"/>
        <v>1.7079701370748972</v>
      </c>
      <c r="BP18" s="77"/>
      <c r="BQ18" s="77"/>
      <c r="BR18" s="77"/>
      <c r="BS18" s="78"/>
    </row>
    <row r="19" spans="3:71" x14ac:dyDescent="0.25">
      <c r="C19" s="61">
        <v>7</v>
      </c>
      <c r="D19" s="61">
        <f t="shared" si="0"/>
        <v>105</v>
      </c>
      <c r="E19" s="61">
        <f t="shared" si="1"/>
        <v>105</v>
      </c>
      <c r="F19" s="61">
        <f t="shared" si="2"/>
        <v>105</v>
      </c>
      <c r="G19" s="73">
        <f t="shared" si="3"/>
        <v>24</v>
      </c>
      <c r="H19" s="64">
        <f t="shared" si="4"/>
        <v>1</v>
      </c>
      <c r="I19" s="63">
        <f t="shared" si="41"/>
        <v>0.7</v>
      </c>
      <c r="J19" s="65">
        <f t="shared" si="5"/>
        <v>8.6117892021752077E-4</v>
      </c>
      <c r="K19" s="65">
        <f t="shared" si="6"/>
        <v>8.6117892021752077E-4</v>
      </c>
      <c r="L19" s="65">
        <f t="shared" si="7"/>
        <v>5.1791610661465239E-3</v>
      </c>
      <c r="M19" s="65">
        <f t="shared" si="8"/>
        <v>4.0000000000000001E-3</v>
      </c>
      <c r="N19" s="63">
        <f t="shared" si="9"/>
        <v>0.16695950991626896</v>
      </c>
      <c r="O19" s="64">
        <f t="shared" si="10"/>
        <v>2.1421192107609404</v>
      </c>
      <c r="P19" s="64">
        <f t="shared" si="11"/>
        <v>1.7710596053804701</v>
      </c>
      <c r="Q19" s="64">
        <f t="shared" si="12"/>
        <v>-0.37105960538047023</v>
      </c>
      <c r="R19" s="64">
        <f t="shared" si="13"/>
        <v>24</v>
      </c>
      <c r="S19" s="64">
        <f t="shared" si="14"/>
        <v>0.93401796525865755</v>
      </c>
      <c r="T19" s="63">
        <f t="shared" si="42"/>
        <v>4.5182460406914581E-3</v>
      </c>
      <c r="U19" s="63">
        <f t="shared" si="15"/>
        <v>1</v>
      </c>
      <c r="V19" s="63">
        <f t="shared" si="43"/>
        <v>1.0045182460406914</v>
      </c>
      <c r="W19" s="64">
        <f t="shared" si="44"/>
        <v>0.61837655148454884</v>
      </c>
      <c r="X19" s="63">
        <f t="shared" si="16"/>
        <v>7.6477911885184588E-2</v>
      </c>
      <c r="Y19" s="63">
        <f t="shared" si="45"/>
        <v>7.6477911885184588E-2</v>
      </c>
      <c r="Z19" s="64">
        <f t="shared" si="17"/>
        <v>0.34833239494618151</v>
      </c>
      <c r="AA19" s="74">
        <f t="shared" si="18"/>
        <v>1.2133545736894258E-4</v>
      </c>
      <c r="AB19" s="75">
        <f t="shared" si="46"/>
        <v>1.2133545736894258E-4</v>
      </c>
      <c r="AC19" s="63">
        <f t="shared" si="19"/>
        <v>0.38164608382351034</v>
      </c>
      <c r="AD19" s="63">
        <f t="shared" si="47"/>
        <v>1.2543392476706901E-4</v>
      </c>
      <c r="AE19" s="63">
        <f t="shared" si="20"/>
        <v>1.6557793142679995E-4</v>
      </c>
      <c r="AF19" s="63">
        <f t="shared" si="21"/>
        <v>0.10075815302836003</v>
      </c>
      <c r="AG19" s="63">
        <f t="shared" si="22"/>
        <v>0</v>
      </c>
      <c r="AH19" s="63">
        <f t="shared" si="23"/>
        <v>4.8831444068069881E-3</v>
      </c>
      <c r="AI19" s="63">
        <f t="shared" si="48"/>
        <v>0.22378064516129031</v>
      </c>
      <c r="AJ19" s="63">
        <f t="shared" si="49"/>
        <v>0.32958752052788409</v>
      </c>
      <c r="AK19" s="63">
        <f t="shared" si="24"/>
        <v>0.85248802110534139</v>
      </c>
      <c r="AL19" s="63">
        <f t="shared" si="25"/>
        <v>6.2584957402838585E-4</v>
      </c>
      <c r="AM19" s="63">
        <f t="shared" si="26"/>
        <v>8.262496805040943E-4</v>
      </c>
      <c r="AN19" s="63">
        <f t="shared" si="27"/>
        <v>1.664796029057642E-2</v>
      </c>
      <c r="AO19" s="63">
        <f t="shared" si="28"/>
        <v>92.479419414152019</v>
      </c>
      <c r="AP19" s="63">
        <f t="shared" si="50"/>
        <v>1.664796029057642E-2</v>
      </c>
      <c r="AQ19" s="61">
        <f t="shared" si="29"/>
        <v>0.46248</v>
      </c>
      <c r="AR19" s="61">
        <f t="shared" si="30"/>
        <v>50128320000</v>
      </c>
      <c r="AS19" s="61">
        <f t="shared" si="51"/>
        <v>0.46248</v>
      </c>
      <c r="AT19" s="61">
        <f t="shared" si="52"/>
        <v>0.23869935483870966</v>
      </c>
      <c r="AU19" s="63">
        <f t="shared" si="53"/>
        <v>0.2561735648097902</v>
      </c>
      <c r="AV19" s="63">
        <f t="shared" si="31"/>
        <v>3.4895582377036912E-3</v>
      </c>
      <c r="AW19" s="63">
        <f t="shared" si="32"/>
        <v>2.9760000000000003E-3</v>
      </c>
      <c r="AX19" s="63">
        <f t="shared" si="33"/>
        <v>4.1360000000000001E-2</v>
      </c>
      <c r="AY19" s="63">
        <f t="shared" si="34"/>
        <v>4.4336E-2</v>
      </c>
      <c r="AZ19" s="63">
        <f t="shared" si="35"/>
        <v>1.7147041369586231</v>
      </c>
      <c r="BA19" s="64">
        <f t="shared" si="36"/>
        <v>2.8</v>
      </c>
      <c r="BB19" s="76">
        <f t="shared" si="54"/>
        <v>0.62019567950830301</v>
      </c>
      <c r="BC19" s="64">
        <f t="shared" si="55"/>
        <v>62.0195679508303</v>
      </c>
      <c r="BD19" s="63">
        <f t="shared" si="37"/>
        <v>1.0045182460406914</v>
      </c>
      <c r="BE19" s="63">
        <f t="shared" si="56"/>
        <v>0.58576108533767424</v>
      </c>
      <c r="BF19" s="63">
        <f t="shared" si="38"/>
        <v>0.32958752052788409</v>
      </c>
      <c r="BG19" s="63">
        <f t="shared" si="39"/>
        <v>0.2561735648097902</v>
      </c>
      <c r="BH19" s="63">
        <f t="shared" si="40"/>
        <v>3.4895582377036912E-3</v>
      </c>
      <c r="BI19" s="63">
        <f t="shared" si="57"/>
        <v>4.4336E-2</v>
      </c>
      <c r="BJ19" s="63">
        <f t="shared" si="58"/>
        <v>1.2133545736894258E-4</v>
      </c>
      <c r="BK19" s="63">
        <f t="shared" si="59"/>
        <v>7.6477911885184588E-2</v>
      </c>
      <c r="BL19" s="63">
        <f t="shared" si="60"/>
        <v>1.7147041369586229</v>
      </c>
      <c r="BP19" s="77"/>
      <c r="BQ19" s="77"/>
      <c r="BR19" s="77"/>
      <c r="BS19" s="78"/>
    </row>
    <row r="20" spans="3:71" x14ac:dyDescent="0.25">
      <c r="C20" s="61">
        <v>8</v>
      </c>
      <c r="D20" s="61">
        <f t="shared" si="0"/>
        <v>105</v>
      </c>
      <c r="E20" s="61">
        <f t="shared" si="1"/>
        <v>105</v>
      </c>
      <c r="F20" s="61">
        <f t="shared" si="2"/>
        <v>105</v>
      </c>
      <c r="G20" s="73">
        <f t="shared" si="3"/>
        <v>24</v>
      </c>
      <c r="H20" s="64">
        <f t="shared" si="4"/>
        <v>1</v>
      </c>
      <c r="I20" s="63">
        <f t="shared" si="41"/>
        <v>0.8</v>
      </c>
      <c r="J20" s="65">
        <f t="shared" si="5"/>
        <v>8.6117892021752077E-4</v>
      </c>
      <c r="K20" s="65">
        <f t="shared" si="6"/>
        <v>8.6117892021752077E-4</v>
      </c>
      <c r="L20" s="65">
        <f t="shared" si="7"/>
        <v>5.1791610661465239E-3</v>
      </c>
      <c r="M20" s="65">
        <f t="shared" si="8"/>
        <v>4.0000000000000001E-3</v>
      </c>
      <c r="N20" s="63">
        <f t="shared" si="9"/>
        <v>0.16700134466621211</v>
      </c>
      <c r="O20" s="64">
        <f t="shared" si="10"/>
        <v>2.1426559577936524</v>
      </c>
      <c r="P20" s="64">
        <f t="shared" si="11"/>
        <v>1.8713279788968262</v>
      </c>
      <c r="Q20" s="64">
        <f t="shared" si="12"/>
        <v>-0.27132797889682614</v>
      </c>
      <c r="R20" s="64">
        <f t="shared" si="13"/>
        <v>18.088531926455076</v>
      </c>
      <c r="S20" s="64">
        <f t="shared" si="14"/>
        <v>1.0112275771501946</v>
      </c>
      <c r="T20" s="63">
        <f t="shared" si="42"/>
        <v>5.2961128042499561E-3</v>
      </c>
      <c r="U20" s="63">
        <f t="shared" si="15"/>
        <v>1</v>
      </c>
      <c r="V20" s="63">
        <f t="shared" si="43"/>
        <v>1.0052961128042499</v>
      </c>
      <c r="W20" s="64">
        <f t="shared" si="44"/>
        <v>0.61853149700646037</v>
      </c>
      <c r="X20" s="63">
        <f t="shared" si="16"/>
        <v>7.6516242557810588E-2</v>
      </c>
      <c r="Y20" s="63">
        <f t="shared" si="45"/>
        <v>7.6516242557810588E-2</v>
      </c>
      <c r="Z20" s="64">
        <f t="shared" si="17"/>
        <v>0.37716469991331292</v>
      </c>
      <c r="AA20" s="74">
        <f t="shared" si="18"/>
        <v>1.4225321086069941E-4</v>
      </c>
      <c r="AB20" s="75">
        <f t="shared" si="46"/>
        <v>1.4225321086069941E-4</v>
      </c>
      <c r="AC20" s="63">
        <f t="shared" si="19"/>
        <v>0.41324621905853876</v>
      </c>
      <c r="AD20" s="63">
        <f t="shared" si="47"/>
        <v>1.4706562338615497E-4</v>
      </c>
      <c r="AE20" s="63">
        <f t="shared" si="20"/>
        <v>1.9413370336746289E-4</v>
      </c>
      <c r="AF20" s="63">
        <f t="shared" si="21"/>
        <v>0.10646256641567536</v>
      </c>
      <c r="AG20" s="63">
        <f t="shared" si="22"/>
        <v>2.463654562310136E-3</v>
      </c>
      <c r="AH20" s="63">
        <f t="shared" si="23"/>
        <v>3.5706762022822327E-3</v>
      </c>
      <c r="AI20" s="63">
        <f t="shared" si="48"/>
        <v>0.22378064516129031</v>
      </c>
      <c r="AJ20" s="63">
        <f t="shared" si="49"/>
        <v>0.33647167604492551</v>
      </c>
      <c r="AK20" s="63">
        <f t="shared" si="24"/>
        <v>0.92293487052059919</v>
      </c>
      <c r="AL20" s="63">
        <f t="shared" si="25"/>
        <v>7.335597612782446E-4</v>
      </c>
      <c r="AM20" s="63">
        <f t="shared" si="26"/>
        <v>9.6847507260436273E-4</v>
      </c>
      <c r="AN20" s="63">
        <f t="shared" si="27"/>
        <v>1.7590483001630169E-2</v>
      </c>
      <c r="AO20" s="63">
        <f t="shared" si="28"/>
        <v>97.715133074055586</v>
      </c>
      <c r="AP20" s="63">
        <f t="shared" si="50"/>
        <v>1.7590483001630169E-2</v>
      </c>
      <c r="AQ20" s="61">
        <f t="shared" si="29"/>
        <v>0.46248</v>
      </c>
      <c r="AR20" s="61">
        <f t="shared" si="30"/>
        <v>50128320000</v>
      </c>
      <c r="AS20" s="61">
        <f t="shared" si="51"/>
        <v>0.46248</v>
      </c>
      <c r="AT20" s="61">
        <f t="shared" si="52"/>
        <v>0.23869935483870966</v>
      </c>
      <c r="AU20" s="63">
        <f t="shared" si="53"/>
        <v>0.25725831291294421</v>
      </c>
      <c r="AV20" s="63">
        <f t="shared" si="31"/>
        <v>4.0903248511562108E-3</v>
      </c>
      <c r="AW20" s="63">
        <f t="shared" si="32"/>
        <v>2.9760000000000003E-3</v>
      </c>
      <c r="AX20" s="63">
        <f t="shared" si="33"/>
        <v>4.1360000000000001E-2</v>
      </c>
      <c r="AY20" s="63">
        <f t="shared" si="34"/>
        <v>4.4336E-2</v>
      </c>
      <c r="AZ20" s="63">
        <f t="shared" si="35"/>
        <v>1.7241109223819471</v>
      </c>
      <c r="BA20" s="64">
        <f t="shared" si="36"/>
        <v>3.2</v>
      </c>
      <c r="BB20" s="76">
        <f t="shared" si="54"/>
        <v>0.6498635084467308</v>
      </c>
      <c r="BC20" s="64">
        <f t="shared" si="55"/>
        <v>64.986350844673083</v>
      </c>
      <c r="BD20" s="63">
        <f t="shared" si="37"/>
        <v>1.0052961128042499</v>
      </c>
      <c r="BE20" s="63">
        <f t="shared" si="56"/>
        <v>0.59372998895786977</v>
      </c>
      <c r="BF20" s="63">
        <f t="shared" si="38"/>
        <v>0.33647167604492551</v>
      </c>
      <c r="BG20" s="63">
        <f t="shared" si="39"/>
        <v>0.25725831291294421</v>
      </c>
      <c r="BH20" s="63">
        <f t="shared" si="40"/>
        <v>4.0903248511562108E-3</v>
      </c>
      <c r="BI20" s="63">
        <f t="shared" si="57"/>
        <v>4.4336E-2</v>
      </c>
      <c r="BJ20" s="63">
        <f t="shared" si="58"/>
        <v>1.4225321086069941E-4</v>
      </c>
      <c r="BK20" s="63">
        <f t="shared" si="59"/>
        <v>7.6516242557810588E-2</v>
      </c>
      <c r="BL20" s="63">
        <f t="shared" si="60"/>
        <v>1.7241109223819471</v>
      </c>
      <c r="BP20" s="77"/>
      <c r="BQ20" s="77"/>
      <c r="BR20" s="77"/>
      <c r="BS20" s="78"/>
    </row>
    <row r="21" spans="3:71" x14ac:dyDescent="0.25">
      <c r="C21" s="61">
        <v>9</v>
      </c>
      <c r="D21" s="61">
        <f t="shared" si="0"/>
        <v>105</v>
      </c>
      <c r="E21" s="61">
        <f t="shared" si="1"/>
        <v>105</v>
      </c>
      <c r="F21" s="61">
        <f t="shared" si="2"/>
        <v>105</v>
      </c>
      <c r="G21" s="73">
        <f t="shared" si="3"/>
        <v>24</v>
      </c>
      <c r="H21" s="64">
        <f t="shared" si="4"/>
        <v>1</v>
      </c>
      <c r="I21" s="63">
        <f t="shared" si="41"/>
        <v>0.9</v>
      </c>
      <c r="J21" s="65">
        <f t="shared" si="5"/>
        <v>8.6117892021752077E-4</v>
      </c>
      <c r="K21" s="65">
        <f t="shared" si="6"/>
        <v>8.6117892021752077E-4</v>
      </c>
      <c r="L21" s="65">
        <f t="shared" si="7"/>
        <v>5.1791610661465239E-3</v>
      </c>
      <c r="M21" s="65">
        <f t="shared" si="8"/>
        <v>4.0000000000000001E-3</v>
      </c>
      <c r="N21" s="63">
        <f t="shared" si="9"/>
        <v>0.16704317941615532</v>
      </c>
      <c r="O21" s="64">
        <f t="shared" si="10"/>
        <v>2.1431927048263653</v>
      </c>
      <c r="P21" s="64">
        <f t="shared" si="11"/>
        <v>1.9715963524131825</v>
      </c>
      <c r="Q21" s="64">
        <f t="shared" si="12"/>
        <v>-0.17159635241318261</v>
      </c>
      <c r="R21" s="64">
        <f t="shared" si="13"/>
        <v>11.439756827545507</v>
      </c>
      <c r="S21" s="64">
        <f t="shared" si="14"/>
        <v>1.0921414350570227</v>
      </c>
      <c r="T21" s="63">
        <f t="shared" si="42"/>
        <v>6.1775630378151734E-3</v>
      </c>
      <c r="U21" s="63">
        <f t="shared" si="15"/>
        <v>1</v>
      </c>
      <c r="V21" s="63">
        <f t="shared" si="43"/>
        <v>1.0061775630378151</v>
      </c>
      <c r="W21" s="64">
        <f t="shared" si="44"/>
        <v>0.61868644252837213</v>
      </c>
      <c r="X21" s="63">
        <f t="shared" si="16"/>
        <v>7.655458283368255E-2</v>
      </c>
      <c r="Y21" s="63">
        <f t="shared" si="45"/>
        <v>7.655458283368255E-2</v>
      </c>
      <c r="Z21" s="64">
        <f t="shared" si="17"/>
        <v>0.40738450117246333</v>
      </c>
      <c r="AA21" s="74">
        <f t="shared" si="18"/>
        <v>1.659621317955368E-4</v>
      </c>
      <c r="AB21" s="75">
        <f t="shared" si="46"/>
        <v>1.659621317955368E-4</v>
      </c>
      <c r="AC21" s="63">
        <f t="shared" si="19"/>
        <v>0.44636821112638003</v>
      </c>
      <c r="AD21" s="63">
        <f t="shared" si="47"/>
        <v>1.7158523218106198E-4</v>
      </c>
      <c r="AE21" s="63">
        <f t="shared" si="20"/>
        <v>2.2650214485593425E-4</v>
      </c>
      <c r="AF21" s="63">
        <f t="shared" si="21"/>
        <v>0.11216697980299072</v>
      </c>
      <c r="AG21" s="63">
        <f t="shared" si="22"/>
        <v>1.1122059452858874E-2</v>
      </c>
      <c r="AH21" s="63">
        <f t="shared" si="23"/>
        <v>2.2582079977574833E-3</v>
      </c>
      <c r="AI21" s="63">
        <f t="shared" si="48"/>
        <v>0.22378064516129031</v>
      </c>
      <c r="AJ21" s="63">
        <f t="shared" si="49"/>
        <v>0.34955439455975335</v>
      </c>
      <c r="AK21" s="63">
        <f t="shared" si="24"/>
        <v>0.99675891481553758</v>
      </c>
      <c r="AL21" s="63">
        <f t="shared" si="25"/>
        <v>8.5560565810719727E-4</v>
      </c>
      <c r="AM21" s="63">
        <f t="shared" si="26"/>
        <v>1.1296391670659149E-3</v>
      </c>
      <c r="AN21" s="63">
        <f t="shared" si="27"/>
        <v>1.8533005712683921E-2</v>
      </c>
      <c r="AO21" s="63">
        <f t="shared" si="28"/>
        <v>102.95084673395915</v>
      </c>
      <c r="AP21" s="63">
        <f t="shared" si="50"/>
        <v>1.8533005712683921E-2</v>
      </c>
      <c r="AQ21" s="61">
        <f t="shared" si="29"/>
        <v>0.46248</v>
      </c>
      <c r="AR21" s="61">
        <f t="shared" si="30"/>
        <v>50128320000</v>
      </c>
      <c r="AS21" s="61">
        <f t="shared" si="51"/>
        <v>0.46248</v>
      </c>
      <c r="AT21" s="61">
        <f t="shared" si="52"/>
        <v>0.23869935483870966</v>
      </c>
      <c r="AU21" s="63">
        <f t="shared" si="53"/>
        <v>0.25836199971845952</v>
      </c>
      <c r="AV21" s="63">
        <f t="shared" si="31"/>
        <v>4.771091656673652E-3</v>
      </c>
      <c r="AW21" s="63">
        <f t="shared" si="32"/>
        <v>2.9760000000000003E-3</v>
      </c>
      <c r="AX21" s="63">
        <f t="shared" si="33"/>
        <v>4.1360000000000001E-2</v>
      </c>
      <c r="AY21" s="63">
        <f t="shared" si="34"/>
        <v>4.4336E-2</v>
      </c>
      <c r="AZ21" s="63">
        <f t="shared" si="35"/>
        <v>1.7399215939381794</v>
      </c>
      <c r="BA21" s="64">
        <f t="shared" si="36"/>
        <v>3.6</v>
      </c>
      <c r="BB21" s="76">
        <f t="shared" si="54"/>
        <v>0.67416720202159541</v>
      </c>
      <c r="BC21" s="64">
        <f t="shared" si="55"/>
        <v>67.416720202159539</v>
      </c>
      <c r="BD21" s="63">
        <f t="shared" si="37"/>
        <v>1.0061775630378151</v>
      </c>
      <c r="BE21" s="63">
        <f t="shared" si="56"/>
        <v>0.60791639427821287</v>
      </c>
      <c r="BF21" s="63">
        <f t="shared" si="38"/>
        <v>0.34955439455975335</v>
      </c>
      <c r="BG21" s="63">
        <f t="shared" si="39"/>
        <v>0.25836199971845952</v>
      </c>
      <c r="BH21" s="63">
        <f t="shared" si="40"/>
        <v>4.771091656673652E-3</v>
      </c>
      <c r="BI21" s="63">
        <f t="shared" si="57"/>
        <v>4.4336E-2</v>
      </c>
      <c r="BJ21" s="63">
        <f t="shared" si="58"/>
        <v>1.659621317955368E-4</v>
      </c>
      <c r="BK21" s="63">
        <f t="shared" si="59"/>
        <v>7.655458283368255E-2</v>
      </c>
      <c r="BL21" s="63">
        <f t="shared" si="60"/>
        <v>1.7399215939381794</v>
      </c>
      <c r="BQ21" s="77"/>
      <c r="BR21" s="78"/>
    </row>
    <row r="22" spans="3:71" x14ac:dyDescent="0.25">
      <c r="C22" s="61">
        <v>10</v>
      </c>
      <c r="D22" s="61">
        <f t="shared" si="0"/>
        <v>105</v>
      </c>
      <c r="E22" s="61">
        <f t="shared" si="1"/>
        <v>105</v>
      </c>
      <c r="F22" s="61">
        <f t="shared" si="2"/>
        <v>105</v>
      </c>
      <c r="G22" s="73">
        <f t="shared" si="3"/>
        <v>24</v>
      </c>
      <c r="H22" s="64">
        <f t="shared" si="4"/>
        <v>1</v>
      </c>
      <c r="I22" s="63">
        <f t="shared" si="41"/>
        <v>1</v>
      </c>
      <c r="J22" s="65">
        <f t="shared" si="5"/>
        <v>8.6117892021752077E-4</v>
      </c>
      <c r="K22" s="65">
        <f t="shared" si="6"/>
        <v>8.6117892021752077E-4</v>
      </c>
      <c r="L22" s="65">
        <f t="shared" si="7"/>
        <v>5.1791610661465239E-3</v>
      </c>
      <c r="M22" s="65">
        <f t="shared" si="8"/>
        <v>4.0000000000000001E-3</v>
      </c>
      <c r="N22" s="63">
        <f t="shared" si="9"/>
        <v>0.16708501416609853</v>
      </c>
      <c r="O22" s="64">
        <f t="shared" si="10"/>
        <v>2.1437294518590782</v>
      </c>
      <c r="P22" s="64">
        <f t="shared" si="11"/>
        <v>2.0718647259295393</v>
      </c>
      <c r="Q22" s="64">
        <f t="shared" si="12"/>
        <v>-7.1864725929539075E-2</v>
      </c>
      <c r="R22" s="64">
        <f t="shared" si="13"/>
        <v>4.7909817286359386</v>
      </c>
      <c r="S22" s="64">
        <f t="shared" si="14"/>
        <v>1.1759951800768582</v>
      </c>
      <c r="T22" s="63">
        <f t="shared" si="42"/>
        <v>7.1625967413871065E-3</v>
      </c>
      <c r="U22" s="63">
        <f t="shared" si="15"/>
        <v>1</v>
      </c>
      <c r="V22" s="63">
        <f t="shared" si="43"/>
        <v>1.0071625967413871</v>
      </c>
      <c r="W22" s="64">
        <f t="shared" si="44"/>
        <v>0.61884138805028388</v>
      </c>
      <c r="X22" s="63">
        <f t="shared" si="16"/>
        <v>7.6592932712800418E-2</v>
      </c>
      <c r="Y22" s="63">
        <f t="shared" si="45"/>
        <v>7.6592932712800418E-2</v>
      </c>
      <c r="Z22" s="64">
        <f t="shared" si="17"/>
        <v>0.43870706626991335</v>
      </c>
      <c r="AA22" s="74">
        <f t="shared" si="18"/>
        <v>1.9246388999515416E-4</v>
      </c>
      <c r="AB22" s="75">
        <f t="shared" si="46"/>
        <v>1.9246388999515416E-4</v>
      </c>
      <c r="AC22" s="63">
        <f t="shared" si="19"/>
        <v>0.48070018764590161</v>
      </c>
      <c r="AD22" s="63">
        <f t="shared" si="47"/>
        <v>1.989949127892667E-4</v>
      </c>
      <c r="AE22" s="63">
        <f t="shared" si="20"/>
        <v>2.6268624864216262E-4</v>
      </c>
      <c r="AF22" s="63">
        <f t="shared" si="21"/>
        <v>0.1178713931903061</v>
      </c>
      <c r="AG22" s="63">
        <f t="shared" si="22"/>
        <v>2.6013539997946689E-2</v>
      </c>
      <c r="AH22" s="63">
        <f t="shared" si="23"/>
        <v>9.457397932327344E-4</v>
      </c>
      <c r="AI22" s="63">
        <f t="shared" si="48"/>
        <v>0.22378064516129031</v>
      </c>
      <c r="AJ22" s="63">
        <f t="shared" si="49"/>
        <v>0.36887400439141804</v>
      </c>
      <c r="AK22" s="63">
        <f t="shared" si="24"/>
        <v>1.0732623133051851</v>
      </c>
      <c r="AL22" s="63">
        <f t="shared" si="25"/>
        <v>9.9198510287776764E-4</v>
      </c>
      <c r="AM22" s="63">
        <f t="shared" si="26"/>
        <v>1.3097425485826596E-3</v>
      </c>
      <c r="AN22" s="63">
        <f t="shared" si="27"/>
        <v>1.9475528423737672E-2</v>
      </c>
      <c r="AO22" s="63">
        <f t="shared" si="28"/>
        <v>108.18656039386278</v>
      </c>
      <c r="AP22" s="63">
        <f t="shared" si="50"/>
        <v>1.9475528423737672E-2</v>
      </c>
      <c r="AQ22" s="61">
        <f t="shared" si="29"/>
        <v>0.46248</v>
      </c>
      <c r="AR22" s="61">
        <f t="shared" si="30"/>
        <v>50128320000</v>
      </c>
      <c r="AS22" s="61">
        <f t="shared" si="51"/>
        <v>0.46248</v>
      </c>
      <c r="AT22" s="61">
        <f t="shared" si="52"/>
        <v>0.23869935483870966</v>
      </c>
      <c r="AU22" s="63">
        <f t="shared" si="53"/>
        <v>0.25948462581102999</v>
      </c>
      <c r="AV22" s="63">
        <f t="shared" si="31"/>
        <v>5.5318586542560094E-3</v>
      </c>
      <c r="AW22" s="63">
        <f t="shared" si="32"/>
        <v>2.9760000000000003E-3</v>
      </c>
      <c r="AX22" s="63">
        <f t="shared" si="33"/>
        <v>4.1360000000000001E-2</v>
      </c>
      <c r="AY22" s="63">
        <f t="shared" si="34"/>
        <v>4.4336E-2</v>
      </c>
      <c r="AZ22" s="63">
        <f t="shared" si="35"/>
        <v>1.7621744822008865</v>
      </c>
      <c r="BA22" s="64">
        <f t="shared" si="36"/>
        <v>4</v>
      </c>
      <c r="BB22" s="76">
        <f t="shared" si="54"/>
        <v>0.69418238068906646</v>
      </c>
      <c r="BC22" s="64">
        <f t="shared" si="55"/>
        <v>69.418238068906646</v>
      </c>
      <c r="BD22" s="63">
        <f t="shared" si="37"/>
        <v>1.0071625967413871</v>
      </c>
      <c r="BE22" s="63">
        <f t="shared" si="56"/>
        <v>0.62835863020244798</v>
      </c>
      <c r="BF22" s="63">
        <f t="shared" si="38"/>
        <v>0.36887400439141804</v>
      </c>
      <c r="BG22" s="63">
        <f t="shared" si="39"/>
        <v>0.25948462581102999</v>
      </c>
      <c r="BH22" s="63">
        <f t="shared" si="40"/>
        <v>5.5318586542560094E-3</v>
      </c>
      <c r="BI22" s="63">
        <f t="shared" si="57"/>
        <v>4.4336E-2</v>
      </c>
      <c r="BJ22" s="63">
        <f t="shared" si="58"/>
        <v>1.9246388999515416E-4</v>
      </c>
      <c r="BK22" s="63">
        <f t="shared" si="59"/>
        <v>7.6592932712800418E-2</v>
      </c>
      <c r="BL22" s="63">
        <f t="shared" si="60"/>
        <v>1.7621744822008865</v>
      </c>
      <c r="BQ22" s="77"/>
      <c r="BR22" s="78"/>
    </row>
    <row r="23" spans="3:71" x14ac:dyDescent="0.25">
      <c r="C23" s="61">
        <v>11</v>
      </c>
      <c r="D23" s="61">
        <f t="shared" si="0"/>
        <v>105</v>
      </c>
      <c r="E23" s="61">
        <f t="shared" si="1"/>
        <v>105</v>
      </c>
      <c r="F23" s="61">
        <f t="shared" si="2"/>
        <v>105</v>
      </c>
      <c r="G23" s="73">
        <f t="shared" si="3"/>
        <v>24</v>
      </c>
      <c r="H23" s="64">
        <f t="shared" si="4"/>
        <v>1</v>
      </c>
      <c r="I23" s="63">
        <f t="shared" si="41"/>
        <v>1.1000000000000001</v>
      </c>
      <c r="J23" s="65">
        <f t="shared" si="5"/>
        <v>8.6117892021752077E-4</v>
      </c>
      <c r="K23" s="65">
        <f t="shared" si="6"/>
        <v>8.6117892021752077E-4</v>
      </c>
      <c r="L23" s="65">
        <f t="shared" si="7"/>
        <v>5.1791610661465239E-3</v>
      </c>
      <c r="M23" s="65">
        <f t="shared" si="8"/>
        <v>4.0000000000000001E-3</v>
      </c>
      <c r="N23" s="63">
        <f t="shared" si="9"/>
        <v>0.16712684891604168</v>
      </c>
      <c r="O23" s="64">
        <f t="shared" si="10"/>
        <v>2.1442661988917897</v>
      </c>
      <c r="P23" s="64">
        <f t="shared" si="11"/>
        <v>2.1721330994458947</v>
      </c>
      <c r="Q23" s="64">
        <f t="shared" si="12"/>
        <v>2.7866900554105234E-2</v>
      </c>
      <c r="R23" s="64">
        <f t="shared" si="13"/>
        <v>0</v>
      </c>
      <c r="S23" s="64">
        <f t="shared" si="14"/>
        <v>1.2622030189220039</v>
      </c>
      <c r="T23" s="63">
        <f t="shared" si="42"/>
        <v>8.2512139149657545E-3</v>
      </c>
      <c r="U23" s="63">
        <f t="shared" si="15"/>
        <v>1</v>
      </c>
      <c r="V23" s="63">
        <f t="shared" si="43"/>
        <v>1.0082512139149657</v>
      </c>
      <c r="W23" s="64">
        <f t="shared" si="44"/>
        <v>0.61899633357219519</v>
      </c>
      <c r="X23" s="63">
        <f t="shared" si="16"/>
        <v>7.6631292195164069E-2</v>
      </c>
      <c r="Y23" s="63">
        <f t="shared" si="45"/>
        <v>7.6631292195164069E-2</v>
      </c>
      <c r="Z23" s="64">
        <f t="shared" si="17"/>
        <v>0.4709141693145521</v>
      </c>
      <c r="AA23" s="74">
        <f t="shared" si="18"/>
        <v>2.2176015486121464E-4</v>
      </c>
      <c r="AB23" s="75">
        <f t="shared" si="46"/>
        <v>2.2176015486121464E-4</v>
      </c>
      <c r="AC23" s="63">
        <f t="shared" si="19"/>
        <v>0.51600311932499165</v>
      </c>
      <c r="AD23" s="63">
        <f t="shared" si="47"/>
        <v>2.2929682684824545E-4</v>
      </c>
      <c r="AE23" s="63">
        <f t="shared" si="20"/>
        <v>3.0268902403660189E-4</v>
      </c>
      <c r="AF23" s="63">
        <f t="shared" si="21"/>
        <v>0.12435692524104217</v>
      </c>
      <c r="AG23" s="63">
        <f t="shared" si="22"/>
        <v>4.0608000000000005E-2</v>
      </c>
      <c r="AH23" s="63">
        <f t="shared" si="23"/>
        <v>0</v>
      </c>
      <c r="AI23" s="63">
        <f t="shared" si="48"/>
        <v>0.22378064516129031</v>
      </c>
      <c r="AJ23" s="63">
        <f t="shared" si="49"/>
        <v>0.38904825942636911</v>
      </c>
      <c r="AK23" s="63">
        <f t="shared" si="24"/>
        <v>1.1519102577122486</v>
      </c>
      <c r="AL23" s="63">
        <f t="shared" si="25"/>
        <v>1.1426959339524787E-3</v>
      </c>
      <c r="AM23" s="63">
        <f t="shared" si="26"/>
        <v>1.5087862056151371E-3</v>
      </c>
      <c r="AN23" s="63">
        <f t="shared" si="27"/>
        <v>2.0784779546083439E-2</v>
      </c>
      <c r="AO23" s="63">
        <f t="shared" si="28"/>
        <v>115.45945037849349</v>
      </c>
      <c r="AP23" s="63">
        <f t="shared" si="50"/>
        <v>2.0784779546083439E-2</v>
      </c>
      <c r="AQ23" s="61">
        <f t="shared" si="29"/>
        <v>0.46248</v>
      </c>
      <c r="AR23" s="61">
        <f t="shared" si="30"/>
        <v>50128320000</v>
      </c>
      <c r="AS23" s="61">
        <f t="shared" si="51"/>
        <v>0.46248</v>
      </c>
      <c r="AT23" s="61">
        <f t="shared" si="52"/>
        <v>0.23869935483870966</v>
      </c>
      <c r="AU23" s="63">
        <f t="shared" si="53"/>
        <v>0.26099292059040824</v>
      </c>
      <c r="AV23" s="63">
        <f t="shared" si="31"/>
        <v>6.372625843903283E-3</v>
      </c>
      <c r="AW23" s="63">
        <f t="shared" si="32"/>
        <v>2.9760000000000003E-3</v>
      </c>
      <c r="AX23" s="63">
        <f t="shared" si="33"/>
        <v>4.1360000000000001E-2</v>
      </c>
      <c r="AY23" s="63">
        <f t="shared" si="34"/>
        <v>4.4336E-2</v>
      </c>
      <c r="AZ23" s="63">
        <f t="shared" si="35"/>
        <v>1.7858540721256715</v>
      </c>
      <c r="BA23" s="64">
        <f t="shared" si="36"/>
        <v>4.4000000000000004</v>
      </c>
      <c r="BB23" s="76">
        <f t="shared" si="54"/>
        <v>0.71130032307535662</v>
      </c>
      <c r="BC23" s="64">
        <f t="shared" si="55"/>
        <v>71.130032307535657</v>
      </c>
      <c r="BD23" s="63">
        <f t="shared" si="37"/>
        <v>1.0082512139149657</v>
      </c>
      <c r="BE23" s="63">
        <f t="shared" si="56"/>
        <v>0.65004118001677735</v>
      </c>
      <c r="BF23" s="63">
        <f t="shared" si="38"/>
        <v>0.38904825942636911</v>
      </c>
      <c r="BG23" s="63">
        <f t="shared" si="39"/>
        <v>0.26099292059040824</v>
      </c>
      <c r="BH23" s="63">
        <f t="shared" si="40"/>
        <v>6.372625843903283E-3</v>
      </c>
      <c r="BI23" s="63">
        <f t="shared" si="57"/>
        <v>4.4336E-2</v>
      </c>
      <c r="BJ23" s="63">
        <f t="shared" si="58"/>
        <v>2.2176015486121464E-4</v>
      </c>
      <c r="BK23" s="63">
        <f t="shared" si="59"/>
        <v>7.6631292195164069E-2</v>
      </c>
      <c r="BL23" s="63">
        <f t="shared" si="60"/>
        <v>1.7858540721256717</v>
      </c>
      <c r="BQ23" s="77"/>
      <c r="BR23" s="78"/>
    </row>
    <row r="24" spans="3:71" x14ac:dyDescent="0.25">
      <c r="C24" s="61">
        <v>12</v>
      </c>
      <c r="D24" s="61">
        <f t="shared" si="0"/>
        <v>105</v>
      </c>
      <c r="E24" s="61">
        <f t="shared" si="1"/>
        <v>105</v>
      </c>
      <c r="F24" s="61">
        <f t="shared" si="2"/>
        <v>105</v>
      </c>
      <c r="G24" s="73">
        <f t="shared" si="3"/>
        <v>24</v>
      </c>
      <c r="H24" s="64">
        <f t="shared" si="4"/>
        <v>1</v>
      </c>
      <c r="I24" s="63">
        <f t="shared" si="41"/>
        <v>1.2</v>
      </c>
      <c r="J24" s="65">
        <f t="shared" si="5"/>
        <v>8.6117892021752077E-4</v>
      </c>
      <c r="K24" s="65">
        <f t="shared" si="6"/>
        <v>8.6117892021752077E-4</v>
      </c>
      <c r="L24" s="65">
        <f t="shared" si="7"/>
        <v>5.1791610661465239E-3</v>
      </c>
      <c r="M24" s="65">
        <f t="shared" si="8"/>
        <v>4.0000000000000001E-3</v>
      </c>
      <c r="N24" s="63">
        <f t="shared" si="9"/>
        <v>0.16716868366598489</v>
      </c>
      <c r="O24" s="64">
        <f t="shared" si="10"/>
        <v>2.1448029459245026</v>
      </c>
      <c r="P24" s="64">
        <f t="shared" si="11"/>
        <v>2.272401472962251</v>
      </c>
      <c r="Q24" s="64">
        <f t="shared" si="12"/>
        <v>0.12759852703774865</v>
      </c>
      <c r="R24" s="64">
        <f t="shared" si="13"/>
        <v>0</v>
      </c>
      <c r="S24" s="64">
        <f t="shared" si="14"/>
        <v>1.3503141510048202</v>
      </c>
      <c r="T24" s="63">
        <f t="shared" si="42"/>
        <v>9.4434145585511175E-3</v>
      </c>
      <c r="U24" s="63">
        <f t="shared" si="15"/>
        <v>1</v>
      </c>
      <c r="V24" s="63">
        <f t="shared" si="43"/>
        <v>1.0094434145585511</v>
      </c>
      <c r="W24" s="64">
        <f t="shared" si="44"/>
        <v>0.61915127909410705</v>
      </c>
      <c r="X24" s="63">
        <f t="shared" si="16"/>
        <v>7.6669661280773779E-2</v>
      </c>
      <c r="Y24" s="63">
        <f t="shared" si="45"/>
        <v>7.6669661280773779E-2</v>
      </c>
      <c r="Z24" s="64">
        <f t="shared" si="17"/>
        <v>0.50383786615869364</v>
      </c>
      <c r="AA24" s="74">
        <f t="shared" si="18"/>
        <v>2.5385259537534564E-4</v>
      </c>
      <c r="AB24" s="75">
        <f t="shared" si="46"/>
        <v>2.5385259537534564E-4</v>
      </c>
      <c r="AC24" s="63">
        <f t="shared" si="19"/>
        <v>0.55209305035124068</v>
      </c>
      <c r="AD24" s="63">
        <f t="shared" si="47"/>
        <v>2.6249313599547539E-4</v>
      </c>
      <c r="AE24" s="63">
        <f t="shared" si="20"/>
        <v>3.4651349695281853E-4</v>
      </c>
      <c r="AF24" s="63">
        <f t="shared" si="21"/>
        <v>0.13285684990627777</v>
      </c>
      <c r="AG24" s="63">
        <f t="shared" si="22"/>
        <v>4.0608000000000005E-2</v>
      </c>
      <c r="AH24" s="63">
        <f t="shared" si="23"/>
        <v>0</v>
      </c>
      <c r="AI24" s="63">
        <f t="shared" si="48"/>
        <v>0.22378064516129031</v>
      </c>
      <c r="AJ24" s="63">
        <f t="shared" si="49"/>
        <v>0.39759200856452093</v>
      </c>
      <c r="AK24" s="63">
        <f t="shared" si="24"/>
        <v>1.2322911872433928</v>
      </c>
      <c r="AL24" s="63">
        <f t="shared" si="25"/>
        <v>1.3077359896938529E-3</v>
      </c>
      <c r="AM24" s="63">
        <f t="shared" si="26"/>
        <v>1.7267715303924016E-3</v>
      </c>
      <c r="AN24" s="63">
        <f t="shared" si="27"/>
        <v>2.3039770461661932E-2</v>
      </c>
      <c r="AO24" s="63">
        <f t="shared" si="28"/>
        <v>127.98592491453205</v>
      </c>
      <c r="AP24" s="63">
        <f t="shared" si="50"/>
        <v>2.3039770461661932E-2</v>
      </c>
      <c r="AQ24" s="61">
        <f t="shared" si="29"/>
        <v>0.46248</v>
      </c>
      <c r="AR24" s="61">
        <f t="shared" si="30"/>
        <v>50128320000</v>
      </c>
      <c r="AS24" s="61">
        <f t="shared" si="51"/>
        <v>0.46248</v>
      </c>
      <c r="AT24" s="61">
        <f t="shared" si="52"/>
        <v>0.23869935483870966</v>
      </c>
      <c r="AU24" s="63">
        <f t="shared" si="53"/>
        <v>0.26346589683076399</v>
      </c>
      <c r="AV24" s="63">
        <f t="shared" si="31"/>
        <v>7.2933932256154738E-3</v>
      </c>
      <c r="AW24" s="63">
        <f t="shared" si="32"/>
        <v>2.9760000000000003E-3</v>
      </c>
      <c r="AX24" s="63">
        <f t="shared" si="33"/>
        <v>4.1360000000000001E-2</v>
      </c>
      <c r="AY24" s="63">
        <f t="shared" si="34"/>
        <v>4.4336E-2</v>
      </c>
      <c r="AZ24" s="63">
        <f t="shared" si="35"/>
        <v>1.7990542270556005</v>
      </c>
      <c r="BA24" s="64">
        <f t="shared" si="36"/>
        <v>4.8</v>
      </c>
      <c r="BB24" s="76">
        <f t="shared" si="54"/>
        <v>0.72737695961345183</v>
      </c>
      <c r="BC24" s="64">
        <f t="shared" si="55"/>
        <v>72.737695961345182</v>
      </c>
      <c r="BD24" s="63">
        <f t="shared" si="37"/>
        <v>1.0094434145585511</v>
      </c>
      <c r="BE24" s="63">
        <f t="shared" si="56"/>
        <v>0.66105790539528497</v>
      </c>
      <c r="BF24" s="63">
        <f t="shared" si="38"/>
        <v>0.39759200856452093</v>
      </c>
      <c r="BG24" s="63">
        <f t="shared" si="39"/>
        <v>0.26346589683076399</v>
      </c>
      <c r="BH24" s="63">
        <f t="shared" si="40"/>
        <v>7.2933932256154738E-3</v>
      </c>
      <c r="BI24" s="63">
        <f t="shared" si="57"/>
        <v>4.4336E-2</v>
      </c>
      <c r="BJ24" s="63">
        <f t="shared" si="58"/>
        <v>2.5385259537534564E-4</v>
      </c>
      <c r="BK24" s="63">
        <f t="shared" si="59"/>
        <v>7.6669661280773779E-2</v>
      </c>
      <c r="BL24" s="63">
        <f t="shared" si="60"/>
        <v>1.7990542270556005</v>
      </c>
      <c r="BQ24" s="77"/>
      <c r="BR24" s="78"/>
    </row>
    <row r="25" spans="3:71" x14ac:dyDescent="0.25">
      <c r="C25" s="61">
        <v>13</v>
      </c>
      <c r="D25" s="61">
        <f t="shared" si="0"/>
        <v>105</v>
      </c>
      <c r="E25" s="61">
        <f t="shared" si="1"/>
        <v>105</v>
      </c>
      <c r="F25" s="61">
        <f t="shared" si="2"/>
        <v>105</v>
      </c>
      <c r="G25" s="73">
        <f t="shared" si="3"/>
        <v>24</v>
      </c>
      <c r="H25" s="64">
        <f t="shared" si="4"/>
        <v>1</v>
      </c>
      <c r="I25" s="63">
        <f t="shared" si="41"/>
        <v>1.3</v>
      </c>
      <c r="J25" s="65">
        <f t="shared" si="5"/>
        <v>8.6117892021752077E-4</v>
      </c>
      <c r="K25" s="65">
        <f t="shared" si="6"/>
        <v>8.6117892021752077E-4</v>
      </c>
      <c r="L25" s="65">
        <f t="shared" si="7"/>
        <v>5.1791610661465239E-3</v>
      </c>
      <c r="M25" s="65">
        <f t="shared" si="8"/>
        <v>4.0000000000000001E-3</v>
      </c>
      <c r="N25" s="63">
        <f t="shared" si="9"/>
        <v>0.16721051841592804</v>
      </c>
      <c r="O25" s="64">
        <f t="shared" si="10"/>
        <v>2.1453396929572146</v>
      </c>
      <c r="P25" s="64">
        <f t="shared" si="11"/>
        <v>2.3726698464786073</v>
      </c>
      <c r="Q25" s="64">
        <f t="shared" si="12"/>
        <v>0.22733015352139274</v>
      </c>
      <c r="R25" s="64">
        <f t="shared" si="13"/>
        <v>0</v>
      </c>
      <c r="S25" s="64">
        <f t="shared" si="14"/>
        <v>1.4399792359086803</v>
      </c>
      <c r="T25" s="63">
        <f t="shared" si="42"/>
        <v>1.0739198672143204E-2</v>
      </c>
      <c r="U25" s="63">
        <f t="shared" si="15"/>
        <v>1</v>
      </c>
      <c r="V25" s="63">
        <f t="shared" si="43"/>
        <v>1.0107391986721432</v>
      </c>
      <c r="W25" s="64">
        <f t="shared" si="44"/>
        <v>0.61930622461601847</v>
      </c>
      <c r="X25" s="63">
        <f t="shared" si="16"/>
        <v>7.6708039969629271E-2</v>
      </c>
      <c r="Y25" s="63">
        <f t="shared" si="45"/>
        <v>7.6708039969629271E-2</v>
      </c>
      <c r="Z25" s="64">
        <f t="shared" si="17"/>
        <v>0.5373480065089461</v>
      </c>
      <c r="AA25" s="74">
        <f t="shared" si="18"/>
        <v>2.887428800991384E-4</v>
      </c>
      <c r="AB25" s="75">
        <f t="shared" si="46"/>
        <v>2.887428800991384E-4</v>
      </c>
      <c r="AC25" s="63">
        <f t="shared" si="19"/>
        <v>0.58882742104361585</v>
      </c>
      <c r="AD25" s="63">
        <f t="shared" si="47"/>
        <v>2.9858600186843308E-4</v>
      </c>
      <c r="AE25" s="63">
        <f t="shared" si="20"/>
        <v>3.9416270995030876E-4</v>
      </c>
      <c r="AF25" s="63">
        <f t="shared" si="21"/>
        <v>0.14135677457151341</v>
      </c>
      <c r="AG25" s="63">
        <f t="shared" si="22"/>
        <v>4.0608000000000005E-2</v>
      </c>
      <c r="AH25" s="63">
        <f t="shared" si="23"/>
        <v>0</v>
      </c>
      <c r="AI25" s="63">
        <f t="shared" si="48"/>
        <v>0.22378064516129031</v>
      </c>
      <c r="AJ25" s="63">
        <f t="shared" si="49"/>
        <v>0.40613958244275405</v>
      </c>
      <c r="AK25" s="63">
        <f t="shared" si="24"/>
        <v>1.3140861722411019</v>
      </c>
      <c r="AL25" s="63">
        <f t="shared" si="25"/>
        <v>1.4871031084644161E-3</v>
      </c>
      <c r="AM25" s="63">
        <f t="shared" si="26"/>
        <v>1.9637003189354281E-3</v>
      </c>
      <c r="AN25" s="63">
        <f t="shared" si="27"/>
        <v>2.5294761377240443E-2</v>
      </c>
      <c r="AO25" s="63">
        <f t="shared" si="28"/>
        <v>140.51239945057065</v>
      </c>
      <c r="AP25" s="63">
        <f t="shared" si="50"/>
        <v>2.5294761377240443E-2</v>
      </c>
      <c r="AQ25" s="61">
        <f t="shared" si="29"/>
        <v>0.46248</v>
      </c>
      <c r="AR25" s="61">
        <f t="shared" si="30"/>
        <v>50128320000</v>
      </c>
      <c r="AS25" s="61">
        <f t="shared" si="51"/>
        <v>0.46248</v>
      </c>
      <c r="AT25" s="61">
        <f t="shared" si="52"/>
        <v>0.23869935483870966</v>
      </c>
      <c r="AU25" s="63">
        <f t="shared" si="53"/>
        <v>0.26595781653488554</v>
      </c>
      <c r="AV25" s="63">
        <f t="shared" si="31"/>
        <v>8.2941607993925869E-3</v>
      </c>
      <c r="AW25" s="63">
        <f t="shared" si="32"/>
        <v>2.9760000000000003E-3</v>
      </c>
      <c r="AX25" s="63">
        <f t="shared" si="33"/>
        <v>4.1360000000000001E-2</v>
      </c>
      <c r="AY25" s="63">
        <f t="shared" si="34"/>
        <v>4.4336E-2</v>
      </c>
      <c r="AZ25" s="63">
        <f t="shared" si="35"/>
        <v>1.8124635412989036</v>
      </c>
      <c r="BA25" s="64">
        <f t="shared" si="36"/>
        <v>5.2</v>
      </c>
      <c r="BB25" s="76">
        <f t="shared" si="54"/>
        <v>0.74153683215254407</v>
      </c>
      <c r="BC25" s="64">
        <f t="shared" si="55"/>
        <v>74.153683215254404</v>
      </c>
      <c r="BD25" s="63">
        <f t="shared" si="37"/>
        <v>1.0107391986721432</v>
      </c>
      <c r="BE25" s="63">
        <f t="shared" si="56"/>
        <v>0.67209739897763954</v>
      </c>
      <c r="BF25" s="63">
        <f t="shared" si="38"/>
        <v>0.40613958244275405</v>
      </c>
      <c r="BG25" s="63">
        <f t="shared" si="39"/>
        <v>0.26595781653488554</v>
      </c>
      <c r="BH25" s="63">
        <f t="shared" si="40"/>
        <v>8.2941607993925869E-3</v>
      </c>
      <c r="BI25" s="63">
        <f t="shared" si="57"/>
        <v>4.4336E-2</v>
      </c>
      <c r="BJ25" s="63">
        <f t="shared" si="58"/>
        <v>2.887428800991384E-4</v>
      </c>
      <c r="BK25" s="63">
        <f t="shared" si="59"/>
        <v>7.6708039969629271E-2</v>
      </c>
      <c r="BL25" s="63">
        <f t="shared" si="60"/>
        <v>1.8124635412989036</v>
      </c>
      <c r="BQ25" s="77"/>
      <c r="BR25" s="78"/>
    </row>
    <row r="26" spans="3:71" x14ac:dyDescent="0.25">
      <c r="C26" s="61">
        <v>14</v>
      </c>
      <c r="D26" s="61">
        <f t="shared" si="0"/>
        <v>105</v>
      </c>
      <c r="E26" s="61">
        <f t="shared" si="1"/>
        <v>105</v>
      </c>
      <c r="F26" s="61">
        <f t="shared" si="2"/>
        <v>105</v>
      </c>
      <c r="G26" s="73">
        <f t="shared" si="3"/>
        <v>24</v>
      </c>
      <c r="H26" s="64">
        <f t="shared" si="4"/>
        <v>1</v>
      </c>
      <c r="I26" s="63">
        <f t="shared" si="41"/>
        <v>1.4</v>
      </c>
      <c r="J26" s="65">
        <f t="shared" si="5"/>
        <v>8.6117892021752077E-4</v>
      </c>
      <c r="K26" s="65">
        <f t="shared" si="6"/>
        <v>8.6117892021752077E-4</v>
      </c>
      <c r="L26" s="65">
        <f t="shared" si="7"/>
        <v>5.1791610661465239E-3</v>
      </c>
      <c r="M26" s="65">
        <f t="shared" si="8"/>
        <v>4.0000000000000001E-3</v>
      </c>
      <c r="N26" s="63">
        <f t="shared" si="9"/>
        <v>0.16725235316587125</v>
      </c>
      <c r="O26" s="64">
        <f t="shared" si="10"/>
        <v>2.1458764399899275</v>
      </c>
      <c r="P26" s="64">
        <f t="shared" si="11"/>
        <v>2.4729382199949637</v>
      </c>
      <c r="Q26" s="64">
        <f t="shared" si="12"/>
        <v>0.32706178000503616</v>
      </c>
      <c r="R26" s="64">
        <f t="shared" si="13"/>
        <v>0</v>
      </c>
      <c r="S26" s="64">
        <f t="shared" si="14"/>
        <v>1.5309252566042058</v>
      </c>
      <c r="T26" s="63">
        <f t="shared" si="42"/>
        <v>1.2138566255742E-2</v>
      </c>
      <c r="U26" s="63">
        <f t="shared" si="15"/>
        <v>1</v>
      </c>
      <c r="V26" s="63">
        <f t="shared" si="43"/>
        <v>1.0121385662557421</v>
      </c>
      <c r="W26" s="64">
        <f t="shared" si="44"/>
        <v>0.61946117013793023</v>
      </c>
      <c r="X26" s="63">
        <f t="shared" si="16"/>
        <v>7.6746428261730754E-2</v>
      </c>
      <c r="Y26" s="63">
        <f t="shared" si="45"/>
        <v>7.6746428261730754E-2</v>
      </c>
      <c r="Z26" s="64">
        <f t="shared" si="17"/>
        <v>0.57134287181529408</v>
      </c>
      <c r="AA26" s="74">
        <f t="shared" si="18"/>
        <v>3.2643267717414757E-4</v>
      </c>
      <c r="AB26" s="75">
        <f t="shared" si="46"/>
        <v>3.2643267717414757E-4</v>
      </c>
      <c r="AC26" s="63">
        <f t="shared" si="19"/>
        <v>0.6260948137657415</v>
      </c>
      <c r="AD26" s="63">
        <f t="shared" si="47"/>
        <v>3.3757758610459496E-4</v>
      </c>
      <c r="AE26" s="63">
        <f t="shared" si="20"/>
        <v>4.4563972227753168E-4</v>
      </c>
      <c r="AF26" s="63">
        <f t="shared" si="21"/>
        <v>0.14985669923674905</v>
      </c>
      <c r="AG26" s="63">
        <f t="shared" si="22"/>
        <v>4.0608000000000005E-2</v>
      </c>
      <c r="AH26" s="63">
        <f t="shared" si="23"/>
        <v>0</v>
      </c>
      <c r="AI26" s="63">
        <f t="shared" si="48"/>
        <v>0.22378064516129031</v>
      </c>
      <c r="AJ26" s="63">
        <f t="shared" si="49"/>
        <v>0.41469098412031691</v>
      </c>
      <c r="AK26" s="63">
        <f t="shared" si="24"/>
        <v>1.3970459639841113</v>
      </c>
      <c r="AL26" s="63">
        <f t="shared" si="25"/>
        <v>1.6807951286266888E-3</v>
      </c>
      <c r="AM26" s="63">
        <f t="shared" si="26"/>
        <v>2.2195747711020262E-3</v>
      </c>
      <c r="AN26" s="63">
        <f t="shared" si="27"/>
        <v>2.754975229281894E-2</v>
      </c>
      <c r="AO26" s="63">
        <f t="shared" si="28"/>
        <v>153.03887398660919</v>
      </c>
      <c r="AP26" s="63">
        <f t="shared" si="50"/>
        <v>2.754975229281894E-2</v>
      </c>
      <c r="AQ26" s="61">
        <f t="shared" si="29"/>
        <v>0.46248</v>
      </c>
      <c r="AR26" s="61">
        <f t="shared" si="30"/>
        <v>50128320000</v>
      </c>
      <c r="AS26" s="61">
        <f t="shared" si="51"/>
        <v>0.46248</v>
      </c>
      <c r="AT26" s="61">
        <f t="shared" si="52"/>
        <v>0.23869935483870966</v>
      </c>
      <c r="AU26" s="63">
        <f t="shared" si="53"/>
        <v>0.26846868190263062</v>
      </c>
      <c r="AV26" s="63">
        <f t="shared" si="31"/>
        <v>9.3749285652346137E-3</v>
      </c>
      <c r="AW26" s="63">
        <f t="shared" si="32"/>
        <v>2.9760000000000003E-3</v>
      </c>
      <c r="AX26" s="63">
        <f t="shared" si="33"/>
        <v>4.1360000000000001E-2</v>
      </c>
      <c r="AY26" s="63">
        <f t="shared" si="34"/>
        <v>4.4336E-2</v>
      </c>
      <c r="AZ26" s="63">
        <f t="shared" si="35"/>
        <v>1.8260820217828293</v>
      </c>
      <c r="BA26" s="64">
        <f t="shared" si="36"/>
        <v>5.6</v>
      </c>
      <c r="BB26" s="76">
        <f t="shared" si="54"/>
        <v>0.75409886176500518</v>
      </c>
      <c r="BC26" s="64">
        <f t="shared" si="55"/>
        <v>75.409886176500521</v>
      </c>
      <c r="BD26" s="63">
        <f t="shared" si="37"/>
        <v>1.0121385662557421</v>
      </c>
      <c r="BE26" s="63">
        <f t="shared" si="56"/>
        <v>0.68315966602294753</v>
      </c>
      <c r="BF26" s="63">
        <f t="shared" si="38"/>
        <v>0.41469098412031691</v>
      </c>
      <c r="BG26" s="63">
        <f t="shared" si="39"/>
        <v>0.26846868190263062</v>
      </c>
      <c r="BH26" s="63">
        <f t="shared" si="40"/>
        <v>9.3749285652346137E-3</v>
      </c>
      <c r="BI26" s="63">
        <f t="shared" si="57"/>
        <v>4.4336E-2</v>
      </c>
      <c r="BJ26" s="63">
        <f t="shared" si="58"/>
        <v>3.2643267717414757E-4</v>
      </c>
      <c r="BK26" s="63">
        <f t="shared" si="59"/>
        <v>7.6746428261730754E-2</v>
      </c>
      <c r="BL26" s="63">
        <f t="shared" si="60"/>
        <v>1.8260820217828293</v>
      </c>
      <c r="BQ26" s="77"/>
      <c r="BR26" s="78"/>
    </row>
    <row r="27" spans="3:71" x14ac:dyDescent="0.25">
      <c r="C27" s="61">
        <v>15</v>
      </c>
      <c r="D27" s="61">
        <f t="shared" si="0"/>
        <v>105</v>
      </c>
      <c r="E27" s="61">
        <f t="shared" si="1"/>
        <v>105</v>
      </c>
      <c r="F27" s="61">
        <f t="shared" si="2"/>
        <v>105</v>
      </c>
      <c r="G27" s="73">
        <f t="shared" si="3"/>
        <v>24</v>
      </c>
      <c r="H27" s="64">
        <f t="shared" si="4"/>
        <v>1</v>
      </c>
      <c r="I27" s="63">
        <f t="shared" si="41"/>
        <v>1.5</v>
      </c>
      <c r="J27" s="65">
        <f t="shared" si="5"/>
        <v>8.6117892021752077E-4</v>
      </c>
      <c r="K27" s="65">
        <f t="shared" si="6"/>
        <v>8.6117892021752077E-4</v>
      </c>
      <c r="L27" s="65">
        <f t="shared" si="7"/>
        <v>5.1791610661465239E-3</v>
      </c>
      <c r="M27" s="65">
        <f t="shared" si="8"/>
        <v>4.0000000000000001E-3</v>
      </c>
      <c r="N27" s="63">
        <f t="shared" si="9"/>
        <v>0.16729418791581441</v>
      </c>
      <c r="O27" s="64">
        <f t="shared" si="10"/>
        <v>2.1464131870226395</v>
      </c>
      <c r="P27" s="64">
        <f t="shared" si="11"/>
        <v>2.57320659351132</v>
      </c>
      <c r="Q27" s="64">
        <f t="shared" si="12"/>
        <v>0.42679340648868025</v>
      </c>
      <c r="R27" s="64">
        <f t="shared" si="13"/>
        <v>0</v>
      </c>
      <c r="S27" s="64">
        <f t="shared" si="14"/>
        <v>1.6229368844121421</v>
      </c>
      <c r="T27" s="63">
        <f t="shared" si="42"/>
        <v>1.364151730934752E-2</v>
      </c>
      <c r="U27" s="63">
        <f t="shared" si="15"/>
        <v>1</v>
      </c>
      <c r="V27" s="63">
        <f t="shared" si="43"/>
        <v>1.0136415173093476</v>
      </c>
      <c r="W27" s="64">
        <f t="shared" si="44"/>
        <v>0.61961611565984176</v>
      </c>
      <c r="X27" s="63">
        <f t="shared" si="16"/>
        <v>7.6784826157078087E-2</v>
      </c>
      <c r="Y27" s="63">
        <f t="shared" si="45"/>
        <v>7.6784826157078087E-2</v>
      </c>
      <c r="Z27" s="64">
        <f t="shared" si="17"/>
        <v>0.60574223422334705</v>
      </c>
      <c r="AA27" s="74">
        <f t="shared" si="18"/>
        <v>3.6692365432189225E-4</v>
      </c>
      <c r="AB27" s="75">
        <f t="shared" si="46"/>
        <v>3.6692365432189225E-4</v>
      </c>
      <c r="AC27" s="63">
        <f t="shared" si="19"/>
        <v>0.66380735043505601</v>
      </c>
      <c r="AD27" s="63">
        <f t="shared" si="47"/>
        <v>3.7947005034143807E-4</v>
      </c>
      <c r="AE27" s="63">
        <f t="shared" si="20"/>
        <v>5.0094760991515697E-4</v>
      </c>
      <c r="AF27" s="63">
        <f t="shared" si="21"/>
        <v>0.15835662390198466</v>
      </c>
      <c r="AG27" s="63">
        <f t="shared" si="22"/>
        <v>4.0608000000000005E-2</v>
      </c>
      <c r="AH27" s="63">
        <f t="shared" si="23"/>
        <v>0</v>
      </c>
      <c r="AI27" s="63">
        <f t="shared" si="48"/>
        <v>0.22378064516129031</v>
      </c>
      <c r="AJ27" s="63">
        <f t="shared" si="49"/>
        <v>0.42324621667319012</v>
      </c>
      <c r="AK27" s="63">
        <f t="shared" si="24"/>
        <v>1.4809739809644804</v>
      </c>
      <c r="AL27" s="63">
        <f t="shared" si="25"/>
        <v>1.8888098885431967E-3</v>
      </c>
      <c r="AM27" s="63">
        <f t="shared" si="26"/>
        <v>2.4943974906533029E-3</v>
      </c>
      <c r="AN27" s="63">
        <f t="shared" si="27"/>
        <v>2.9804743208397443E-2</v>
      </c>
      <c r="AO27" s="63">
        <f t="shared" si="28"/>
        <v>165.56534852264781</v>
      </c>
      <c r="AP27" s="63">
        <f t="shared" si="50"/>
        <v>2.9804743208397443E-2</v>
      </c>
      <c r="AQ27" s="61">
        <f t="shared" si="29"/>
        <v>0.46248</v>
      </c>
      <c r="AR27" s="61">
        <f t="shared" si="30"/>
        <v>50128320000</v>
      </c>
      <c r="AS27" s="61">
        <f t="shared" si="51"/>
        <v>0.46248</v>
      </c>
      <c r="AT27" s="61">
        <f t="shared" si="52"/>
        <v>0.23869935483870966</v>
      </c>
      <c r="AU27" s="63">
        <f t="shared" si="53"/>
        <v>0.2709984955377604</v>
      </c>
      <c r="AV27" s="63">
        <f t="shared" si="31"/>
        <v>1.0535696523141564E-2</v>
      </c>
      <c r="AW27" s="63">
        <f t="shared" si="32"/>
        <v>2.9760000000000003E-3</v>
      </c>
      <c r="AX27" s="63">
        <f t="shared" si="33"/>
        <v>4.1360000000000001E-2</v>
      </c>
      <c r="AY27" s="63">
        <f t="shared" si="34"/>
        <v>4.4336E-2</v>
      </c>
      <c r="AZ27" s="63">
        <f t="shared" si="35"/>
        <v>1.8399096758548394</v>
      </c>
      <c r="BA27" s="64">
        <f t="shared" si="36"/>
        <v>6</v>
      </c>
      <c r="BB27" s="76">
        <f t="shared" si="54"/>
        <v>0.76531493959409413</v>
      </c>
      <c r="BC27" s="64">
        <f t="shared" si="55"/>
        <v>76.531493959409417</v>
      </c>
      <c r="BD27" s="63">
        <f t="shared" si="37"/>
        <v>1.0136415173093476</v>
      </c>
      <c r="BE27" s="63">
        <f t="shared" si="56"/>
        <v>0.69424471221095052</v>
      </c>
      <c r="BF27" s="63">
        <f t="shared" si="38"/>
        <v>0.42324621667319012</v>
      </c>
      <c r="BG27" s="63">
        <f t="shared" si="39"/>
        <v>0.2709984955377604</v>
      </c>
      <c r="BH27" s="63">
        <f t="shared" si="40"/>
        <v>1.0535696523141564E-2</v>
      </c>
      <c r="BI27" s="63">
        <f t="shared" si="57"/>
        <v>4.4336E-2</v>
      </c>
      <c r="BJ27" s="63">
        <f t="shared" si="58"/>
        <v>3.6692365432189225E-4</v>
      </c>
      <c r="BK27" s="63">
        <f t="shared" si="59"/>
        <v>7.6784826157078087E-2</v>
      </c>
      <c r="BL27" s="63">
        <f t="shared" si="60"/>
        <v>1.8399096758548394</v>
      </c>
      <c r="BQ27" s="77"/>
      <c r="BR27" s="78"/>
    </row>
    <row r="28" spans="3:71" x14ac:dyDescent="0.25">
      <c r="C28" s="61">
        <v>16</v>
      </c>
      <c r="D28" s="61">
        <f t="shared" si="0"/>
        <v>105</v>
      </c>
      <c r="E28" s="61">
        <f t="shared" si="1"/>
        <v>105</v>
      </c>
      <c r="F28" s="61">
        <f t="shared" si="2"/>
        <v>105</v>
      </c>
      <c r="G28" s="73">
        <f t="shared" si="3"/>
        <v>24</v>
      </c>
      <c r="H28" s="64">
        <f t="shared" si="4"/>
        <v>1</v>
      </c>
      <c r="I28" s="63">
        <f t="shared" si="41"/>
        <v>1.6</v>
      </c>
      <c r="J28" s="65">
        <f t="shared" si="5"/>
        <v>8.6117892021752077E-4</v>
      </c>
      <c r="K28" s="65">
        <f t="shared" si="6"/>
        <v>8.6117892021752077E-4</v>
      </c>
      <c r="L28" s="65">
        <f t="shared" si="7"/>
        <v>5.1791610661465239E-3</v>
      </c>
      <c r="M28" s="65">
        <f t="shared" si="8"/>
        <v>4.0000000000000001E-3</v>
      </c>
      <c r="N28" s="63">
        <f t="shared" si="9"/>
        <v>0.16733602266575762</v>
      </c>
      <c r="O28" s="64">
        <f t="shared" si="10"/>
        <v>2.1469499340553519</v>
      </c>
      <c r="P28" s="64">
        <f t="shared" si="11"/>
        <v>2.6734749670276763</v>
      </c>
      <c r="Q28" s="64">
        <f t="shared" si="12"/>
        <v>0.52652503297232411</v>
      </c>
      <c r="R28" s="64">
        <f t="shared" si="13"/>
        <v>0</v>
      </c>
      <c r="S28" s="64">
        <f t="shared" si="14"/>
        <v>1.7158426991651528</v>
      </c>
      <c r="T28" s="63">
        <f t="shared" si="42"/>
        <v>1.5248051832959754E-2</v>
      </c>
      <c r="U28" s="63">
        <f t="shared" si="15"/>
        <v>1</v>
      </c>
      <c r="V28" s="63">
        <f t="shared" si="43"/>
        <v>1.0152480518329599</v>
      </c>
      <c r="W28" s="64">
        <f t="shared" si="44"/>
        <v>0.6197710611817534</v>
      </c>
      <c r="X28" s="63">
        <f t="shared" si="16"/>
        <v>7.6823233655671341E-2</v>
      </c>
      <c r="Y28" s="63">
        <f t="shared" si="45"/>
        <v>7.6823233655671341E-2</v>
      </c>
      <c r="Z28" s="64">
        <f t="shared" si="17"/>
        <v>0.64048222367514229</v>
      </c>
      <c r="AA28" s="74">
        <f t="shared" si="18"/>
        <v>4.1021747884385502E-4</v>
      </c>
      <c r="AB28" s="75">
        <f t="shared" si="46"/>
        <v>4.1021747884385502E-4</v>
      </c>
      <c r="AC28" s="63">
        <f t="shared" si="19"/>
        <v>0.70189507040985166</v>
      </c>
      <c r="AD28" s="63">
        <f t="shared" si="47"/>
        <v>4.2426555621643901E-4</v>
      </c>
      <c r="AE28" s="63">
        <f t="shared" si="20"/>
        <v>5.6008946561952769E-4</v>
      </c>
      <c r="AF28" s="63">
        <f t="shared" si="21"/>
        <v>0.16685654856722026</v>
      </c>
      <c r="AG28" s="63">
        <f t="shared" si="22"/>
        <v>4.0608000000000005E-2</v>
      </c>
      <c r="AH28" s="63">
        <f t="shared" si="23"/>
        <v>0</v>
      </c>
      <c r="AI28" s="63">
        <f t="shared" si="48"/>
        <v>0.22378064516129031</v>
      </c>
      <c r="AJ28" s="63">
        <f t="shared" si="49"/>
        <v>0.43180528319413014</v>
      </c>
      <c r="AK28" s="63">
        <f t="shared" si="24"/>
        <v>1.5657137281165756</v>
      </c>
      <c r="AL28" s="63">
        <f t="shared" si="25"/>
        <v>2.1111452265764608E-3</v>
      </c>
      <c r="AM28" s="63">
        <f t="shared" si="26"/>
        <v>2.7881714853416227E-3</v>
      </c>
      <c r="AN28" s="63">
        <f t="shared" si="27"/>
        <v>3.2059734123975947E-2</v>
      </c>
      <c r="AO28" s="63">
        <f t="shared" si="28"/>
        <v>178.09182305868637</v>
      </c>
      <c r="AP28" s="63">
        <f t="shared" si="50"/>
        <v>3.2059734123975947E-2</v>
      </c>
      <c r="AQ28" s="61">
        <f t="shared" si="29"/>
        <v>0.46248</v>
      </c>
      <c r="AR28" s="61">
        <f t="shared" si="30"/>
        <v>50128320000</v>
      </c>
      <c r="AS28" s="61">
        <f t="shared" si="51"/>
        <v>0.46248</v>
      </c>
      <c r="AT28" s="61">
        <f t="shared" si="52"/>
        <v>0.23869935483870966</v>
      </c>
      <c r="AU28" s="63">
        <f t="shared" si="53"/>
        <v>0.27354726044802724</v>
      </c>
      <c r="AV28" s="63">
        <f t="shared" si="31"/>
        <v>1.1776464673113426E-2</v>
      </c>
      <c r="AW28" s="63">
        <f t="shared" si="32"/>
        <v>2.9760000000000003E-3</v>
      </c>
      <c r="AX28" s="63">
        <f t="shared" si="33"/>
        <v>4.1360000000000001E-2</v>
      </c>
      <c r="AY28" s="63">
        <f t="shared" si="34"/>
        <v>4.4336E-2</v>
      </c>
      <c r="AZ28" s="63">
        <f t="shared" si="35"/>
        <v>1.8539465112827458</v>
      </c>
      <c r="BA28" s="64">
        <f t="shared" si="36"/>
        <v>6.4</v>
      </c>
      <c r="BB28" s="76">
        <f t="shared" si="54"/>
        <v>0.77538665791588413</v>
      </c>
      <c r="BC28" s="64">
        <f t="shared" si="55"/>
        <v>77.538665791588414</v>
      </c>
      <c r="BD28" s="63">
        <f t="shared" si="37"/>
        <v>1.0152480518329599</v>
      </c>
      <c r="BE28" s="63">
        <f t="shared" si="56"/>
        <v>0.70535254364215738</v>
      </c>
      <c r="BF28" s="63">
        <f t="shared" si="38"/>
        <v>0.43180528319413014</v>
      </c>
      <c r="BG28" s="63">
        <f t="shared" si="39"/>
        <v>0.27354726044802724</v>
      </c>
      <c r="BH28" s="63">
        <f t="shared" si="40"/>
        <v>1.1776464673113426E-2</v>
      </c>
      <c r="BI28" s="63">
        <f t="shared" si="57"/>
        <v>4.4336E-2</v>
      </c>
      <c r="BJ28" s="63">
        <f t="shared" si="58"/>
        <v>4.1021747884385502E-4</v>
      </c>
      <c r="BK28" s="63">
        <f t="shared" si="59"/>
        <v>7.6823233655671341E-2</v>
      </c>
      <c r="BL28" s="63">
        <f t="shared" si="60"/>
        <v>1.8539465112827458</v>
      </c>
    </row>
    <row r="29" spans="3:71" x14ac:dyDescent="0.25">
      <c r="C29" s="61">
        <v>17</v>
      </c>
      <c r="D29" s="61">
        <f t="shared" si="0"/>
        <v>105</v>
      </c>
      <c r="E29" s="61">
        <f t="shared" si="1"/>
        <v>105</v>
      </c>
      <c r="F29" s="61">
        <f t="shared" si="2"/>
        <v>105</v>
      </c>
      <c r="G29" s="73">
        <f t="shared" si="3"/>
        <v>24</v>
      </c>
      <c r="H29" s="64">
        <f t="shared" si="4"/>
        <v>1</v>
      </c>
      <c r="I29" s="63">
        <f t="shared" si="41"/>
        <v>1.7</v>
      </c>
      <c r="J29" s="65">
        <f t="shared" si="5"/>
        <v>8.6117892021752077E-4</v>
      </c>
      <c r="K29" s="65">
        <f t="shared" si="6"/>
        <v>8.6117892021752077E-4</v>
      </c>
      <c r="L29" s="65">
        <f t="shared" si="7"/>
        <v>5.1791610661465239E-3</v>
      </c>
      <c r="M29" s="65">
        <f t="shared" si="8"/>
        <v>4.0000000000000001E-3</v>
      </c>
      <c r="N29" s="63">
        <f t="shared" si="9"/>
        <v>0.16737785741570077</v>
      </c>
      <c r="O29" s="64">
        <f t="shared" si="10"/>
        <v>2.1474866810880644</v>
      </c>
      <c r="P29" s="64">
        <f t="shared" si="11"/>
        <v>2.7737433405440322</v>
      </c>
      <c r="Q29" s="64">
        <f t="shared" si="12"/>
        <v>0.62625665945596776</v>
      </c>
      <c r="R29" s="64">
        <f t="shared" si="13"/>
        <v>0</v>
      </c>
      <c r="S29" s="64">
        <f t="shared" si="14"/>
        <v>1.8095049747893903</v>
      </c>
      <c r="T29" s="63">
        <f t="shared" si="42"/>
        <v>1.6958169826578703E-2</v>
      </c>
      <c r="U29" s="63">
        <f t="shared" si="15"/>
        <v>1</v>
      </c>
      <c r="V29" s="63">
        <f t="shared" si="43"/>
        <v>1.0169581698265786</v>
      </c>
      <c r="W29" s="64">
        <f t="shared" si="44"/>
        <v>0.61992600670366504</v>
      </c>
      <c r="X29" s="63">
        <f t="shared" si="16"/>
        <v>7.6861650757510516E-2</v>
      </c>
      <c r="Y29" s="63">
        <f t="shared" si="45"/>
        <v>7.6861650757510516E-2</v>
      </c>
      <c r="Z29" s="64">
        <f t="shared" si="17"/>
        <v>0.67551152293760486</v>
      </c>
      <c r="AA29" s="74">
        <f t="shared" si="18"/>
        <v>4.5631581762148229E-4</v>
      </c>
      <c r="AB29" s="75">
        <f t="shared" si="46"/>
        <v>4.5631581762148229E-4</v>
      </c>
      <c r="AC29" s="63">
        <f t="shared" si="19"/>
        <v>0.74030176282209748</v>
      </c>
      <c r="AD29" s="63">
        <f t="shared" si="47"/>
        <v>4.7196626536707417E-4</v>
      </c>
      <c r="AE29" s="63">
        <f t="shared" si="20"/>
        <v>6.2306839896633941E-4</v>
      </c>
      <c r="AF29" s="63">
        <f t="shared" si="21"/>
        <v>0.17535647323245587</v>
      </c>
      <c r="AG29" s="63">
        <f t="shared" si="22"/>
        <v>4.0608000000000005E-2</v>
      </c>
      <c r="AH29" s="63">
        <f t="shared" si="23"/>
        <v>0</v>
      </c>
      <c r="AI29" s="63">
        <f t="shared" si="48"/>
        <v>0.22378064516129031</v>
      </c>
      <c r="AJ29" s="63">
        <f t="shared" si="49"/>
        <v>0.4403681867927125</v>
      </c>
      <c r="AK29" s="63">
        <f t="shared" si="24"/>
        <v>1.6511394713197451</v>
      </c>
      <c r="AL29" s="63">
        <f t="shared" si="25"/>
        <v>2.3477989810890064E-3</v>
      </c>
      <c r="AM29" s="63">
        <f t="shared" si="26"/>
        <v>3.1009001670201301E-3</v>
      </c>
      <c r="AN29" s="63">
        <f t="shared" si="27"/>
        <v>3.431472503955444E-2</v>
      </c>
      <c r="AO29" s="63">
        <f t="shared" si="28"/>
        <v>190.61829759472491</v>
      </c>
      <c r="AP29" s="63">
        <f t="shared" si="50"/>
        <v>3.431472503955444E-2</v>
      </c>
      <c r="AQ29" s="61">
        <f t="shared" si="29"/>
        <v>0.46248</v>
      </c>
      <c r="AR29" s="61">
        <f t="shared" si="30"/>
        <v>50128320000</v>
      </c>
      <c r="AS29" s="61">
        <f t="shared" si="51"/>
        <v>0.46248</v>
      </c>
      <c r="AT29" s="61">
        <f t="shared" si="52"/>
        <v>0.23869935483870966</v>
      </c>
      <c r="AU29" s="63">
        <f t="shared" si="53"/>
        <v>0.27611498004528423</v>
      </c>
      <c r="AV29" s="63">
        <f t="shared" si="31"/>
        <v>1.3097233015150209E-2</v>
      </c>
      <c r="AW29" s="63">
        <f t="shared" si="32"/>
        <v>2.9760000000000003E-3</v>
      </c>
      <c r="AX29" s="63">
        <f t="shared" si="33"/>
        <v>4.1360000000000001E-2</v>
      </c>
      <c r="AY29" s="63">
        <f t="shared" si="34"/>
        <v>4.4336E-2</v>
      </c>
      <c r="AZ29" s="63">
        <f t="shared" si="35"/>
        <v>1.8681925362548575</v>
      </c>
      <c r="BA29" s="64">
        <f t="shared" si="36"/>
        <v>6.8</v>
      </c>
      <c r="BB29" s="76">
        <f t="shared" si="54"/>
        <v>0.78447726807623264</v>
      </c>
      <c r="BC29" s="64">
        <f t="shared" si="55"/>
        <v>78.447726807623269</v>
      </c>
      <c r="BD29" s="63">
        <f t="shared" si="37"/>
        <v>1.0169581698265786</v>
      </c>
      <c r="BE29" s="63">
        <f t="shared" si="56"/>
        <v>0.71648316683799673</v>
      </c>
      <c r="BF29" s="63">
        <f t="shared" si="38"/>
        <v>0.4403681867927125</v>
      </c>
      <c r="BG29" s="63">
        <f t="shared" si="39"/>
        <v>0.27611498004528423</v>
      </c>
      <c r="BH29" s="63">
        <f t="shared" si="40"/>
        <v>1.3097233015150209E-2</v>
      </c>
      <c r="BI29" s="63">
        <f t="shared" si="57"/>
        <v>4.4336E-2</v>
      </c>
      <c r="BJ29" s="63">
        <f t="shared" si="58"/>
        <v>4.5631581762148229E-4</v>
      </c>
      <c r="BK29" s="63">
        <f t="shared" si="59"/>
        <v>7.6861650757510516E-2</v>
      </c>
      <c r="BL29" s="63">
        <f t="shared" si="60"/>
        <v>1.8681925362548575</v>
      </c>
    </row>
    <row r="30" spans="3:71" x14ac:dyDescent="0.25">
      <c r="C30" s="61">
        <v>18</v>
      </c>
      <c r="D30" s="61">
        <f t="shared" si="0"/>
        <v>105</v>
      </c>
      <c r="E30" s="61">
        <f t="shared" si="1"/>
        <v>105</v>
      </c>
      <c r="F30" s="61">
        <f t="shared" si="2"/>
        <v>105</v>
      </c>
      <c r="G30" s="73">
        <f t="shared" si="3"/>
        <v>24</v>
      </c>
      <c r="H30" s="64">
        <f t="shared" si="4"/>
        <v>1</v>
      </c>
      <c r="I30" s="63">
        <f t="shared" si="41"/>
        <v>1.8</v>
      </c>
      <c r="J30" s="65">
        <f t="shared" si="5"/>
        <v>8.6117892021752077E-4</v>
      </c>
      <c r="K30" s="65">
        <f t="shared" si="6"/>
        <v>8.6117892021752077E-4</v>
      </c>
      <c r="L30" s="65">
        <f t="shared" si="7"/>
        <v>5.1791610661465239E-3</v>
      </c>
      <c r="M30" s="65">
        <f t="shared" si="8"/>
        <v>4.0000000000000001E-3</v>
      </c>
      <c r="N30" s="63">
        <f t="shared" si="9"/>
        <v>0.16741969216564398</v>
      </c>
      <c r="O30" s="64">
        <f t="shared" si="10"/>
        <v>2.1480234281207768</v>
      </c>
      <c r="P30" s="64">
        <f t="shared" si="11"/>
        <v>2.8740117140603885</v>
      </c>
      <c r="Q30" s="64">
        <f t="shared" si="12"/>
        <v>0.72598828593961162</v>
      </c>
      <c r="R30" s="64">
        <f t="shared" si="13"/>
        <v>0</v>
      </c>
      <c r="S30" s="64">
        <f t="shared" si="14"/>
        <v>1.9038120672253809</v>
      </c>
      <c r="T30" s="63">
        <f t="shared" si="42"/>
        <v>1.877187129020437E-2</v>
      </c>
      <c r="U30" s="63">
        <f t="shared" si="15"/>
        <v>1</v>
      </c>
      <c r="V30" s="63">
        <f t="shared" si="43"/>
        <v>1.0187718712902043</v>
      </c>
      <c r="W30" s="64">
        <f t="shared" si="44"/>
        <v>0.62008095222557669</v>
      </c>
      <c r="X30" s="63">
        <f t="shared" si="16"/>
        <v>7.6900077462595584E-2</v>
      </c>
      <c r="Y30" s="63">
        <f t="shared" si="45"/>
        <v>7.6900077462595584E-2</v>
      </c>
      <c r="Z30" s="64">
        <f t="shared" si="17"/>
        <v>0.71078853192506197</v>
      </c>
      <c r="AA30" s="74">
        <f t="shared" si="18"/>
        <v>5.0522033711618492E-4</v>
      </c>
      <c r="AB30" s="75">
        <f t="shared" si="46"/>
        <v>5.0522033711618492E-4</v>
      </c>
      <c r="AC30" s="63">
        <f t="shared" si="19"/>
        <v>0.77898186057070429</v>
      </c>
      <c r="AD30" s="63">
        <f t="shared" si="47"/>
        <v>5.2257433943082073E-4</v>
      </c>
      <c r="AE30" s="63">
        <f t="shared" si="20"/>
        <v>6.8988753639453938E-4</v>
      </c>
      <c r="AF30" s="63">
        <f t="shared" si="21"/>
        <v>0.18385639789769148</v>
      </c>
      <c r="AG30" s="63">
        <f t="shared" si="22"/>
        <v>4.0608000000000005E-2</v>
      </c>
      <c r="AH30" s="63">
        <f t="shared" si="23"/>
        <v>0</v>
      </c>
      <c r="AI30" s="63">
        <f t="shared" si="48"/>
        <v>0.22378064516129031</v>
      </c>
      <c r="AJ30" s="63">
        <f t="shared" si="49"/>
        <v>0.44893493059537637</v>
      </c>
      <c r="AK30" s="63">
        <f t="shared" si="24"/>
        <v>1.7371492878318726</v>
      </c>
      <c r="AL30" s="63">
        <f t="shared" si="25"/>
        <v>2.5987689904433558E-3</v>
      </c>
      <c r="AM30" s="63">
        <f t="shared" si="26"/>
        <v>3.4325873517737902E-3</v>
      </c>
      <c r="AN30" s="63">
        <f t="shared" si="27"/>
        <v>3.6569715955132948E-2</v>
      </c>
      <c r="AO30" s="63">
        <f t="shared" si="28"/>
        <v>203.1447721307635</v>
      </c>
      <c r="AP30" s="63">
        <f t="shared" si="50"/>
        <v>3.6569715955132948E-2</v>
      </c>
      <c r="AQ30" s="61">
        <f t="shared" si="29"/>
        <v>0.46248</v>
      </c>
      <c r="AR30" s="61">
        <f t="shared" si="30"/>
        <v>50128320000</v>
      </c>
      <c r="AS30" s="61">
        <f t="shared" si="51"/>
        <v>0.46248</v>
      </c>
      <c r="AT30" s="61">
        <f t="shared" si="52"/>
        <v>0.23869935483870966</v>
      </c>
      <c r="AU30" s="63">
        <f t="shared" si="53"/>
        <v>0.27870165814561643</v>
      </c>
      <c r="AV30" s="63">
        <f t="shared" si="31"/>
        <v>1.4498001549251913E-2</v>
      </c>
      <c r="AW30" s="63">
        <f t="shared" si="32"/>
        <v>2.9760000000000003E-3</v>
      </c>
      <c r="AX30" s="63">
        <f t="shared" si="33"/>
        <v>4.1360000000000001E-2</v>
      </c>
      <c r="AY30" s="63">
        <f t="shared" si="34"/>
        <v>4.4336E-2</v>
      </c>
      <c r="AZ30" s="63">
        <f t="shared" si="35"/>
        <v>1.8826477593801609</v>
      </c>
      <c r="BA30" s="64">
        <f t="shared" si="36"/>
        <v>7.2</v>
      </c>
      <c r="BB30" s="76">
        <f t="shared" si="54"/>
        <v>0.79272038184725979</v>
      </c>
      <c r="BC30" s="64">
        <f t="shared" si="55"/>
        <v>79.272038184725986</v>
      </c>
      <c r="BD30" s="63">
        <f t="shared" si="37"/>
        <v>1.0187718712902043</v>
      </c>
      <c r="BE30" s="63">
        <f t="shared" si="56"/>
        <v>0.7276365887409928</v>
      </c>
      <c r="BF30" s="63">
        <f t="shared" si="38"/>
        <v>0.44893493059537637</v>
      </c>
      <c r="BG30" s="63">
        <f t="shared" si="39"/>
        <v>0.27870165814561643</v>
      </c>
      <c r="BH30" s="63">
        <f t="shared" si="40"/>
        <v>1.4498001549251913E-2</v>
      </c>
      <c r="BI30" s="63">
        <f t="shared" si="57"/>
        <v>4.4336E-2</v>
      </c>
      <c r="BJ30" s="63">
        <f t="shared" si="58"/>
        <v>5.0522033711618492E-4</v>
      </c>
      <c r="BK30" s="63">
        <f t="shared" si="59"/>
        <v>7.6900077462595584E-2</v>
      </c>
      <c r="BL30" s="63">
        <f t="shared" si="60"/>
        <v>1.8826477593801609</v>
      </c>
    </row>
    <row r="31" spans="3:71" x14ac:dyDescent="0.25">
      <c r="C31" s="61">
        <v>19</v>
      </c>
      <c r="D31" s="61">
        <f t="shared" si="0"/>
        <v>105</v>
      </c>
      <c r="E31" s="61">
        <f t="shared" si="1"/>
        <v>105</v>
      </c>
      <c r="F31" s="61">
        <f t="shared" si="2"/>
        <v>105</v>
      </c>
      <c r="G31" s="73">
        <f t="shared" si="3"/>
        <v>24</v>
      </c>
      <c r="H31" s="64">
        <f t="shared" si="4"/>
        <v>1</v>
      </c>
      <c r="I31" s="63">
        <f t="shared" si="41"/>
        <v>1.9</v>
      </c>
      <c r="J31" s="65">
        <f t="shared" si="5"/>
        <v>8.6117892021752077E-4</v>
      </c>
      <c r="K31" s="65">
        <f t="shared" si="6"/>
        <v>8.6117892021752077E-4</v>
      </c>
      <c r="L31" s="65">
        <f t="shared" si="7"/>
        <v>5.1791610661465239E-3</v>
      </c>
      <c r="M31" s="65">
        <f t="shared" si="8"/>
        <v>4.0000000000000001E-3</v>
      </c>
      <c r="N31" s="63">
        <f t="shared" si="9"/>
        <v>0.16746152691558716</v>
      </c>
      <c r="O31" s="64">
        <f t="shared" si="10"/>
        <v>2.1485601751534893</v>
      </c>
      <c r="P31" s="64">
        <f t="shared" si="11"/>
        <v>2.9742800875767443</v>
      </c>
      <c r="Q31" s="64">
        <f t="shared" si="12"/>
        <v>0.82571991242325526</v>
      </c>
      <c r="R31" s="64">
        <f t="shared" si="13"/>
        <v>0</v>
      </c>
      <c r="S31" s="64">
        <f t="shared" si="14"/>
        <v>1.9986727017835193</v>
      </c>
      <c r="T31" s="63">
        <f t="shared" si="42"/>
        <v>2.0689156223836755E-2</v>
      </c>
      <c r="U31" s="63">
        <f t="shared" si="15"/>
        <v>1</v>
      </c>
      <c r="V31" s="63">
        <f t="shared" si="43"/>
        <v>1.0206891562238367</v>
      </c>
      <c r="W31" s="64">
        <f t="shared" si="44"/>
        <v>0.62023589774748833</v>
      </c>
      <c r="X31" s="63">
        <f t="shared" si="16"/>
        <v>7.6938513770926573E-2</v>
      </c>
      <c r="Y31" s="63">
        <f t="shared" si="45"/>
        <v>7.6938513770926573E-2</v>
      </c>
      <c r="Z31" s="64">
        <f t="shared" si="17"/>
        <v>0.74627923954062736</v>
      </c>
      <c r="AA31" s="74">
        <f t="shared" si="18"/>
        <v>5.5693270336933706E-4</v>
      </c>
      <c r="AB31" s="75">
        <f t="shared" si="46"/>
        <v>5.5693270336933706E-4</v>
      </c>
      <c r="AC31" s="63">
        <f t="shared" si="19"/>
        <v>0.81789810926468465</v>
      </c>
      <c r="AD31" s="63">
        <f t="shared" si="47"/>
        <v>5.7609194004515493E-4</v>
      </c>
      <c r="AE31" s="63">
        <f t="shared" si="20"/>
        <v>7.6055002125044089E-4</v>
      </c>
      <c r="AF31" s="63">
        <f t="shared" si="21"/>
        <v>0.19235632256292709</v>
      </c>
      <c r="AG31" s="63">
        <f t="shared" si="22"/>
        <v>4.0608000000000005E-2</v>
      </c>
      <c r="AH31" s="63">
        <f t="shared" si="23"/>
        <v>0</v>
      </c>
      <c r="AI31" s="63">
        <f t="shared" si="48"/>
        <v>0.22378064516129031</v>
      </c>
      <c r="AJ31" s="63">
        <f t="shared" si="49"/>
        <v>0.45750551774546788</v>
      </c>
      <c r="AK31" s="63">
        <f t="shared" si="24"/>
        <v>1.8236598508811579</v>
      </c>
      <c r="AL31" s="63">
        <f t="shared" si="25"/>
        <v>2.8640530930020324E-3</v>
      </c>
      <c r="AM31" s="63">
        <f t="shared" si="26"/>
        <v>3.7832372600719974E-3</v>
      </c>
      <c r="AN31" s="63">
        <f t="shared" si="27"/>
        <v>3.8824706870711441E-2</v>
      </c>
      <c r="AO31" s="63">
        <f t="shared" si="28"/>
        <v>215.67124666680203</v>
      </c>
      <c r="AP31" s="63">
        <f t="shared" si="50"/>
        <v>3.8824706870711441E-2</v>
      </c>
      <c r="AQ31" s="61">
        <f t="shared" si="29"/>
        <v>0.46248</v>
      </c>
      <c r="AR31" s="61">
        <f t="shared" si="30"/>
        <v>50128320000</v>
      </c>
      <c r="AS31" s="61">
        <f t="shared" si="51"/>
        <v>0.46248</v>
      </c>
      <c r="AT31" s="61">
        <f t="shared" si="52"/>
        <v>0.23869935483870966</v>
      </c>
      <c r="AU31" s="63">
        <f t="shared" si="53"/>
        <v>0.28130729896949308</v>
      </c>
      <c r="AV31" s="63">
        <f t="shared" si="31"/>
        <v>1.5978770275418532E-2</v>
      </c>
      <c r="AW31" s="63">
        <f t="shared" si="32"/>
        <v>2.9760000000000003E-3</v>
      </c>
      <c r="AX31" s="63">
        <f t="shared" si="33"/>
        <v>4.1360000000000001E-2</v>
      </c>
      <c r="AY31" s="63">
        <f t="shared" si="34"/>
        <v>4.4336E-2</v>
      </c>
      <c r="AZ31" s="63">
        <f t="shared" si="35"/>
        <v>1.8973121896885123</v>
      </c>
      <c r="BA31" s="64">
        <f t="shared" si="36"/>
        <v>7.6</v>
      </c>
      <c r="BB31" s="76">
        <f t="shared" si="54"/>
        <v>0.80022640597742223</v>
      </c>
      <c r="BC31" s="64">
        <f t="shared" si="55"/>
        <v>80.022640597742225</v>
      </c>
      <c r="BD31" s="63">
        <f t="shared" si="37"/>
        <v>1.0206891562238367</v>
      </c>
      <c r="BE31" s="63">
        <f t="shared" si="56"/>
        <v>0.73881281671496102</v>
      </c>
      <c r="BF31" s="63">
        <f t="shared" si="38"/>
        <v>0.45750551774546788</v>
      </c>
      <c r="BG31" s="63">
        <f t="shared" si="39"/>
        <v>0.28130729896949308</v>
      </c>
      <c r="BH31" s="63">
        <f t="shared" si="40"/>
        <v>1.5978770275418532E-2</v>
      </c>
      <c r="BI31" s="63">
        <f t="shared" si="57"/>
        <v>4.4336E-2</v>
      </c>
      <c r="BJ31" s="63">
        <f t="shared" si="58"/>
        <v>5.5693270336933706E-4</v>
      </c>
      <c r="BK31" s="63">
        <f t="shared" si="59"/>
        <v>7.6938513770926573E-2</v>
      </c>
      <c r="BL31" s="63">
        <f t="shared" si="60"/>
        <v>1.8973121896885123</v>
      </c>
    </row>
    <row r="32" spans="3:71" x14ac:dyDescent="0.25">
      <c r="C32" s="61">
        <v>20</v>
      </c>
      <c r="D32" s="61">
        <f t="shared" si="0"/>
        <v>105</v>
      </c>
      <c r="E32" s="61">
        <f t="shared" si="1"/>
        <v>105</v>
      </c>
      <c r="F32" s="61">
        <f t="shared" si="2"/>
        <v>105</v>
      </c>
      <c r="G32" s="73">
        <f t="shared" si="3"/>
        <v>24</v>
      </c>
      <c r="H32" s="64">
        <f t="shared" si="4"/>
        <v>1</v>
      </c>
      <c r="I32" s="63">
        <f t="shared" si="41"/>
        <v>2</v>
      </c>
      <c r="J32" s="65">
        <f t="shared" si="5"/>
        <v>8.6117892021752077E-4</v>
      </c>
      <c r="K32" s="65">
        <f t="shared" si="6"/>
        <v>8.6117892021752077E-4</v>
      </c>
      <c r="L32" s="65">
        <f t="shared" si="7"/>
        <v>5.1791610661465239E-3</v>
      </c>
      <c r="M32" s="65">
        <f t="shared" si="8"/>
        <v>4.0000000000000001E-3</v>
      </c>
      <c r="N32" s="63">
        <f t="shared" si="9"/>
        <v>0.16750336166553034</v>
      </c>
      <c r="O32" s="64">
        <f t="shared" si="10"/>
        <v>2.1490969221862017</v>
      </c>
      <c r="P32" s="64">
        <f t="shared" si="11"/>
        <v>3.0745484610931006</v>
      </c>
      <c r="Q32" s="64">
        <f t="shared" si="12"/>
        <v>0.92545153890689913</v>
      </c>
      <c r="R32" s="64">
        <f t="shared" si="13"/>
        <v>0</v>
      </c>
      <c r="S32" s="64">
        <f t="shared" si="14"/>
        <v>2.0940116519285459</v>
      </c>
      <c r="T32" s="63">
        <f t="shared" si="42"/>
        <v>2.2710024627475862E-2</v>
      </c>
      <c r="U32" s="63">
        <f t="shared" si="15"/>
        <v>1</v>
      </c>
      <c r="V32" s="63">
        <f t="shared" si="43"/>
        <v>1.0227100246274758</v>
      </c>
      <c r="W32" s="64">
        <f t="shared" si="44"/>
        <v>0.62039084326939997</v>
      </c>
      <c r="X32" s="63">
        <f t="shared" si="16"/>
        <v>7.6976959682503454E-2</v>
      </c>
      <c r="Y32" s="63">
        <f t="shared" si="45"/>
        <v>7.6976959682503454E-2</v>
      </c>
      <c r="Z32" s="64">
        <f t="shared" si="17"/>
        <v>0.78195561383129475</v>
      </c>
      <c r="AA32" s="74">
        <f t="shared" si="18"/>
        <v>6.1145458200227698E-4</v>
      </c>
      <c r="AB32" s="75">
        <f t="shared" si="46"/>
        <v>6.1145458200227698E-4</v>
      </c>
      <c r="AC32" s="63">
        <f t="shared" si="19"/>
        <v>0.85701980388447152</v>
      </c>
      <c r="AD32" s="63">
        <f t="shared" si="47"/>
        <v>6.3252122884755379E-4</v>
      </c>
      <c r="AE32" s="63">
        <f t="shared" si="20"/>
        <v>8.3505901383206123E-4</v>
      </c>
      <c r="AF32" s="63">
        <f t="shared" si="21"/>
        <v>0.20085624722816267</v>
      </c>
      <c r="AG32" s="63">
        <f t="shared" si="22"/>
        <v>4.0608000000000005E-2</v>
      </c>
      <c r="AH32" s="63">
        <f t="shared" si="23"/>
        <v>0</v>
      </c>
      <c r="AI32" s="63">
        <f t="shared" si="48"/>
        <v>0.22378064516129031</v>
      </c>
      <c r="AJ32" s="63">
        <f t="shared" si="49"/>
        <v>0.46607995140328506</v>
      </c>
      <c r="AK32" s="63">
        <f t="shared" si="24"/>
        <v>1.9106024846006924</v>
      </c>
      <c r="AL32" s="63">
        <f t="shared" si="25"/>
        <v>3.143649127127559E-3</v>
      </c>
      <c r="AM32" s="63">
        <f t="shared" si="26"/>
        <v>4.1528545169427422E-3</v>
      </c>
      <c r="AN32" s="63">
        <f t="shared" si="27"/>
        <v>4.1079697786289941E-2</v>
      </c>
      <c r="AO32" s="63">
        <f t="shared" si="28"/>
        <v>228.19772120284063</v>
      </c>
      <c r="AP32" s="63">
        <f t="shared" si="50"/>
        <v>4.1079697786289941E-2</v>
      </c>
      <c r="AQ32" s="61">
        <f t="shared" si="29"/>
        <v>0.46248</v>
      </c>
      <c r="AR32" s="61">
        <f t="shared" si="30"/>
        <v>50128320000</v>
      </c>
      <c r="AS32" s="61">
        <f t="shared" si="51"/>
        <v>0.46248</v>
      </c>
      <c r="AT32" s="61">
        <f t="shared" si="52"/>
        <v>0.23869935483870966</v>
      </c>
      <c r="AU32" s="63">
        <f t="shared" si="53"/>
        <v>0.28393190714194233</v>
      </c>
      <c r="AV32" s="63">
        <f t="shared" si="31"/>
        <v>1.7539539193650071E-2</v>
      </c>
      <c r="AW32" s="63">
        <f t="shared" si="32"/>
        <v>2.9760000000000003E-3</v>
      </c>
      <c r="AX32" s="63">
        <f t="shared" si="33"/>
        <v>4.1360000000000001E-2</v>
      </c>
      <c r="AY32" s="63">
        <f t="shared" si="34"/>
        <v>4.4336E-2</v>
      </c>
      <c r="AZ32" s="63">
        <f t="shared" si="35"/>
        <v>1.9121858366308591</v>
      </c>
      <c r="BA32" s="64">
        <f t="shared" si="36"/>
        <v>8</v>
      </c>
      <c r="BB32" s="76">
        <f t="shared" si="54"/>
        <v>0.80708737021815069</v>
      </c>
      <c r="BC32" s="64">
        <f t="shared" si="55"/>
        <v>80.708737021815068</v>
      </c>
      <c r="BD32" s="63">
        <f t="shared" si="37"/>
        <v>1.0227100246274758</v>
      </c>
      <c r="BE32" s="63">
        <f t="shared" si="56"/>
        <v>0.75001185854522734</v>
      </c>
      <c r="BF32" s="63">
        <f t="shared" si="38"/>
        <v>0.46607995140328506</v>
      </c>
      <c r="BG32" s="63">
        <f t="shared" si="39"/>
        <v>0.28393190714194233</v>
      </c>
      <c r="BH32" s="63">
        <f t="shared" si="40"/>
        <v>1.7539539193650071E-2</v>
      </c>
      <c r="BI32" s="63">
        <f t="shared" si="57"/>
        <v>4.4336E-2</v>
      </c>
      <c r="BJ32" s="63">
        <f t="shared" si="58"/>
        <v>6.1145458200227698E-4</v>
      </c>
      <c r="BK32" s="63">
        <f t="shared" si="59"/>
        <v>7.6976959682503454E-2</v>
      </c>
      <c r="BL32" s="63">
        <f t="shared" si="60"/>
        <v>1.9121858366308588</v>
      </c>
    </row>
    <row r="33" spans="3:64" x14ac:dyDescent="0.25">
      <c r="C33" s="61">
        <v>21</v>
      </c>
      <c r="D33" s="61">
        <f t="shared" si="0"/>
        <v>105</v>
      </c>
      <c r="E33" s="61">
        <f t="shared" si="1"/>
        <v>105</v>
      </c>
      <c r="F33" s="61">
        <f t="shared" si="2"/>
        <v>105</v>
      </c>
      <c r="G33" s="73">
        <f t="shared" si="3"/>
        <v>24</v>
      </c>
      <c r="H33" s="64">
        <f t="shared" si="4"/>
        <v>1</v>
      </c>
      <c r="I33" s="63">
        <f t="shared" si="41"/>
        <v>2.1</v>
      </c>
      <c r="J33" s="65">
        <f t="shared" si="5"/>
        <v>8.6117892021752077E-4</v>
      </c>
      <c r="K33" s="65">
        <f t="shared" si="6"/>
        <v>8.6117892021752077E-4</v>
      </c>
      <c r="L33" s="65">
        <f t="shared" si="7"/>
        <v>5.1791610661465239E-3</v>
      </c>
      <c r="M33" s="65">
        <f t="shared" si="8"/>
        <v>4.0000000000000001E-3</v>
      </c>
      <c r="N33" s="63">
        <f t="shared" si="9"/>
        <v>0.16754519641547352</v>
      </c>
      <c r="O33" s="64">
        <f t="shared" si="10"/>
        <v>2.1496336692189137</v>
      </c>
      <c r="P33" s="64">
        <f t="shared" si="11"/>
        <v>3.174816834609457</v>
      </c>
      <c r="Q33" s="64">
        <f t="shared" si="12"/>
        <v>1.0251831653905432</v>
      </c>
      <c r="R33" s="64">
        <f t="shared" si="13"/>
        <v>0</v>
      </c>
      <c r="S33" s="64">
        <f t="shared" si="14"/>
        <v>2.1897664432506567</v>
      </c>
      <c r="T33" s="63">
        <f t="shared" si="42"/>
        <v>2.4834476501121677E-2</v>
      </c>
      <c r="U33" s="63">
        <f t="shared" si="15"/>
        <v>1</v>
      </c>
      <c r="V33" s="63">
        <f t="shared" si="43"/>
        <v>1.0248344765011217</v>
      </c>
      <c r="W33" s="64">
        <f t="shared" si="44"/>
        <v>0.62054578879131139</v>
      </c>
      <c r="X33" s="63">
        <f t="shared" si="16"/>
        <v>7.7015415197326173E-2</v>
      </c>
      <c r="Y33" s="63">
        <f t="shared" si="45"/>
        <v>7.7015415197326173E-2</v>
      </c>
      <c r="Z33" s="64">
        <f t="shared" si="17"/>
        <v>0.81779437404295385</v>
      </c>
      <c r="AA33" s="74">
        <f t="shared" si="18"/>
        <v>6.6878763821630674E-4</v>
      </c>
      <c r="AB33" s="75">
        <f t="shared" si="46"/>
        <v>6.6878763821630674E-4</v>
      </c>
      <c r="AC33" s="63">
        <f t="shared" si="19"/>
        <v>0.89632144374856648</v>
      </c>
      <c r="AD33" s="63">
        <f t="shared" si="47"/>
        <v>6.9186436747549387E-4</v>
      </c>
      <c r="AE33" s="63">
        <f t="shared" si="20"/>
        <v>9.1341769143367651E-4</v>
      </c>
      <c r="AF33" s="63">
        <f t="shared" si="21"/>
        <v>0.20935617189339834</v>
      </c>
      <c r="AG33" s="63">
        <f t="shared" si="22"/>
        <v>4.0608000000000005E-2</v>
      </c>
      <c r="AH33" s="63">
        <f t="shared" si="23"/>
        <v>0</v>
      </c>
      <c r="AI33" s="63">
        <f t="shared" si="48"/>
        <v>0.22378064516129031</v>
      </c>
      <c r="AJ33" s="63">
        <f t="shared" si="49"/>
        <v>0.47465823474612234</v>
      </c>
      <c r="AK33" s="63">
        <f t="shared" si="24"/>
        <v>1.9979201549268972</v>
      </c>
      <c r="AL33" s="63">
        <f t="shared" si="25"/>
        <v>3.4375549311824604E-3</v>
      </c>
      <c r="AM33" s="63">
        <f t="shared" si="26"/>
        <v>4.5414441521683625E-3</v>
      </c>
      <c r="AN33" s="63">
        <f t="shared" si="27"/>
        <v>4.3334688701868455E-2</v>
      </c>
      <c r="AO33" s="63">
        <f t="shared" si="28"/>
        <v>240.72419573887925</v>
      </c>
      <c r="AP33" s="63">
        <f t="shared" si="50"/>
        <v>4.3334688701868455E-2</v>
      </c>
      <c r="AQ33" s="61">
        <f t="shared" si="29"/>
        <v>0.46248</v>
      </c>
      <c r="AR33" s="61">
        <f t="shared" si="30"/>
        <v>50128320000</v>
      </c>
      <c r="AS33" s="61">
        <f t="shared" si="51"/>
        <v>0.46248</v>
      </c>
      <c r="AT33" s="61">
        <f t="shared" si="52"/>
        <v>0.23869935483870966</v>
      </c>
      <c r="AU33" s="63">
        <f t="shared" si="53"/>
        <v>0.28657548769274649</v>
      </c>
      <c r="AV33" s="63">
        <f t="shared" si="31"/>
        <v>1.9180308303946524E-2</v>
      </c>
      <c r="AW33" s="63">
        <f t="shared" si="32"/>
        <v>2.9760000000000003E-3</v>
      </c>
      <c r="AX33" s="63">
        <f t="shared" si="33"/>
        <v>4.1360000000000001E-2</v>
      </c>
      <c r="AY33" s="63">
        <f t="shared" si="34"/>
        <v>4.4336E-2</v>
      </c>
      <c r="AZ33" s="63">
        <f t="shared" si="35"/>
        <v>1.9272687100794794</v>
      </c>
      <c r="BA33" s="64">
        <f t="shared" si="36"/>
        <v>8.4</v>
      </c>
      <c r="BB33" s="76">
        <f t="shared" si="54"/>
        <v>0.81338059808606966</v>
      </c>
      <c r="BC33" s="64">
        <f t="shared" si="55"/>
        <v>81.338059808606971</v>
      </c>
      <c r="BD33" s="63">
        <f t="shared" si="37"/>
        <v>1.0248344765011217</v>
      </c>
      <c r="BE33" s="63">
        <f t="shared" si="56"/>
        <v>0.76123372243886878</v>
      </c>
      <c r="BF33" s="63">
        <f t="shared" si="38"/>
        <v>0.47465823474612234</v>
      </c>
      <c r="BG33" s="63">
        <f t="shared" si="39"/>
        <v>0.28657548769274649</v>
      </c>
      <c r="BH33" s="63">
        <f t="shared" si="40"/>
        <v>1.9180308303946524E-2</v>
      </c>
      <c r="BI33" s="63">
        <f t="shared" si="57"/>
        <v>4.4336E-2</v>
      </c>
      <c r="BJ33" s="63">
        <f t="shared" si="58"/>
        <v>6.6878763821630674E-4</v>
      </c>
      <c r="BK33" s="63">
        <f t="shared" si="59"/>
        <v>7.7015415197326173E-2</v>
      </c>
      <c r="BL33" s="63">
        <f t="shared" si="60"/>
        <v>1.9272687100794794</v>
      </c>
    </row>
    <row r="34" spans="3:64" x14ac:dyDescent="0.25">
      <c r="C34" s="61">
        <v>22</v>
      </c>
      <c r="D34" s="61">
        <f t="shared" si="0"/>
        <v>105</v>
      </c>
      <c r="E34" s="61">
        <f t="shared" si="1"/>
        <v>105</v>
      </c>
      <c r="F34" s="61">
        <f t="shared" si="2"/>
        <v>105</v>
      </c>
      <c r="G34" s="73">
        <f t="shared" si="3"/>
        <v>24</v>
      </c>
      <c r="H34" s="64">
        <f t="shared" si="4"/>
        <v>1</v>
      </c>
      <c r="I34" s="63">
        <f t="shared" si="41"/>
        <v>2.2000000000000002</v>
      </c>
      <c r="J34" s="65">
        <f t="shared" si="5"/>
        <v>8.6117892021752077E-4</v>
      </c>
      <c r="K34" s="65">
        <f t="shared" si="6"/>
        <v>8.6117892021752077E-4</v>
      </c>
      <c r="L34" s="65">
        <f t="shared" si="7"/>
        <v>5.1791610661465239E-3</v>
      </c>
      <c r="M34" s="65">
        <f t="shared" si="8"/>
        <v>4.0000000000000001E-3</v>
      </c>
      <c r="N34" s="63">
        <f t="shared" si="9"/>
        <v>0.16758703116541671</v>
      </c>
      <c r="O34" s="64">
        <f t="shared" si="10"/>
        <v>2.1501704162516262</v>
      </c>
      <c r="P34" s="64">
        <f t="shared" si="11"/>
        <v>3.2750852081258133</v>
      </c>
      <c r="Q34" s="64">
        <f t="shared" si="12"/>
        <v>1.1249147918741871</v>
      </c>
      <c r="R34" s="64">
        <f t="shared" si="13"/>
        <v>0</v>
      </c>
      <c r="S34" s="64">
        <f t="shared" si="14"/>
        <v>2.2858848180905738</v>
      </c>
      <c r="T34" s="63">
        <f t="shared" si="42"/>
        <v>2.7062511844774217E-2</v>
      </c>
      <c r="U34" s="63">
        <f t="shared" si="15"/>
        <v>1</v>
      </c>
      <c r="V34" s="63">
        <f t="shared" si="43"/>
        <v>1.0270625118447743</v>
      </c>
      <c r="W34" s="64">
        <f t="shared" si="44"/>
        <v>0.62070073431322303</v>
      </c>
      <c r="X34" s="63">
        <f t="shared" si="16"/>
        <v>7.7053880315394868E-2</v>
      </c>
      <c r="Y34" s="63">
        <f t="shared" si="45"/>
        <v>7.7053880315394868E-2</v>
      </c>
      <c r="Z34" s="64">
        <f t="shared" si="17"/>
        <v>0.85377604604058333</v>
      </c>
      <c r="AA34" s="74">
        <f t="shared" si="18"/>
        <v>7.289335367926923E-4</v>
      </c>
      <c r="AB34" s="75">
        <f t="shared" si="46"/>
        <v>7.289335367926923E-4</v>
      </c>
      <c r="AC34" s="63">
        <f t="shared" si="19"/>
        <v>0.93578169786001841</v>
      </c>
      <c r="AD34" s="63">
        <f t="shared" si="47"/>
        <v>7.5412351756645182E-4</v>
      </c>
      <c r="AE34" s="63">
        <f t="shared" si="20"/>
        <v>9.9562924839060154E-4</v>
      </c>
      <c r="AF34" s="63">
        <f t="shared" si="21"/>
        <v>0.21785609655863397</v>
      </c>
      <c r="AG34" s="63">
        <f t="shared" si="22"/>
        <v>4.0608000000000005E-2</v>
      </c>
      <c r="AH34" s="63">
        <f t="shared" si="23"/>
        <v>0</v>
      </c>
      <c r="AI34" s="63">
        <f t="shared" si="48"/>
        <v>0.22378064516129031</v>
      </c>
      <c r="AJ34" s="63">
        <f t="shared" si="49"/>
        <v>0.4832403709683149</v>
      </c>
      <c r="AK34" s="63">
        <f t="shared" si="24"/>
        <v>2.0855651549465426</v>
      </c>
      <c r="AL34" s="63">
        <f t="shared" si="25"/>
        <v>3.7457683435292584E-3</v>
      </c>
      <c r="AM34" s="63">
        <f t="shared" si="26"/>
        <v>4.9490116005028824E-3</v>
      </c>
      <c r="AN34" s="63">
        <f t="shared" si="27"/>
        <v>4.5589679617446956E-2</v>
      </c>
      <c r="AO34" s="63">
        <f t="shared" si="28"/>
        <v>253.25067027491781</v>
      </c>
      <c r="AP34" s="63">
        <f t="shared" si="50"/>
        <v>4.5589679617446956E-2</v>
      </c>
      <c r="AQ34" s="61">
        <f t="shared" si="29"/>
        <v>0.46248</v>
      </c>
      <c r="AR34" s="61">
        <f t="shared" si="30"/>
        <v>50128320000</v>
      </c>
      <c r="AS34" s="61">
        <f t="shared" si="51"/>
        <v>0.46248</v>
      </c>
      <c r="AT34" s="61">
        <f t="shared" si="52"/>
        <v>0.23869935483870966</v>
      </c>
      <c r="AU34" s="63">
        <f t="shared" si="53"/>
        <v>0.28923804605665948</v>
      </c>
      <c r="AV34" s="63">
        <f t="shared" si="31"/>
        <v>2.09010776063079E-2</v>
      </c>
      <c r="AW34" s="63">
        <f t="shared" si="32"/>
        <v>2.9760000000000003E-3</v>
      </c>
      <c r="AX34" s="63">
        <f t="shared" si="33"/>
        <v>4.1360000000000001E-2</v>
      </c>
      <c r="AY34" s="63">
        <f t="shared" si="34"/>
        <v>4.4336E-2</v>
      </c>
      <c r="AZ34" s="63">
        <f t="shared" si="35"/>
        <v>1.9425608203282438</v>
      </c>
      <c r="BA34" s="64">
        <f t="shared" si="36"/>
        <v>8.8000000000000007</v>
      </c>
      <c r="BB34" s="76">
        <f t="shared" si="54"/>
        <v>0.81917153155397382</v>
      </c>
      <c r="BC34" s="64">
        <f t="shared" si="55"/>
        <v>81.917153155397386</v>
      </c>
      <c r="BD34" s="63">
        <f t="shared" si="37"/>
        <v>1.0270625118447743</v>
      </c>
      <c r="BE34" s="63">
        <f t="shared" si="56"/>
        <v>0.77247841702497433</v>
      </c>
      <c r="BF34" s="63">
        <f t="shared" si="38"/>
        <v>0.4832403709683149</v>
      </c>
      <c r="BG34" s="63">
        <f t="shared" si="39"/>
        <v>0.28923804605665948</v>
      </c>
      <c r="BH34" s="63">
        <f t="shared" si="40"/>
        <v>2.09010776063079E-2</v>
      </c>
      <c r="BI34" s="63">
        <f t="shared" si="57"/>
        <v>4.4336E-2</v>
      </c>
      <c r="BJ34" s="63">
        <f t="shared" si="58"/>
        <v>7.289335367926923E-4</v>
      </c>
      <c r="BK34" s="63">
        <f t="shared" si="59"/>
        <v>7.7053880315394868E-2</v>
      </c>
      <c r="BL34" s="63">
        <f t="shared" si="60"/>
        <v>1.9425608203282438</v>
      </c>
    </row>
    <row r="35" spans="3:64" x14ac:dyDescent="0.25">
      <c r="C35" s="61">
        <v>23</v>
      </c>
      <c r="D35" s="61">
        <f t="shared" si="0"/>
        <v>105</v>
      </c>
      <c r="E35" s="61">
        <f t="shared" si="1"/>
        <v>105</v>
      </c>
      <c r="F35" s="61">
        <f t="shared" si="2"/>
        <v>105</v>
      </c>
      <c r="G35" s="73">
        <f t="shared" si="3"/>
        <v>24</v>
      </c>
      <c r="H35" s="64">
        <f t="shared" si="4"/>
        <v>1</v>
      </c>
      <c r="I35" s="63">
        <f t="shared" si="41"/>
        <v>2.2999999999999998</v>
      </c>
      <c r="J35" s="65">
        <f t="shared" si="5"/>
        <v>8.6117892021752077E-4</v>
      </c>
      <c r="K35" s="65">
        <f t="shared" si="6"/>
        <v>8.6117892021752077E-4</v>
      </c>
      <c r="L35" s="65">
        <f t="shared" si="7"/>
        <v>5.1791610661465239E-3</v>
      </c>
      <c r="M35" s="65">
        <f t="shared" si="8"/>
        <v>4.0000000000000001E-3</v>
      </c>
      <c r="N35" s="63">
        <f t="shared" si="9"/>
        <v>0.16762886591535989</v>
      </c>
      <c r="O35" s="64">
        <f t="shared" si="10"/>
        <v>2.1507071632843386</v>
      </c>
      <c r="P35" s="64">
        <f t="shared" si="11"/>
        <v>3.3753535816421691</v>
      </c>
      <c r="Q35" s="64">
        <f t="shared" si="12"/>
        <v>1.2246464183578305</v>
      </c>
      <c r="R35" s="64">
        <f t="shared" si="13"/>
        <v>0</v>
      </c>
      <c r="S35" s="64">
        <f t="shared" si="14"/>
        <v>2.3823227688924828</v>
      </c>
      <c r="T35" s="63">
        <f t="shared" si="42"/>
        <v>2.9394130658433458E-2</v>
      </c>
      <c r="U35" s="63">
        <f t="shared" si="15"/>
        <v>1</v>
      </c>
      <c r="V35" s="63">
        <f t="shared" si="43"/>
        <v>1.0293941306584335</v>
      </c>
      <c r="W35" s="64">
        <f t="shared" si="44"/>
        <v>0.62085567983513468</v>
      </c>
      <c r="X35" s="63">
        <f t="shared" si="16"/>
        <v>7.7092355036709456E-2</v>
      </c>
      <c r="Y35" s="63">
        <f t="shared" si="45"/>
        <v>7.7092355036709456E-2</v>
      </c>
      <c r="Z35" s="64">
        <f t="shared" si="17"/>
        <v>0.88988422960105507</v>
      </c>
      <c r="AA35" s="74">
        <f t="shared" si="18"/>
        <v>7.9189394209266332E-4</v>
      </c>
      <c r="AB35" s="75">
        <f t="shared" si="46"/>
        <v>7.9189394209266332E-4</v>
      </c>
      <c r="AC35" s="63">
        <f t="shared" si="19"/>
        <v>0.97538260232587348</v>
      </c>
      <c r="AD35" s="63">
        <f t="shared" si="47"/>
        <v>8.1930084075790396E-4</v>
      </c>
      <c r="AE35" s="63">
        <f t="shared" si="20"/>
        <v>1.0816968961241903E-3</v>
      </c>
      <c r="AF35" s="63">
        <f t="shared" si="21"/>
        <v>0.22635602122386955</v>
      </c>
      <c r="AG35" s="63">
        <f t="shared" si="22"/>
        <v>4.0608000000000005E-2</v>
      </c>
      <c r="AH35" s="63">
        <f t="shared" si="23"/>
        <v>0</v>
      </c>
      <c r="AI35" s="63">
        <f t="shared" si="48"/>
        <v>0.22378064516129031</v>
      </c>
      <c r="AJ35" s="63">
        <f t="shared" si="49"/>
        <v>0.49182636328128404</v>
      </c>
      <c r="AK35" s="63">
        <f t="shared" si="24"/>
        <v>2.1734973094677512</v>
      </c>
      <c r="AL35" s="63">
        <f t="shared" si="25"/>
        <v>4.0682872025304762E-3</v>
      </c>
      <c r="AM35" s="63">
        <f t="shared" si="26"/>
        <v>5.375562701910982E-3</v>
      </c>
      <c r="AN35" s="63">
        <f t="shared" si="27"/>
        <v>4.7844670533025442E-2</v>
      </c>
      <c r="AO35" s="63">
        <f t="shared" si="28"/>
        <v>265.77714481095632</v>
      </c>
      <c r="AP35" s="63">
        <f t="shared" si="50"/>
        <v>4.7844670533025442E-2</v>
      </c>
      <c r="AQ35" s="61">
        <f t="shared" si="29"/>
        <v>0.46248</v>
      </c>
      <c r="AR35" s="61">
        <f t="shared" si="30"/>
        <v>50128320000</v>
      </c>
      <c r="AS35" s="61">
        <f t="shared" si="51"/>
        <v>0.46248</v>
      </c>
      <c r="AT35" s="61">
        <f t="shared" si="52"/>
        <v>0.23869935483870966</v>
      </c>
      <c r="AU35" s="63">
        <f t="shared" si="53"/>
        <v>0.2919195880736461</v>
      </c>
      <c r="AV35" s="63">
        <f t="shared" si="31"/>
        <v>2.2701847100734186E-2</v>
      </c>
      <c r="AW35" s="63">
        <f t="shared" si="32"/>
        <v>2.9760000000000003E-3</v>
      </c>
      <c r="AX35" s="63">
        <f t="shared" si="33"/>
        <v>4.1360000000000001E-2</v>
      </c>
      <c r="AY35" s="63">
        <f t="shared" si="34"/>
        <v>4.4336E-2</v>
      </c>
      <c r="AZ35" s="63">
        <f t="shared" si="35"/>
        <v>1.9580621780928997</v>
      </c>
      <c r="BA35" s="64">
        <f t="shared" si="36"/>
        <v>9.1999999999999993</v>
      </c>
      <c r="BB35" s="76">
        <f t="shared" si="54"/>
        <v>0.82451592876608559</v>
      </c>
      <c r="BC35" s="64">
        <f t="shared" si="55"/>
        <v>82.451592876608558</v>
      </c>
      <c r="BD35" s="63">
        <f t="shared" si="37"/>
        <v>1.0293941306584335</v>
      </c>
      <c r="BE35" s="63">
        <f t="shared" si="56"/>
        <v>0.78374595135493008</v>
      </c>
      <c r="BF35" s="63">
        <f t="shared" si="38"/>
        <v>0.49182636328128404</v>
      </c>
      <c r="BG35" s="63">
        <f t="shared" si="39"/>
        <v>0.2919195880736461</v>
      </c>
      <c r="BH35" s="63">
        <f t="shared" si="40"/>
        <v>2.2701847100734186E-2</v>
      </c>
      <c r="BI35" s="63">
        <f t="shared" si="57"/>
        <v>4.4336E-2</v>
      </c>
      <c r="BJ35" s="63">
        <f t="shared" si="58"/>
        <v>7.9189394209266332E-4</v>
      </c>
      <c r="BK35" s="63">
        <f t="shared" si="59"/>
        <v>7.7092355036709456E-2</v>
      </c>
      <c r="BL35" s="63">
        <f t="shared" si="60"/>
        <v>1.9580621780928997</v>
      </c>
    </row>
    <row r="36" spans="3:64" x14ac:dyDescent="0.25">
      <c r="C36" s="61">
        <v>24</v>
      </c>
      <c r="D36" s="61">
        <f t="shared" si="0"/>
        <v>105</v>
      </c>
      <c r="E36" s="61">
        <f t="shared" si="1"/>
        <v>105</v>
      </c>
      <c r="F36" s="61">
        <f t="shared" si="2"/>
        <v>105</v>
      </c>
      <c r="G36" s="73">
        <f t="shared" si="3"/>
        <v>24</v>
      </c>
      <c r="H36" s="64">
        <f t="shared" si="4"/>
        <v>1</v>
      </c>
      <c r="I36" s="63">
        <f t="shared" si="41"/>
        <v>2.4</v>
      </c>
      <c r="J36" s="65">
        <f t="shared" si="5"/>
        <v>8.6117892021752077E-4</v>
      </c>
      <c r="K36" s="65">
        <f t="shared" si="6"/>
        <v>8.6117892021752077E-4</v>
      </c>
      <c r="L36" s="65">
        <f t="shared" si="7"/>
        <v>5.1791610661465239E-3</v>
      </c>
      <c r="M36" s="65">
        <f t="shared" si="8"/>
        <v>4.0000000000000001E-3</v>
      </c>
      <c r="N36" s="63">
        <f t="shared" si="9"/>
        <v>0.16767070066530307</v>
      </c>
      <c r="O36" s="64">
        <f t="shared" si="10"/>
        <v>2.1512439103170511</v>
      </c>
      <c r="P36" s="64">
        <f t="shared" si="11"/>
        <v>3.4756219551585255</v>
      </c>
      <c r="Q36" s="64">
        <f t="shared" si="12"/>
        <v>1.3243780448414744</v>
      </c>
      <c r="R36" s="64">
        <f t="shared" si="13"/>
        <v>0</v>
      </c>
      <c r="S36" s="64">
        <f t="shared" si="14"/>
        <v>2.4790430001930885</v>
      </c>
      <c r="T36" s="63">
        <f t="shared" si="42"/>
        <v>3.1829332942099428E-2</v>
      </c>
      <c r="U36" s="63">
        <f t="shared" si="15"/>
        <v>1</v>
      </c>
      <c r="V36" s="63">
        <f t="shared" si="43"/>
        <v>1.0318293329420993</v>
      </c>
      <c r="W36" s="64">
        <f t="shared" si="44"/>
        <v>0.62101062535704632</v>
      </c>
      <c r="X36" s="63">
        <f t="shared" si="16"/>
        <v>7.7130839361269951E-2</v>
      </c>
      <c r="Y36" s="63">
        <f t="shared" si="45"/>
        <v>7.7130839361269951E-2</v>
      </c>
      <c r="Z36" s="64">
        <f t="shared" si="17"/>
        <v>0.92610502539259243</v>
      </c>
      <c r="AA36" s="74">
        <f t="shared" si="18"/>
        <v>8.5767051805741429E-4</v>
      </c>
      <c r="AB36" s="75">
        <f t="shared" si="46"/>
        <v>8.5767051805741429E-4</v>
      </c>
      <c r="AC36" s="63">
        <f t="shared" si="19"/>
        <v>1.0151089326890887</v>
      </c>
      <c r="AD36" s="63">
        <f t="shared" si="47"/>
        <v>8.8739849868732794E-4</v>
      </c>
      <c r="AE36" s="63">
        <f t="shared" si="20"/>
        <v>1.1716238631870632E-3</v>
      </c>
      <c r="AF36" s="63">
        <f t="shared" si="21"/>
        <v>0.23485594588910519</v>
      </c>
      <c r="AG36" s="63">
        <f t="shared" si="22"/>
        <v>4.0608000000000005E-2</v>
      </c>
      <c r="AH36" s="63">
        <f t="shared" si="23"/>
        <v>0</v>
      </c>
      <c r="AI36" s="63">
        <f t="shared" si="48"/>
        <v>0.22378064516129031</v>
      </c>
      <c r="AJ36" s="63">
        <f t="shared" si="49"/>
        <v>0.50041621491358257</v>
      </c>
      <c r="AK36" s="63">
        <f t="shared" si="24"/>
        <v>2.2616825709151072</v>
      </c>
      <c r="AL36" s="63">
        <f t="shared" si="25"/>
        <v>4.4051093465486387E-3</v>
      </c>
      <c r="AM36" s="63">
        <f t="shared" si="26"/>
        <v>5.8211037018285929E-3</v>
      </c>
      <c r="AN36" s="63">
        <f t="shared" si="27"/>
        <v>5.0099661448603949E-2</v>
      </c>
      <c r="AO36" s="63">
        <f t="shared" si="28"/>
        <v>278.30361934699494</v>
      </c>
      <c r="AP36" s="63">
        <f t="shared" si="50"/>
        <v>5.0099661448603949E-2</v>
      </c>
      <c r="AQ36" s="61">
        <f t="shared" si="29"/>
        <v>0.46248</v>
      </c>
      <c r="AR36" s="61">
        <f t="shared" si="30"/>
        <v>50128320000</v>
      </c>
      <c r="AS36" s="61">
        <f t="shared" si="51"/>
        <v>0.46248</v>
      </c>
      <c r="AT36" s="61">
        <f t="shared" si="52"/>
        <v>0.23869935483870966</v>
      </c>
      <c r="AU36" s="63">
        <f t="shared" si="53"/>
        <v>0.29462011998914217</v>
      </c>
      <c r="AV36" s="63">
        <f t="shared" si="31"/>
        <v>2.4582616787225398E-2</v>
      </c>
      <c r="AW36" s="63">
        <f t="shared" si="32"/>
        <v>2.9760000000000003E-3</v>
      </c>
      <c r="AX36" s="63">
        <f t="shared" si="33"/>
        <v>4.1360000000000001E-2</v>
      </c>
      <c r="AY36" s="63">
        <f t="shared" si="34"/>
        <v>4.4336E-2</v>
      </c>
      <c r="AZ36" s="63">
        <f t="shared" si="35"/>
        <v>1.973772794511377</v>
      </c>
      <c r="BA36" s="64">
        <f t="shared" si="36"/>
        <v>9.6</v>
      </c>
      <c r="BB36" s="76">
        <f t="shared" si="54"/>
        <v>0.82946159134492436</v>
      </c>
      <c r="BC36" s="64">
        <f t="shared" si="55"/>
        <v>82.946159134492433</v>
      </c>
      <c r="BD36" s="63">
        <f t="shared" si="37"/>
        <v>1.0318293329420993</v>
      </c>
      <c r="BE36" s="63">
        <f t="shared" si="56"/>
        <v>0.79503633490272474</v>
      </c>
      <c r="BF36" s="63">
        <f t="shared" si="38"/>
        <v>0.50041621491358257</v>
      </c>
      <c r="BG36" s="63">
        <f t="shared" si="39"/>
        <v>0.29462011998914217</v>
      </c>
      <c r="BH36" s="63">
        <f t="shared" si="40"/>
        <v>2.4582616787225398E-2</v>
      </c>
      <c r="BI36" s="63">
        <f t="shared" si="57"/>
        <v>4.4336E-2</v>
      </c>
      <c r="BJ36" s="63">
        <f t="shared" si="58"/>
        <v>8.5767051805741429E-4</v>
      </c>
      <c r="BK36" s="63">
        <f t="shared" si="59"/>
        <v>7.7130839361269951E-2</v>
      </c>
      <c r="BL36" s="63">
        <f t="shared" si="60"/>
        <v>1.9737727945113768</v>
      </c>
    </row>
    <row r="37" spans="3:64" x14ac:dyDescent="0.25">
      <c r="C37" s="61">
        <v>25</v>
      </c>
      <c r="D37" s="61">
        <f t="shared" si="0"/>
        <v>105</v>
      </c>
      <c r="E37" s="61">
        <f t="shared" si="1"/>
        <v>105</v>
      </c>
      <c r="F37" s="61">
        <f t="shared" si="2"/>
        <v>105</v>
      </c>
      <c r="G37" s="73">
        <f t="shared" si="3"/>
        <v>24</v>
      </c>
      <c r="H37" s="64">
        <f t="shared" si="4"/>
        <v>1</v>
      </c>
      <c r="I37" s="63">
        <f t="shared" si="41"/>
        <v>2.5</v>
      </c>
      <c r="J37" s="65">
        <f t="shared" si="5"/>
        <v>8.6117892021752077E-4</v>
      </c>
      <c r="K37" s="65">
        <f t="shared" si="6"/>
        <v>8.6117892021752077E-4</v>
      </c>
      <c r="L37" s="65">
        <f t="shared" si="7"/>
        <v>5.1791610661465239E-3</v>
      </c>
      <c r="M37" s="65">
        <f t="shared" si="8"/>
        <v>4.0000000000000001E-3</v>
      </c>
      <c r="N37" s="63">
        <f t="shared" si="9"/>
        <v>0.16771253541524625</v>
      </c>
      <c r="O37" s="64">
        <f t="shared" si="10"/>
        <v>2.1517806573497635</v>
      </c>
      <c r="P37" s="64">
        <f t="shared" si="11"/>
        <v>3.5758903286748818</v>
      </c>
      <c r="Q37" s="64">
        <f t="shared" si="12"/>
        <v>1.4241096713251182</v>
      </c>
      <c r="R37" s="64">
        <f t="shared" si="13"/>
        <v>0</v>
      </c>
      <c r="S37" s="64">
        <f t="shared" si="14"/>
        <v>2.576013716276639</v>
      </c>
      <c r="T37" s="63">
        <f t="shared" si="42"/>
        <v>3.4368118695772117E-2</v>
      </c>
      <c r="U37" s="63">
        <f t="shared" si="15"/>
        <v>1</v>
      </c>
      <c r="V37" s="63">
        <f t="shared" si="43"/>
        <v>1.0343681186957721</v>
      </c>
      <c r="W37" s="64">
        <f t="shared" si="44"/>
        <v>0.62116557087895796</v>
      </c>
      <c r="X37" s="63">
        <f t="shared" si="16"/>
        <v>7.7169333289076353E-2</v>
      </c>
      <c r="Y37" s="63">
        <f t="shared" si="45"/>
        <v>7.7169333289076353E-2</v>
      </c>
      <c r="Z37" s="64">
        <f t="shared" si="17"/>
        <v>0.96242658328212349</v>
      </c>
      <c r="AA37" s="74">
        <f t="shared" si="18"/>
        <v>9.2626492820810217E-4</v>
      </c>
      <c r="AB37" s="75">
        <f t="shared" si="46"/>
        <v>9.2626492820810217E-4</v>
      </c>
      <c r="AC37" s="63">
        <f t="shared" si="19"/>
        <v>1.0549477091573614</v>
      </c>
      <c r="AD37" s="63">
        <f t="shared" si="47"/>
        <v>9.5841865299219964E-4</v>
      </c>
      <c r="AE37" s="63">
        <f t="shared" si="20"/>
        <v>1.2654133953085523E-3</v>
      </c>
      <c r="AF37" s="63">
        <f t="shared" si="21"/>
        <v>0.2433558705543408</v>
      </c>
      <c r="AG37" s="63">
        <f t="shared" si="22"/>
        <v>4.0608000000000005E-2</v>
      </c>
      <c r="AH37" s="63">
        <f t="shared" si="23"/>
        <v>0</v>
      </c>
      <c r="AI37" s="63">
        <f t="shared" si="48"/>
        <v>0.22378064516129031</v>
      </c>
      <c r="AJ37" s="63">
        <f t="shared" si="49"/>
        <v>0.50900992911093967</v>
      </c>
      <c r="AK37" s="63">
        <f t="shared" si="24"/>
        <v>2.3500919125406599</v>
      </c>
      <c r="AL37" s="63">
        <f t="shared" si="25"/>
        <v>4.7562326139462688E-3</v>
      </c>
      <c r="AM37" s="63">
        <f t="shared" si="26"/>
        <v>6.2856412514451579E-3</v>
      </c>
      <c r="AN37" s="63">
        <f t="shared" si="27"/>
        <v>5.235465236418245E-2</v>
      </c>
      <c r="AO37" s="63">
        <f t="shared" si="28"/>
        <v>290.8300938830335</v>
      </c>
      <c r="AP37" s="63">
        <f t="shared" si="50"/>
        <v>5.235465236418245E-2</v>
      </c>
      <c r="AQ37" s="61">
        <f t="shared" si="29"/>
        <v>0.46248</v>
      </c>
      <c r="AR37" s="61">
        <f t="shared" si="30"/>
        <v>50128320000</v>
      </c>
      <c r="AS37" s="61">
        <f t="shared" si="51"/>
        <v>0.46248</v>
      </c>
      <c r="AT37" s="61">
        <f t="shared" si="52"/>
        <v>0.23869935483870966</v>
      </c>
      <c r="AU37" s="63">
        <f t="shared" si="53"/>
        <v>0.29733964845433725</v>
      </c>
      <c r="AV37" s="63">
        <f t="shared" si="31"/>
        <v>2.6543386665781522E-2</v>
      </c>
      <c r="AW37" s="63">
        <f t="shared" si="32"/>
        <v>2.9760000000000003E-3</v>
      </c>
      <c r="AX37" s="63">
        <f t="shared" si="33"/>
        <v>4.1360000000000001E-2</v>
      </c>
      <c r="AY37" s="63">
        <f t="shared" si="34"/>
        <v>4.4336E-2</v>
      </c>
      <c r="AZ37" s="63">
        <f t="shared" si="35"/>
        <v>1.9896926811441149</v>
      </c>
      <c r="BA37" s="64">
        <f t="shared" si="36"/>
        <v>10</v>
      </c>
      <c r="BB37" s="76">
        <f t="shared" si="54"/>
        <v>0.83404973471311283</v>
      </c>
      <c r="BC37" s="64">
        <f t="shared" si="55"/>
        <v>83.40497347131128</v>
      </c>
      <c r="BD37" s="63">
        <f t="shared" si="37"/>
        <v>1.0343681186957721</v>
      </c>
      <c r="BE37" s="63">
        <f t="shared" si="56"/>
        <v>0.80634957756527692</v>
      </c>
      <c r="BF37" s="63">
        <f t="shared" si="38"/>
        <v>0.50900992911093967</v>
      </c>
      <c r="BG37" s="63">
        <f t="shared" si="39"/>
        <v>0.29733964845433725</v>
      </c>
      <c r="BH37" s="63">
        <f t="shared" si="40"/>
        <v>2.6543386665781522E-2</v>
      </c>
      <c r="BI37" s="63">
        <f t="shared" si="57"/>
        <v>4.4336E-2</v>
      </c>
      <c r="BJ37" s="63">
        <f t="shared" si="58"/>
        <v>9.2626492820810217E-4</v>
      </c>
      <c r="BK37" s="63">
        <f t="shared" si="59"/>
        <v>7.7169333289076353E-2</v>
      </c>
      <c r="BL37" s="63">
        <f t="shared" si="60"/>
        <v>1.9896926811441149</v>
      </c>
    </row>
    <row r="38" spans="3:64" x14ac:dyDescent="0.25">
      <c r="C38" s="61">
        <v>26</v>
      </c>
      <c r="D38" s="61">
        <f t="shared" si="0"/>
        <v>105</v>
      </c>
      <c r="E38" s="61">
        <f t="shared" si="1"/>
        <v>105</v>
      </c>
      <c r="F38" s="61">
        <f t="shared" si="2"/>
        <v>105</v>
      </c>
      <c r="G38" s="73">
        <f t="shared" si="3"/>
        <v>24</v>
      </c>
      <c r="H38" s="64">
        <f t="shared" si="4"/>
        <v>1</v>
      </c>
      <c r="I38" s="63">
        <f t="shared" si="41"/>
        <v>2.6</v>
      </c>
      <c r="J38" s="65">
        <f t="shared" si="5"/>
        <v>8.6117892021752077E-4</v>
      </c>
      <c r="K38" s="65">
        <f t="shared" si="6"/>
        <v>8.6117892021752077E-4</v>
      </c>
      <c r="L38" s="65">
        <f t="shared" si="7"/>
        <v>5.1791610661465239E-3</v>
      </c>
      <c r="M38" s="65">
        <f t="shared" si="8"/>
        <v>4.0000000000000001E-3</v>
      </c>
      <c r="N38" s="63">
        <f t="shared" si="9"/>
        <v>0.16775437016518943</v>
      </c>
      <c r="O38" s="64">
        <f t="shared" si="10"/>
        <v>2.152317404382476</v>
      </c>
      <c r="P38" s="64">
        <f t="shared" si="11"/>
        <v>3.6761587021912381</v>
      </c>
      <c r="Q38" s="64">
        <f t="shared" si="12"/>
        <v>1.5238412978087621</v>
      </c>
      <c r="R38" s="64">
        <f t="shared" si="13"/>
        <v>0</v>
      </c>
      <c r="S38" s="64">
        <f t="shared" si="14"/>
        <v>2.6732076582451736</v>
      </c>
      <c r="T38" s="63">
        <f t="shared" si="42"/>
        <v>3.701048791945153E-2</v>
      </c>
      <c r="U38" s="63">
        <f t="shared" si="15"/>
        <v>1</v>
      </c>
      <c r="V38" s="63">
        <f t="shared" si="43"/>
        <v>1.0370104879194515</v>
      </c>
      <c r="W38" s="64">
        <f t="shared" si="44"/>
        <v>0.6213205164008696</v>
      </c>
      <c r="X38" s="63">
        <f t="shared" si="16"/>
        <v>7.7207836820128661E-2</v>
      </c>
      <c r="Y38" s="63">
        <f t="shared" si="45"/>
        <v>7.7207836820128661E-2</v>
      </c>
      <c r="Z38" s="64">
        <f t="shared" si="17"/>
        <v>0.99883874356467006</v>
      </c>
      <c r="AA38" s="74">
        <f t="shared" si="18"/>
        <v>9.9767883564584863E-4</v>
      </c>
      <c r="AB38" s="75">
        <f t="shared" si="46"/>
        <v>9.9767883564584863E-4</v>
      </c>
      <c r="AC38" s="63">
        <f t="shared" si="19"/>
        <v>1.0948878036148579</v>
      </c>
      <c r="AD38" s="63">
        <f t="shared" si="47"/>
        <v>1.0323634653099962E-3</v>
      </c>
      <c r="AE38" s="63">
        <f t="shared" si="20"/>
        <v>1.363068755440383E-3</v>
      </c>
      <c r="AF38" s="63">
        <f t="shared" si="21"/>
        <v>0.25185579521957641</v>
      </c>
      <c r="AG38" s="63">
        <f t="shared" si="22"/>
        <v>4.0608000000000005E-2</v>
      </c>
      <c r="AH38" s="63">
        <f t="shared" si="23"/>
        <v>0</v>
      </c>
      <c r="AI38" s="63">
        <f t="shared" si="48"/>
        <v>0.22378064516129031</v>
      </c>
      <c r="AJ38" s="63">
        <f t="shared" si="49"/>
        <v>0.51760750913630715</v>
      </c>
      <c r="AK38" s="63">
        <f t="shared" si="24"/>
        <v>2.4387004493369164</v>
      </c>
      <c r="AL38" s="63">
        <f t="shared" si="25"/>
        <v>5.1216548430858908E-3</v>
      </c>
      <c r="AM38" s="63">
        <f t="shared" si="26"/>
        <v>6.7691824080075751E-3</v>
      </c>
      <c r="AN38" s="63">
        <f t="shared" si="27"/>
        <v>5.460964327976095E-2</v>
      </c>
      <c r="AO38" s="63">
        <f t="shared" si="28"/>
        <v>303.35656841907212</v>
      </c>
      <c r="AP38" s="63">
        <f t="shared" si="50"/>
        <v>5.460964327976095E-2</v>
      </c>
      <c r="AQ38" s="61">
        <f t="shared" si="29"/>
        <v>0.46248</v>
      </c>
      <c r="AR38" s="61">
        <f t="shared" si="30"/>
        <v>50128320000</v>
      </c>
      <c r="AS38" s="61">
        <f t="shared" si="51"/>
        <v>0.46248</v>
      </c>
      <c r="AT38" s="61">
        <f t="shared" si="52"/>
        <v>0.23869935483870966</v>
      </c>
      <c r="AU38" s="63">
        <f t="shared" si="53"/>
        <v>0.30007818052647817</v>
      </c>
      <c r="AV38" s="63">
        <f t="shared" si="31"/>
        <v>2.8584156736402581E-2</v>
      </c>
      <c r="AW38" s="63">
        <f t="shared" si="32"/>
        <v>2.9760000000000003E-3</v>
      </c>
      <c r="AX38" s="63">
        <f t="shared" si="33"/>
        <v>4.1360000000000001E-2</v>
      </c>
      <c r="AY38" s="63">
        <f t="shared" si="34"/>
        <v>4.4336E-2</v>
      </c>
      <c r="AZ38" s="63">
        <f t="shared" si="35"/>
        <v>2.0058218499744145</v>
      </c>
      <c r="BA38" s="64">
        <f t="shared" si="36"/>
        <v>10.4</v>
      </c>
      <c r="BB38" s="76">
        <f t="shared" si="54"/>
        <v>0.83831608463903973</v>
      </c>
      <c r="BC38" s="64">
        <f t="shared" si="55"/>
        <v>83.831608463903976</v>
      </c>
      <c r="BD38" s="63">
        <f t="shared" si="37"/>
        <v>1.0370104879194515</v>
      </c>
      <c r="BE38" s="63">
        <f t="shared" si="56"/>
        <v>0.81768568966278532</v>
      </c>
      <c r="BF38" s="63">
        <f t="shared" si="38"/>
        <v>0.51760750913630715</v>
      </c>
      <c r="BG38" s="63">
        <f t="shared" si="39"/>
        <v>0.30007818052647817</v>
      </c>
      <c r="BH38" s="63">
        <f t="shared" si="40"/>
        <v>2.8584156736402581E-2</v>
      </c>
      <c r="BI38" s="63">
        <f t="shared" si="57"/>
        <v>4.4336E-2</v>
      </c>
      <c r="BJ38" s="63">
        <f t="shared" si="58"/>
        <v>9.9767883564584863E-4</v>
      </c>
      <c r="BK38" s="63">
        <f t="shared" si="59"/>
        <v>7.7207836820128661E-2</v>
      </c>
      <c r="BL38" s="63">
        <f t="shared" si="60"/>
        <v>2.005821849974414</v>
      </c>
    </row>
    <row r="39" spans="3:64" x14ac:dyDescent="0.25">
      <c r="C39" s="61">
        <v>27</v>
      </c>
      <c r="D39" s="61">
        <f t="shared" si="0"/>
        <v>105</v>
      </c>
      <c r="E39" s="61">
        <f t="shared" si="1"/>
        <v>105</v>
      </c>
      <c r="F39" s="61">
        <f t="shared" si="2"/>
        <v>105</v>
      </c>
      <c r="G39" s="73">
        <f t="shared" si="3"/>
        <v>24</v>
      </c>
      <c r="H39" s="64">
        <f t="shared" si="4"/>
        <v>1</v>
      </c>
      <c r="I39" s="63">
        <f t="shared" si="41"/>
        <v>2.7</v>
      </c>
      <c r="J39" s="65">
        <f t="shared" si="5"/>
        <v>8.6117892021752077E-4</v>
      </c>
      <c r="K39" s="65">
        <f t="shared" si="6"/>
        <v>8.6117892021752077E-4</v>
      </c>
      <c r="L39" s="65">
        <f t="shared" si="7"/>
        <v>5.1791610661465239E-3</v>
      </c>
      <c r="M39" s="65">
        <f t="shared" si="8"/>
        <v>4.0000000000000001E-3</v>
      </c>
      <c r="N39" s="63">
        <f t="shared" si="9"/>
        <v>0.16779620491513261</v>
      </c>
      <c r="O39" s="64">
        <f t="shared" si="10"/>
        <v>2.1528541514151884</v>
      </c>
      <c r="P39" s="64">
        <f t="shared" si="11"/>
        <v>3.7764270757075944</v>
      </c>
      <c r="Q39" s="64">
        <f t="shared" si="12"/>
        <v>1.623572924292406</v>
      </c>
      <c r="R39" s="64">
        <f t="shared" si="13"/>
        <v>0</v>
      </c>
      <c r="S39" s="64">
        <f t="shared" si="14"/>
        <v>2.7706013336046986</v>
      </c>
      <c r="T39" s="63">
        <f t="shared" si="42"/>
        <v>3.9756440613137642E-2</v>
      </c>
      <c r="U39" s="63">
        <f t="shared" si="15"/>
        <v>1</v>
      </c>
      <c r="V39" s="63">
        <f t="shared" si="43"/>
        <v>1.0397564406131377</v>
      </c>
      <c r="W39" s="64">
        <f t="shared" si="44"/>
        <v>0.62147546192278125</v>
      </c>
      <c r="X39" s="63">
        <f t="shared" si="16"/>
        <v>7.7246349954426863E-2</v>
      </c>
      <c r="Y39" s="63">
        <f t="shared" si="45"/>
        <v>7.7246349954426863E-2</v>
      </c>
      <c r="Z39" s="64">
        <f t="shared" si="17"/>
        <v>1.0353327499175033</v>
      </c>
      <c r="AA39" s="74">
        <f t="shared" si="18"/>
        <v>1.0719139030517396E-3</v>
      </c>
      <c r="AB39" s="75">
        <f t="shared" si="46"/>
        <v>1.0719139030517396E-3</v>
      </c>
      <c r="AC39" s="63">
        <f t="shared" si="19"/>
        <v>1.1349196251985478</v>
      </c>
      <c r="AD39" s="63">
        <f t="shared" si="47"/>
        <v>1.1092350972781943E-3</v>
      </c>
      <c r="AE39" s="63">
        <f t="shared" si="20"/>
        <v>1.4645932238025719E-3</v>
      </c>
      <c r="AF39" s="63">
        <f t="shared" si="21"/>
        <v>0.26035571988481204</v>
      </c>
      <c r="AG39" s="63">
        <f t="shared" si="22"/>
        <v>4.0608000000000005E-2</v>
      </c>
      <c r="AH39" s="63">
        <f t="shared" si="23"/>
        <v>0</v>
      </c>
      <c r="AI39" s="63">
        <f t="shared" si="48"/>
        <v>0.22378064516129031</v>
      </c>
      <c r="AJ39" s="63">
        <f t="shared" si="49"/>
        <v>0.52620895826990499</v>
      </c>
      <c r="AK39" s="63">
        <f t="shared" si="24"/>
        <v>2.5274867347053123</v>
      </c>
      <c r="AL39" s="63">
        <f t="shared" si="25"/>
        <v>5.501373872330022E-3</v>
      </c>
      <c r="AM39" s="63">
        <f t="shared" si="26"/>
        <v>7.2717346351458493E-3</v>
      </c>
      <c r="AN39" s="63">
        <f t="shared" si="27"/>
        <v>5.6864634195339464E-2</v>
      </c>
      <c r="AO39" s="63">
        <f t="shared" si="28"/>
        <v>315.88304295511068</v>
      </c>
      <c r="AP39" s="63">
        <f t="shared" si="50"/>
        <v>5.6864634195339464E-2</v>
      </c>
      <c r="AQ39" s="61">
        <f t="shared" si="29"/>
        <v>0.46248</v>
      </c>
      <c r="AR39" s="61">
        <f t="shared" si="30"/>
        <v>50128320000</v>
      </c>
      <c r="AS39" s="61">
        <f t="shared" si="51"/>
        <v>0.46248</v>
      </c>
      <c r="AT39" s="61">
        <f t="shared" si="52"/>
        <v>0.23869935483870966</v>
      </c>
      <c r="AU39" s="63">
        <f t="shared" si="53"/>
        <v>0.30283572366919498</v>
      </c>
      <c r="AV39" s="63">
        <f t="shared" si="31"/>
        <v>3.0704926999088538E-2</v>
      </c>
      <c r="AW39" s="63">
        <f t="shared" si="32"/>
        <v>2.9760000000000003E-3</v>
      </c>
      <c r="AX39" s="63">
        <f t="shared" si="33"/>
        <v>4.1360000000000001E-2</v>
      </c>
      <c r="AY39" s="63">
        <f t="shared" si="34"/>
        <v>4.4336E-2</v>
      </c>
      <c r="AZ39" s="63">
        <f t="shared" si="35"/>
        <v>2.0221603134088046</v>
      </c>
      <c r="BA39" s="64">
        <f t="shared" si="36"/>
        <v>10.8</v>
      </c>
      <c r="BB39" s="76">
        <f t="shared" si="54"/>
        <v>0.84229176176387954</v>
      </c>
      <c r="BC39" s="64">
        <f t="shared" si="55"/>
        <v>84.229176176387952</v>
      </c>
      <c r="BD39" s="63">
        <f t="shared" si="37"/>
        <v>1.0397564406131377</v>
      </c>
      <c r="BE39" s="63">
        <f t="shared" si="56"/>
        <v>0.82904468193909997</v>
      </c>
      <c r="BF39" s="63">
        <f t="shared" si="38"/>
        <v>0.52620895826990499</v>
      </c>
      <c r="BG39" s="63">
        <f t="shared" si="39"/>
        <v>0.30283572366919498</v>
      </c>
      <c r="BH39" s="63">
        <f t="shared" si="40"/>
        <v>3.0704926999088538E-2</v>
      </c>
      <c r="BI39" s="63">
        <f t="shared" si="57"/>
        <v>4.4336E-2</v>
      </c>
      <c r="BJ39" s="63">
        <f t="shared" si="58"/>
        <v>1.0719139030517396E-3</v>
      </c>
      <c r="BK39" s="63">
        <f t="shared" si="59"/>
        <v>7.7246349954426863E-2</v>
      </c>
      <c r="BL39" s="63">
        <f t="shared" si="60"/>
        <v>2.0221603134088046</v>
      </c>
    </row>
    <row r="40" spans="3:64" x14ac:dyDescent="0.25">
      <c r="C40" s="61">
        <v>28</v>
      </c>
      <c r="D40" s="61">
        <f t="shared" si="0"/>
        <v>105</v>
      </c>
      <c r="E40" s="61">
        <f t="shared" si="1"/>
        <v>105</v>
      </c>
      <c r="F40" s="61">
        <f t="shared" si="2"/>
        <v>105</v>
      </c>
      <c r="G40" s="73">
        <f t="shared" si="3"/>
        <v>24</v>
      </c>
      <c r="H40" s="64">
        <f t="shared" si="4"/>
        <v>1</v>
      </c>
      <c r="I40" s="63">
        <f t="shared" si="41"/>
        <v>2.8</v>
      </c>
      <c r="J40" s="65">
        <f t="shared" si="5"/>
        <v>8.6117892021752077E-4</v>
      </c>
      <c r="K40" s="65">
        <f t="shared" si="6"/>
        <v>8.6117892021752077E-4</v>
      </c>
      <c r="L40" s="65">
        <f t="shared" si="7"/>
        <v>5.1791610661465239E-3</v>
      </c>
      <c r="M40" s="65">
        <f t="shared" si="8"/>
        <v>4.0000000000000001E-3</v>
      </c>
      <c r="N40" s="63">
        <f t="shared" si="9"/>
        <v>0.16783803966507582</v>
      </c>
      <c r="O40" s="64">
        <f t="shared" si="10"/>
        <v>2.1533908984479009</v>
      </c>
      <c r="P40" s="64">
        <f t="shared" si="11"/>
        <v>3.8766954492239503</v>
      </c>
      <c r="Q40" s="64">
        <f t="shared" si="12"/>
        <v>1.7233045507760494</v>
      </c>
      <c r="R40" s="64">
        <f t="shared" si="13"/>
        <v>0</v>
      </c>
      <c r="S40" s="64">
        <f t="shared" si="14"/>
        <v>2.8681743955798527</v>
      </c>
      <c r="T40" s="63">
        <f t="shared" si="42"/>
        <v>4.2605976776830479E-2</v>
      </c>
      <c r="U40" s="63">
        <f t="shared" si="15"/>
        <v>1</v>
      </c>
      <c r="V40" s="63">
        <f t="shared" si="43"/>
        <v>1.0426059767768305</v>
      </c>
      <c r="W40" s="64">
        <f t="shared" si="44"/>
        <v>0.62163040744469289</v>
      </c>
      <c r="X40" s="63">
        <f t="shared" si="16"/>
        <v>7.7284872691970985E-2</v>
      </c>
      <c r="Y40" s="63">
        <f t="shared" si="45"/>
        <v>7.7284872691970985E-2</v>
      </c>
      <c r="Z40" s="64">
        <f t="shared" si="17"/>
        <v>1.0719010181387194</v>
      </c>
      <c r="AA40" s="74">
        <f t="shared" si="18"/>
        <v>1.1489717926868232E-3</v>
      </c>
      <c r="AB40" s="75">
        <f t="shared" si="46"/>
        <v>1.1489717926868232E-3</v>
      </c>
      <c r="AC40" s="63">
        <f t="shared" si="19"/>
        <v>1.1750348669788999</v>
      </c>
      <c r="AD40" s="63">
        <f t="shared" si="47"/>
        <v>1.1890357105342698E-3</v>
      </c>
      <c r="AE40" s="63">
        <f t="shared" si="20"/>
        <v>1.5699900979295591E-3</v>
      </c>
      <c r="AF40" s="63">
        <f t="shared" si="21"/>
        <v>0.26885564455004762</v>
      </c>
      <c r="AG40" s="63">
        <f t="shared" si="22"/>
        <v>4.0608000000000005E-2</v>
      </c>
      <c r="AH40" s="63">
        <f t="shared" si="23"/>
        <v>0</v>
      </c>
      <c r="AI40" s="63">
        <f t="shared" si="48"/>
        <v>0.22378064516129031</v>
      </c>
      <c r="AJ40" s="63">
        <f t="shared" si="49"/>
        <v>0.53481427980926743</v>
      </c>
      <c r="AK40" s="63">
        <f t="shared" si="24"/>
        <v>2.6164321938173236</v>
      </c>
      <c r="AL40" s="63">
        <f t="shared" si="25"/>
        <v>5.8953875400411934E-3</v>
      </c>
      <c r="AM40" s="63">
        <f t="shared" si="26"/>
        <v>7.7933058032205287E-3</v>
      </c>
      <c r="AN40" s="63">
        <f t="shared" si="27"/>
        <v>5.9119625110917944E-2</v>
      </c>
      <c r="AO40" s="63">
        <f t="shared" si="28"/>
        <v>328.40951749114919</v>
      </c>
      <c r="AP40" s="63">
        <f t="shared" si="50"/>
        <v>5.9119625110917944E-2</v>
      </c>
      <c r="AQ40" s="61">
        <f t="shared" si="29"/>
        <v>0.46248</v>
      </c>
      <c r="AR40" s="61">
        <f t="shared" si="30"/>
        <v>50128320000</v>
      </c>
      <c r="AS40" s="61">
        <f t="shared" si="51"/>
        <v>0.46248</v>
      </c>
      <c r="AT40" s="61">
        <f t="shared" si="52"/>
        <v>0.23869935483870966</v>
      </c>
      <c r="AU40" s="63">
        <f t="shared" si="53"/>
        <v>0.30561228575284816</v>
      </c>
      <c r="AV40" s="63">
        <f t="shared" si="31"/>
        <v>3.2905697453839415E-2</v>
      </c>
      <c r="AW40" s="63">
        <f t="shared" si="32"/>
        <v>2.9760000000000003E-3</v>
      </c>
      <c r="AX40" s="63">
        <f t="shared" si="33"/>
        <v>4.1360000000000001E-2</v>
      </c>
      <c r="AY40" s="63">
        <f t="shared" si="34"/>
        <v>4.4336E-2</v>
      </c>
      <c r="AZ40" s="63">
        <f t="shared" si="35"/>
        <v>2.0387080842774434</v>
      </c>
      <c r="BA40" s="64">
        <f t="shared" si="36"/>
        <v>11.2</v>
      </c>
      <c r="BB40" s="76">
        <f t="shared" si="54"/>
        <v>0.84600400044331714</v>
      </c>
      <c r="BC40" s="64">
        <f t="shared" si="55"/>
        <v>84.600400044331707</v>
      </c>
      <c r="BD40" s="63">
        <f t="shared" si="37"/>
        <v>1.0426059767768305</v>
      </c>
      <c r="BE40" s="63">
        <f t="shared" si="56"/>
        <v>0.84042656556211559</v>
      </c>
      <c r="BF40" s="63">
        <f t="shared" si="38"/>
        <v>0.53481427980926743</v>
      </c>
      <c r="BG40" s="63">
        <f t="shared" si="39"/>
        <v>0.30561228575284816</v>
      </c>
      <c r="BH40" s="63">
        <f t="shared" si="40"/>
        <v>3.2905697453839415E-2</v>
      </c>
      <c r="BI40" s="63">
        <f t="shared" si="57"/>
        <v>4.4336E-2</v>
      </c>
      <c r="BJ40" s="63">
        <f t="shared" si="58"/>
        <v>1.1489717926868232E-3</v>
      </c>
      <c r="BK40" s="63">
        <f t="shared" si="59"/>
        <v>7.7284872691970985E-2</v>
      </c>
      <c r="BL40" s="63">
        <f t="shared" si="60"/>
        <v>2.0387080842774434</v>
      </c>
    </row>
    <row r="41" spans="3:64" x14ac:dyDescent="0.25">
      <c r="C41" s="61">
        <v>29</v>
      </c>
      <c r="D41" s="61">
        <f t="shared" si="0"/>
        <v>105</v>
      </c>
      <c r="E41" s="61">
        <f t="shared" si="1"/>
        <v>105</v>
      </c>
      <c r="F41" s="61">
        <f t="shared" si="2"/>
        <v>105</v>
      </c>
      <c r="G41" s="73">
        <f t="shared" si="3"/>
        <v>24</v>
      </c>
      <c r="H41" s="64">
        <f t="shared" si="4"/>
        <v>1</v>
      </c>
      <c r="I41" s="63">
        <f t="shared" si="41"/>
        <v>2.9</v>
      </c>
      <c r="J41" s="65">
        <f t="shared" si="5"/>
        <v>8.6117892021752077E-4</v>
      </c>
      <c r="K41" s="65">
        <f t="shared" si="6"/>
        <v>8.6117892021752077E-4</v>
      </c>
      <c r="L41" s="65">
        <f t="shared" si="7"/>
        <v>5.1791610661465239E-3</v>
      </c>
      <c r="M41" s="65">
        <f t="shared" si="8"/>
        <v>4.0000000000000001E-3</v>
      </c>
      <c r="N41" s="63">
        <f t="shared" si="9"/>
        <v>0.16787987441501898</v>
      </c>
      <c r="O41" s="64">
        <f t="shared" si="10"/>
        <v>2.1539276454806129</v>
      </c>
      <c r="P41" s="64">
        <f t="shared" si="11"/>
        <v>3.9769638227403066</v>
      </c>
      <c r="Q41" s="64">
        <f t="shared" si="12"/>
        <v>1.8230361772596935</v>
      </c>
      <c r="R41" s="64">
        <f t="shared" si="13"/>
        <v>0</v>
      </c>
      <c r="S41" s="64">
        <f t="shared" si="14"/>
        <v>2.9659091397350332</v>
      </c>
      <c r="T41" s="63">
        <f t="shared" si="42"/>
        <v>4.5559096410530034E-2</v>
      </c>
      <c r="U41" s="63">
        <f t="shared" si="15"/>
        <v>1</v>
      </c>
      <c r="V41" s="63">
        <f t="shared" si="43"/>
        <v>1.0455590964105301</v>
      </c>
      <c r="W41" s="64">
        <f t="shared" si="44"/>
        <v>0.62178535296660442</v>
      </c>
      <c r="X41" s="63">
        <f t="shared" si="16"/>
        <v>7.7323405032760972E-2</v>
      </c>
      <c r="Y41" s="63">
        <f t="shared" si="45"/>
        <v>7.7323405032760972E-2</v>
      </c>
      <c r="Z41" s="64">
        <f t="shared" si="17"/>
        <v>1.1085369485913013</v>
      </c>
      <c r="AA41" s="74">
        <f t="shared" si="18"/>
        <v>1.2288541663921133E-3</v>
      </c>
      <c r="AB41" s="75">
        <f t="shared" si="46"/>
        <v>1.2288541663921133E-3</v>
      </c>
      <c r="AC41" s="63">
        <f t="shared" si="19"/>
        <v>1.2152263005142365</v>
      </c>
      <c r="AD41" s="63">
        <f t="shared" si="47"/>
        <v>1.2717674667157006E-3</v>
      </c>
      <c r="AE41" s="63">
        <f t="shared" si="20"/>
        <v>1.6792626927165702E-3</v>
      </c>
      <c r="AF41" s="63">
        <f t="shared" si="21"/>
        <v>0.27735556921528332</v>
      </c>
      <c r="AG41" s="63">
        <f t="shared" si="22"/>
        <v>4.0608000000000005E-2</v>
      </c>
      <c r="AH41" s="63">
        <f t="shared" si="23"/>
        <v>0</v>
      </c>
      <c r="AI41" s="63">
        <f t="shared" si="48"/>
        <v>0.22378064516129031</v>
      </c>
      <c r="AJ41" s="63">
        <f t="shared" si="49"/>
        <v>0.54342347706929028</v>
      </c>
      <c r="AK41" s="63">
        <f t="shared" si="24"/>
        <v>2.7055206640686165</v>
      </c>
      <c r="AL41" s="63">
        <f t="shared" si="25"/>
        <v>6.303693684581925E-3</v>
      </c>
      <c r="AM41" s="63">
        <f t="shared" si="26"/>
        <v>8.3339041896918434E-3</v>
      </c>
      <c r="AN41" s="63">
        <f t="shared" si="27"/>
        <v>6.1374616026496465E-2</v>
      </c>
      <c r="AO41" s="63">
        <f t="shared" si="28"/>
        <v>340.93599202718781</v>
      </c>
      <c r="AP41" s="63">
        <f t="shared" si="50"/>
        <v>6.1374616026496465E-2</v>
      </c>
      <c r="AQ41" s="61">
        <f t="shared" si="29"/>
        <v>0.46248</v>
      </c>
      <c r="AR41" s="61">
        <f t="shared" si="30"/>
        <v>50128320000</v>
      </c>
      <c r="AS41" s="61">
        <f t="shared" si="51"/>
        <v>0.46248</v>
      </c>
      <c r="AT41" s="61">
        <f t="shared" si="52"/>
        <v>0.23869935483870966</v>
      </c>
      <c r="AU41" s="63">
        <f t="shared" si="53"/>
        <v>0.30840787505489797</v>
      </c>
      <c r="AV41" s="63">
        <f t="shared" si="31"/>
        <v>3.5186468100655219E-2</v>
      </c>
      <c r="AW41" s="63">
        <f t="shared" si="32"/>
        <v>2.9760000000000003E-3</v>
      </c>
      <c r="AX41" s="63">
        <f t="shared" si="33"/>
        <v>4.1360000000000001E-2</v>
      </c>
      <c r="AY41" s="63">
        <f t="shared" si="34"/>
        <v>4.4336E-2</v>
      </c>
      <c r="AZ41" s="63">
        <f t="shared" si="35"/>
        <v>2.0554651758345264</v>
      </c>
      <c r="BA41" s="64">
        <f t="shared" si="36"/>
        <v>11.6</v>
      </c>
      <c r="BB41" s="76">
        <f t="shared" si="54"/>
        <v>0.84947673701574133</v>
      </c>
      <c r="BC41" s="64">
        <f t="shared" si="55"/>
        <v>84.947673701574132</v>
      </c>
      <c r="BD41" s="63">
        <f t="shared" si="37"/>
        <v>1.0455590964105301</v>
      </c>
      <c r="BE41" s="63">
        <f t="shared" si="56"/>
        <v>0.85183135212418826</v>
      </c>
      <c r="BF41" s="63">
        <f t="shared" si="38"/>
        <v>0.54342347706929028</v>
      </c>
      <c r="BG41" s="63">
        <f t="shared" si="39"/>
        <v>0.30840787505489797</v>
      </c>
      <c r="BH41" s="63">
        <f t="shared" si="40"/>
        <v>3.5186468100655219E-2</v>
      </c>
      <c r="BI41" s="63">
        <f t="shared" si="57"/>
        <v>4.4336E-2</v>
      </c>
      <c r="BJ41" s="63">
        <f t="shared" si="58"/>
        <v>1.2288541663921133E-3</v>
      </c>
      <c r="BK41" s="63">
        <f t="shared" si="59"/>
        <v>7.7323405032760972E-2</v>
      </c>
      <c r="BL41" s="63">
        <f t="shared" si="60"/>
        <v>2.0554651758345268</v>
      </c>
    </row>
    <row r="42" spans="3:64" x14ac:dyDescent="0.25">
      <c r="C42" s="61">
        <v>30</v>
      </c>
      <c r="D42" s="61">
        <f t="shared" si="0"/>
        <v>105</v>
      </c>
      <c r="E42" s="61">
        <f t="shared" si="1"/>
        <v>105</v>
      </c>
      <c r="F42" s="61">
        <f t="shared" si="2"/>
        <v>105</v>
      </c>
      <c r="G42" s="73">
        <f t="shared" si="3"/>
        <v>24</v>
      </c>
      <c r="H42" s="64">
        <f t="shared" si="4"/>
        <v>1</v>
      </c>
      <c r="I42" s="63">
        <f t="shared" si="41"/>
        <v>3</v>
      </c>
      <c r="J42" s="65">
        <f t="shared" si="5"/>
        <v>8.6117892021752077E-4</v>
      </c>
      <c r="K42" s="65">
        <f t="shared" si="6"/>
        <v>8.6117892021752077E-4</v>
      </c>
      <c r="L42" s="65">
        <f t="shared" si="7"/>
        <v>5.1791610661465239E-3</v>
      </c>
      <c r="M42" s="65">
        <f t="shared" si="8"/>
        <v>4.0000000000000001E-3</v>
      </c>
      <c r="N42" s="63">
        <f t="shared" si="9"/>
        <v>0.16792170916496219</v>
      </c>
      <c r="O42" s="64">
        <f t="shared" si="10"/>
        <v>2.1544643925133258</v>
      </c>
      <c r="P42" s="64">
        <f t="shared" si="11"/>
        <v>4.0772321962566629</v>
      </c>
      <c r="Q42" s="64">
        <f t="shared" si="12"/>
        <v>1.9227678037433371</v>
      </c>
      <c r="R42" s="64">
        <f t="shared" si="13"/>
        <v>0</v>
      </c>
      <c r="S42" s="64">
        <f t="shared" si="14"/>
        <v>3.0637900931499833</v>
      </c>
      <c r="T42" s="63">
        <f t="shared" si="42"/>
        <v>4.8615799514236294E-2</v>
      </c>
      <c r="U42" s="63">
        <f t="shared" si="15"/>
        <v>1</v>
      </c>
      <c r="V42" s="63">
        <f t="shared" si="43"/>
        <v>1.0486157995142362</v>
      </c>
      <c r="W42" s="64">
        <f t="shared" si="44"/>
        <v>0.62194029848851617</v>
      </c>
      <c r="X42" s="63">
        <f t="shared" si="16"/>
        <v>7.7361946976796922E-2</v>
      </c>
      <c r="Y42" s="63">
        <f t="shared" si="45"/>
        <v>7.7361946976796922E-2</v>
      </c>
      <c r="Z42" s="64">
        <f t="shared" si="17"/>
        <v>1.1452347731310759</v>
      </c>
      <c r="AA42" s="74">
        <f t="shared" si="18"/>
        <v>1.3115626855885868E-3</v>
      </c>
      <c r="AB42" s="75">
        <f t="shared" si="46"/>
        <v>1.3115626855885868E-3</v>
      </c>
      <c r="AC42" s="63">
        <f t="shared" si="19"/>
        <v>1.2554876081778044</v>
      </c>
      <c r="AD42" s="63">
        <f t="shared" si="47"/>
        <v>1.3574325274599624E-3</v>
      </c>
      <c r="AE42" s="63">
        <f t="shared" si="20"/>
        <v>1.7924143404662023E-3</v>
      </c>
      <c r="AF42" s="63">
        <f t="shared" si="21"/>
        <v>0.2858554938805189</v>
      </c>
      <c r="AG42" s="63">
        <f t="shared" si="22"/>
        <v>4.0608000000000005E-2</v>
      </c>
      <c r="AH42" s="63">
        <f t="shared" si="23"/>
        <v>0</v>
      </c>
      <c r="AI42" s="63">
        <f t="shared" si="48"/>
        <v>0.22378064516129031</v>
      </c>
      <c r="AJ42" s="63">
        <f t="shared" si="49"/>
        <v>0.55203655338227531</v>
      </c>
      <c r="AK42" s="63">
        <f t="shared" si="24"/>
        <v>2.7947380200290617</v>
      </c>
      <c r="AL42" s="63">
        <f t="shared" si="25"/>
        <v>6.7262901443147392E-3</v>
      </c>
      <c r="AM42" s="63">
        <f t="shared" si="26"/>
        <v>8.8935384795107153E-3</v>
      </c>
      <c r="AN42" s="63">
        <f t="shared" si="27"/>
        <v>6.3629606942074951E-2</v>
      </c>
      <c r="AO42" s="63">
        <f t="shared" si="28"/>
        <v>353.46246656322637</v>
      </c>
      <c r="AP42" s="63">
        <f t="shared" si="50"/>
        <v>6.3629606942074951E-2</v>
      </c>
      <c r="AQ42" s="61">
        <f t="shared" si="29"/>
        <v>0.46248</v>
      </c>
      <c r="AR42" s="61">
        <f t="shared" si="30"/>
        <v>50128320000</v>
      </c>
      <c r="AS42" s="61">
        <f t="shared" si="51"/>
        <v>0.46248</v>
      </c>
      <c r="AT42" s="61">
        <f t="shared" si="52"/>
        <v>0.23869935483870966</v>
      </c>
      <c r="AU42" s="63">
        <f t="shared" si="53"/>
        <v>0.3112225002602953</v>
      </c>
      <c r="AV42" s="63">
        <f t="shared" si="31"/>
        <v>3.7547238939535932E-2</v>
      </c>
      <c r="AW42" s="63">
        <f t="shared" si="32"/>
        <v>2.9760000000000003E-3</v>
      </c>
      <c r="AX42" s="63">
        <f t="shared" si="33"/>
        <v>4.1360000000000001E-2</v>
      </c>
      <c r="AY42" s="63">
        <f t="shared" si="34"/>
        <v>4.4336E-2</v>
      </c>
      <c r="AZ42" s="63">
        <f t="shared" si="35"/>
        <v>2.0724316017587285</v>
      </c>
      <c r="BA42" s="64">
        <f t="shared" si="36"/>
        <v>12</v>
      </c>
      <c r="BB42" s="76">
        <f t="shared" si="54"/>
        <v>0.85273109435474381</v>
      </c>
      <c r="BC42" s="64">
        <f t="shared" si="55"/>
        <v>85.273109435474382</v>
      </c>
      <c r="BD42" s="63">
        <f t="shared" si="37"/>
        <v>1.0486157995142362</v>
      </c>
      <c r="BE42" s="63">
        <f t="shared" si="56"/>
        <v>0.86325905364257061</v>
      </c>
      <c r="BF42" s="63">
        <f t="shared" si="38"/>
        <v>0.55203655338227531</v>
      </c>
      <c r="BG42" s="63">
        <f t="shared" si="39"/>
        <v>0.3112225002602953</v>
      </c>
      <c r="BH42" s="63">
        <f t="shared" si="40"/>
        <v>3.7547238939535932E-2</v>
      </c>
      <c r="BI42" s="63">
        <f t="shared" si="57"/>
        <v>4.4336E-2</v>
      </c>
      <c r="BJ42" s="63">
        <f t="shared" si="58"/>
        <v>1.3115626855885868E-3</v>
      </c>
      <c r="BK42" s="63">
        <f t="shared" si="59"/>
        <v>7.7361946976796922E-2</v>
      </c>
      <c r="BL42" s="63">
        <f t="shared" si="60"/>
        <v>2.0724316017587281</v>
      </c>
    </row>
    <row r="43" spans="3:64" x14ac:dyDescent="0.25">
      <c r="C43" s="61">
        <v>31</v>
      </c>
      <c r="D43" s="61">
        <f t="shared" si="0"/>
        <v>105</v>
      </c>
      <c r="E43" s="61">
        <f t="shared" si="1"/>
        <v>105</v>
      </c>
      <c r="F43" s="61">
        <f t="shared" si="2"/>
        <v>105</v>
      </c>
      <c r="G43" s="73">
        <f t="shared" si="3"/>
        <v>24</v>
      </c>
      <c r="H43" s="64">
        <f t="shared" si="4"/>
        <v>1</v>
      </c>
      <c r="I43" s="63">
        <f t="shared" si="41"/>
        <v>3.1</v>
      </c>
      <c r="J43" s="65">
        <f t="shared" si="5"/>
        <v>8.6117892021752077E-4</v>
      </c>
      <c r="K43" s="65">
        <f t="shared" si="6"/>
        <v>8.6117892021752077E-4</v>
      </c>
      <c r="L43" s="65">
        <f t="shared" si="7"/>
        <v>5.1791610661465239E-3</v>
      </c>
      <c r="M43" s="65">
        <f t="shared" si="8"/>
        <v>4.0000000000000001E-3</v>
      </c>
      <c r="N43" s="63">
        <f t="shared" si="9"/>
        <v>0.16796354391490534</v>
      </c>
      <c r="O43" s="64">
        <f t="shared" si="10"/>
        <v>2.1550011395460378</v>
      </c>
      <c r="P43" s="64">
        <f t="shared" si="11"/>
        <v>4.1775005697730192</v>
      </c>
      <c r="Q43" s="64">
        <f t="shared" si="12"/>
        <v>2.022499430226981</v>
      </c>
      <c r="R43" s="64">
        <f t="shared" si="13"/>
        <v>0</v>
      </c>
      <c r="S43" s="64">
        <f t="shared" si="14"/>
        <v>3.161803677115389</v>
      </c>
      <c r="T43" s="63">
        <f t="shared" si="42"/>
        <v>5.17760860879493E-2</v>
      </c>
      <c r="U43" s="63">
        <f t="shared" si="15"/>
        <v>1</v>
      </c>
      <c r="V43" s="63">
        <f t="shared" si="43"/>
        <v>1.0517760860879493</v>
      </c>
      <c r="W43" s="64">
        <f t="shared" si="44"/>
        <v>0.62209524401042759</v>
      </c>
      <c r="X43" s="63">
        <f t="shared" si="16"/>
        <v>7.7400498524078695E-2</v>
      </c>
      <c r="Y43" s="63">
        <f t="shared" si="45"/>
        <v>7.7400498524078695E-2</v>
      </c>
      <c r="Z43" s="64">
        <f t="shared" si="17"/>
        <v>1.1819894294270086</v>
      </c>
      <c r="AA43" s="74">
        <f t="shared" si="18"/>
        <v>1.3970990112771853E-3</v>
      </c>
      <c r="AB43" s="75">
        <f t="shared" si="46"/>
        <v>1.3970990112771853E-3</v>
      </c>
      <c r="AC43" s="63">
        <f t="shared" si="19"/>
        <v>1.2958132454897442</v>
      </c>
      <c r="AD43" s="63">
        <f t="shared" si="47"/>
        <v>1.4460330544045327E-3</v>
      </c>
      <c r="AE43" s="63">
        <f t="shared" si="20"/>
        <v>1.9094483909352484E-3</v>
      </c>
      <c r="AF43" s="63">
        <f t="shared" si="21"/>
        <v>0.29435541854575453</v>
      </c>
      <c r="AG43" s="63">
        <f t="shared" si="22"/>
        <v>4.0608000000000005E-2</v>
      </c>
      <c r="AH43" s="63">
        <f t="shared" si="23"/>
        <v>0</v>
      </c>
      <c r="AI43" s="63">
        <f t="shared" si="48"/>
        <v>0.22378064516129031</v>
      </c>
      <c r="AJ43" s="63">
        <f t="shared" si="49"/>
        <v>0.56065351209798009</v>
      </c>
      <c r="AK43" s="63">
        <f t="shared" si="24"/>
        <v>2.8840718655112831</v>
      </c>
      <c r="AL43" s="63">
        <f t="shared" si="25"/>
        <v>7.1631747576021646E-3</v>
      </c>
      <c r="AM43" s="63">
        <f t="shared" si="26"/>
        <v>9.4722177655316066E-3</v>
      </c>
      <c r="AN43" s="63">
        <f t="shared" si="27"/>
        <v>6.5884597857653451E-2</v>
      </c>
      <c r="AO43" s="63">
        <f t="shared" si="28"/>
        <v>365.98894109926493</v>
      </c>
      <c r="AP43" s="63">
        <f t="shared" si="50"/>
        <v>6.5884597857653451E-2</v>
      </c>
      <c r="AQ43" s="61">
        <f t="shared" si="29"/>
        <v>0.46248</v>
      </c>
      <c r="AR43" s="61">
        <f t="shared" si="30"/>
        <v>50128320000</v>
      </c>
      <c r="AS43" s="61">
        <f t="shared" si="51"/>
        <v>0.46248</v>
      </c>
      <c r="AT43" s="61">
        <f t="shared" si="52"/>
        <v>0.23869935483870966</v>
      </c>
      <c r="AU43" s="63">
        <f t="shared" si="53"/>
        <v>0.31405617046189471</v>
      </c>
      <c r="AV43" s="63">
        <f t="shared" si="31"/>
        <v>3.9988009970481582E-2</v>
      </c>
      <c r="AW43" s="63">
        <f t="shared" si="32"/>
        <v>2.9760000000000003E-3</v>
      </c>
      <c r="AX43" s="63">
        <f t="shared" si="33"/>
        <v>4.1360000000000001E-2</v>
      </c>
      <c r="AY43" s="63">
        <f t="shared" si="34"/>
        <v>4.4336E-2</v>
      </c>
      <c r="AZ43" s="63">
        <f t="shared" si="35"/>
        <v>2.0896073761536615</v>
      </c>
      <c r="BA43" s="64">
        <f t="shared" si="36"/>
        <v>12.4</v>
      </c>
      <c r="BB43" s="76">
        <f t="shared" si="54"/>
        <v>0.85578578343036105</v>
      </c>
      <c r="BC43" s="64">
        <f t="shared" si="55"/>
        <v>85.578578343036099</v>
      </c>
      <c r="BD43" s="63">
        <f t="shared" si="37"/>
        <v>1.0517760860879493</v>
      </c>
      <c r="BE43" s="63">
        <f t="shared" si="56"/>
        <v>0.8747096825598748</v>
      </c>
      <c r="BF43" s="63">
        <f t="shared" si="38"/>
        <v>0.56065351209798009</v>
      </c>
      <c r="BG43" s="63">
        <f t="shared" si="39"/>
        <v>0.31405617046189471</v>
      </c>
      <c r="BH43" s="63">
        <f t="shared" si="40"/>
        <v>3.9988009970481582E-2</v>
      </c>
      <c r="BI43" s="63">
        <f t="shared" si="57"/>
        <v>4.4336E-2</v>
      </c>
      <c r="BJ43" s="63">
        <f t="shared" si="58"/>
        <v>1.3970990112771853E-3</v>
      </c>
      <c r="BK43" s="63">
        <f t="shared" si="59"/>
        <v>7.7400498524078695E-2</v>
      </c>
      <c r="BL43" s="63">
        <f t="shared" si="60"/>
        <v>2.089607376153662</v>
      </c>
    </row>
    <row r="44" spans="3:64" x14ac:dyDescent="0.25">
      <c r="C44" s="61">
        <v>32</v>
      </c>
      <c r="D44" s="61">
        <f t="shared" ref="D44:D75" si="61">T.amb+I44*$D$9</f>
        <v>105</v>
      </c>
      <c r="E44" s="61">
        <f t="shared" ref="E44:E75" si="62">T.amb+I44*$E$9</f>
        <v>105</v>
      </c>
      <c r="F44" s="61">
        <f t="shared" ref="F44:F75" si="63">T.amb+I44*$F$9</f>
        <v>105</v>
      </c>
      <c r="G44" s="73">
        <f t="shared" ref="G44:G75" si="64">V.supply_typ</f>
        <v>24</v>
      </c>
      <c r="H44" s="64">
        <f t="shared" ref="H44:H75" si="65">FPWM</f>
        <v>1</v>
      </c>
      <c r="I44" s="63">
        <f t="shared" si="41"/>
        <v>3.2</v>
      </c>
      <c r="J44" s="65">
        <f t="shared" ref="J44:J75" si="66">R.hs25*((D44+275)/300)^2.3</f>
        <v>8.6117892021752077E-4</v>
      </c>
      <c r="K44" s="65">
        <f t="shared" ref="K44:K75" si="67">R.ls25*((E44+275)/300)^2.3</f>
        <v>8.6117892021752077E-4</v>
      </c>
      <c r="L44" s="65">
        <f t="shared" ref="L44:L75" si="68">R.dcr25*((F44+275)/300)^1.2</f>
        <v>5.1791610661465239E-3</v>
      </c>
      <c r="M44" s="65">
        <f t="shared" ref="M44:M75" si="69">R.s</f>
        <v>4.0000000000000001E-3</v>
      </c>
      <c r="N44" s="63">
        <f t="shared" ref="N44:N75" si="70">(V.load+I44*(K44+L44+M44))/(V.supply_typ+I44*(K44-J44))</f>
        <v>0.16800537866484855</v>
      </c>
      <c r="O44" s="64">
        <f t="shared" ref="O44:O75" si="71">(V.supply_typ-I.load*(J44+L44+M44)-V.load)*N44/(f.sw*L.out)</f>
        <v>2.1555378865787507</v>
      </c>
      <c r="P44" s="64">
        <f t="shared" ref="P44:P75" si="72">I44+O44/2</f>
        <v>4.2777689432893755</v>
      </c>
      <c r="Q44" s="64">
        <f t="shared" ref="Q44:Q75" si="73">I44-O44/2</f>
        <v>2.1222310567106248</v>
      </c>
      <c r="R44" s="64">
        <f t="shared" ref="R44:R75" si="74">IF(MIN(V.supply_typ, -Q44/(C.oss_hs+C.oss_ls)*0.00000002)&lt;0, 0, MIN(V.supply_typ, -Q44/(C.oss_hs+C.oss_ls)*0.00000002))</f>
        <v>0</v>
      </c>
      <c r="S44" s="64">
        <f t="shared" ref="S44:S75" si="75">SQRT(I44^2+(O44^2)/12)</f>
        <v>3.2599379286073891</v>
      </c>
      <c r="T44" s="63">
        <f t="shared" si="42"/>
        <v>5.5039956131669017E-2</v>
      </c>
      <c r="U44" s="63">
        <f t="shared" ref="U44:U75" si="76">IF(FPWM=1,P.core,MIN(P.core,P.core*(O44+Q44)/O44))</f>
        <v>1</v>
      </c>
      <c r="V44" s="63">
        <f t="shared" si="43"/>
        <v>1.055039956131669</v>
      </c>
      <c r="W44" s="64">
        <f t="shared" si="44"/>
        <v>0.62225018953233935</v>
      </c>
      <c r="X44" s="63">
        <f t="shared" ref="X44:X75" si="77">R.esrb*W44^2</f>
        <v>7.7439059674606459E-2</v>
      </c>
      <c r="Y44" s="63">
        <f t="shared" si="45"/>
        <v>7.7439059674606459E-2</v>
      </c>
      <c r="Z44" s="64">
        <f t="shared" ref="Z44:Z75" si="78">SQRT(N44*(1-N44))*SQRT(I44^2+(O44^2)/12)</f>
        <v>1.2187964571817611</v>
      </c>
      <c r="AA44" s="74">
        <f t="shared" ref="AA44:AA75" si="79">R.esr_cin*Z44^2</f>
        <v>1.4854648040388127E-3</v>
      </c>
      <c r="AB44" s="75">
        <f t="shared" si="46"/>
        <v>1.4854648040388127E-3</v>
      </c>
      <c r="AC44" s="63">
        <f t="shared" ref="AC44:AC75" si="80">SQRT(N44)*SQRT(I44^2+(O44^2)/12)</f>
        <v>1.3361983274381313</v>
      </c>
      <c r="AD44" s="63">
        <f t="shared" si="47"/>
        <v>1.5375712091868876E-3</v>
      </c>
      <c r="AE44" s="63">
        <f t="shared" ref="AE44:AE75" si="81">AD44*(1+TC_rdson_hs*(T.amb-25))/(1-AD44*TC_rdson_hs*theta.ja_hs)</f>
        <v>2.030368211381747E-3</v>
      </c>
      <c r="AF44" s="63">
        <f t="shared" ref="AF44:AF75" si="82">(V.supply_typ*P44/2)*f.sw*T.rise+(V.supply_typ*MAX(Q44,0)/2)*f.sw*T.fall</f>
        <v>0.30285534321099011</v>
      </c>
      <c r="AG44" s="63">
        <f t="shared" ref="AG44:AG75" si="83">0.5*(C.oss_hs+C.oss_ls)*(V.supply_typ-R44)^2*f.sw</f>
        <v>4.0608000000000005E-2</v>
      </c>
      <c r="AH44" s="63">
        <f t="shared" ref="AH44:AH75" si="84">IF(I44&gt;O44/2,0,ABS(Q44)*V.bd_hs*t.d_loff_hon*f.sw)</f>
        <v>0</v>
      </c>
      <c r="AI44" s="63">
        <f t="shared" si="48"/>
        <v>0.22378064516129031</v>
      </c>
      <c r="AJ44" s="63">
        <f t="shared" si="49"/>
        <v>0.56927435658366221</v>
      </c>
      <c r="AK44" s="63">
        <f t="shared" ref="AK44:AK75" si="85">SQRT((1-N44))*SQRT(I44^2+(O44^2)/12)</f>
        <v>2.9735112793000424</v>
      </c>
      <c r="AL44" s="63">
        <f t="shared" ref="AL44:AL75" si="86">K44*AK44^2</f>
        <v>7.6143453628067159E-3</v>
      </c>
      <c r="AM44" s="63">
        <f t="shared" ref="AM44:AM75" si="87">AL44*(1+TC_rdson_ls*(T.amb-25))/(1-AL44*TC_rdson_ls*theta.ja_ls)</f>
        <v>1.0069951548947209E-2</v>
      </c>
      <c r="AN44" s="63">
        <f t="shared" ref="AN44:AN75" si="88">IF(I44&gt;O44/2, Q44*V.bd_ls*t.d_loff_hon*f.sw + P44*V.bd_ls*t.d_hoff_lon*f.sw,P44*V.bd_ls*t.d_hoff_lon*f.sw)</f>
        <v>6.8139588773231966E-2</v>
      </c>
      <c r="AO44" s="63">
        <f t="shared" ref="AO44:AO75" si="89">IF(I44&gt;O44/2, Q44*V.fwd_sch*t.d_loff_hon*f.sw + P44*V.fwd_sch*t.d_hoff_lon*f.sw,P44*V.fwd_sch*t.d_hoff_lon*f.sw)</f>
        <v>378.51541563530355</v>
      </c>
      <c r="AP44" s="63">
        <f t="shared" si="50"/>
        <v>6.8139588773231966E-2</v>
      </c>
      <c r="AQ44" s="61">
        <f t="shared" ref="AQ44:AQ75" si="90">Q.rr_ls*V.supply_typ*f.sw</f>
        <v>0.46248</v>
      </c>
      <c r="AR44" s="61">
        <f t="shared" ref="AR44:AR75" si="91">Q.rr_sch*V.supply_typ*f.sw</f>
        <v>50128320000</v>
      </c>
      <c r="AS44" s="61">
        <f t="shared" si="51"/>
        <v>0.46248</v>
      </c>
      <c r="AT44" s="61">
        <f t="shared" si="52"/>
        <v>0.23869935483870966</v>
      </c>
      <c r="AU44" s="63">
        <f t="shared" si="53"/>
        <v>0.31690889516088883</v>
      </c>
      <c r="AV44" s="63">
        <f t="shared" ref="AV44:AV75" si="92">R.s*S44^2</f>
        <v>4.2508781193492141E-2</v>
      </c>
      <c r="AW44" s="63">
        <f t="shared" ref="AW44:AW75" si="93">I.q_IC*V.supply_typ</f>
        <v>2.9760000000000003E-3</v>
      </c>
      <c r="AX44" s="63">
        <f t="shared" ref="AX44:AX75" si="94">IF(ExtVCC=1,  (Q.g_hs+Q.g_ls)*f.sw*V.load, (Q.g_hs+Q.g_ls)*f.sw*V.supply_typ)</f>
        <v>4.1360000000000001E-2</v>
      </c>
      <c r="AY44" s="63">
        <f t="shared" ref="AY44:AY75" si="95">SUM(AW44:AX44)</f>
        <v>4.4336E-2</v>
      </c>
      <c r="AZ44" s="63">
        <f t="shared" ref="AZ44:AZ75" si="96">V44+Y44+AB44+AJ44+AU44+AV44+AY44</f>
        <v>2.1069925135483576</v>
      </c>
      <c r="BA44" s="64">
        <f t="shared" ref="BA44:BA75" si="97">V.load*I44</f>
        <v>12.8</v>
      </c>
      <c r="BB44" s="76">
        <f t="shared" si="54"/>
        <v>0.85865743800210548</v>
      </c>
      <c r="BC44" s="64">
        <f t="shared" si="55"/>
        <v>85.865743800210552</v>
      </c>
      <c r="BD44" s="63">
        <f t="shared" ref="BD44:BD75" si="98">V44</f>
        <v>1.055039956131669</v>
      </c>
      <c r="BE44" s="63">
        <f t="shared" si="56"/>
        <v>0.88618325174455104</v>
      </c>
      <c r="BF44" s="63">
        <f t="shared" ref="BF44:BF75" si="99">AJ44</f>
        <v>0.56927435658366221</v>
      </c>
      <c r="BG44" s="63">
        <f t="shared" ref="BG44:BG75" si="100">AU44</f>
        <v>0.31690889516088883</v>
      </c>
      <c r="BH44" s="63">
        <f t="shared" ref="BH44:BH75" si="101">AV44</f>
        <v>4.2508781193492141E-2</v>
      </c>
      <c r="BI44" s="63">
        <f t="shared" si="57"/>
        <v>4.4336E-2</v>
      </c>
      <c r="BJ44" s="63">
        <f t="shared" si="58"/>
        <v>1.4854648040388127E-3</v>
      </c>
      <c r="BK44" s="63">
        <f t="shared" si="59"/>
        <v>7.7439059674606459E-2</v>
      </c>
      <c r="BL44" s="63">
        <f t="shared" si="60"/>
        <v>2.106992513548358</v>
      </c>
    </row>
    <row r="45" spans="3:64" x14ac:dyDescent="0.25">
      <c r="C45" s="61">
        <v>33</v>
      </c>
      <c r="D45" s="61">
        <f t="shared" si="61"/>
        <v>105</v>
      </c>
      <c r="E45" s="61">
        <f t="shared" si="62"/>
        <v>105</v>
      </c>
      <c r="F45" s="61">
        <f t="shared" si="63"/>
        <v>105</v>
      </c>
      <c r="G45" s="73">
        <f t="shared" si="64"/>
        <v>24</v>
      </c>
      <c r="H45" s="64">
        <f t="shared" si="65"/>
        <v>1</v>
      </c>
      <c r="I45" s="63">
        <f t="shared" ref="I45:I76" si="102">I.load*C45/100</f>
        <v>3.3</v>
      </c>
      <c r="J45" s="65">
        <f t="shared" si="66"/>
        <v>8.6117892021752077E-4</v>
      </c>
      <c r="K45" s="65">
        <f t="shared" si="67"/>
        <v>8.6117892021752077E-4</v>
      </c>
      <c r="L45" s="65">
        <f t="shared" si="68"/>
        <v>5.1791610661465239E-3</v>
      </c>
      <c r="M45" s="65">
        <f t="shared" si="69"/>
        <v>4.0000000000000001E-3</v>
      </c>
      <c r="N45" s="63">
        <f t="shared" si="70"/>
        <v>0.1680472134147917</v>
      </c>
      <c r="O45" s="64">
        <f t="shared" si="71"/>
        <v>2.1560746336114622</v>
      </c>
      <c r="P45" s="64">
        <f t="shared" si="72"/>
        <v>4.3780373168057309</v>
      </c>
      <c r="Q45" s="64">
        <f t="shared" si="73"/>
        <v>2.2219626831942687</v>
      </c>
      <c r="R45" s="64">
        <f t="shared" si="74"/>
        <v>0</v>
      </c>
      <c r="S45" s="64">
        <f t="shared" si="75"/>
        <v>3.358182269047036</v>
      </c>
      <c r="T45" s="63">
        <f t="shared" si="42"/>
        <v>5.8407409645395418E-2</v>
      </c>
      <c r="U45" s="63">
        <f t="shared" si="76"/>
        <v>1</v>
      </c>
      <c r="V45" s="63">
        <f t="shared" si="43"/>
        <v>1.0584074096453955</v>
      </c>
      <c r="W45" s="64">
        <f t="shared" si="44"/>
        <v>0.62240513505425077</v>
      </c>
      <c r="X45" s="63">
        <f t="shared" si="77"/>
        <v>7.7477630428380032E-2</v>
      </c>
      <c r="Y45" s="63">
        <f t="shared" si="45"/>
        <v>7.7477630428380032E-2</v>
      </c>
      <c r="Z45" s="64">
        <f t="shared" si="78"/>
        <v>1.2556519119701675</v>
      </c>
      <c r="AA45" s="74">
        <f t="shared" si="79"/>
        <v>1.5766617240343373E-3</v>
      </c>
      <c r="AB45" s="75">
        <f t="shared" si="46"/>
        <v>1.5766617240343373E-3</v>
      </c>
      <c r="AC45" s="63">
        <f t="shared" si="80"/>
        <v>1.3766385340983422</v>
      </c>
      <c r="AD45" s="63">
        <f t="shared" si="47"/>
        <v>1.632049153444503E-3</v>
      </c>
      <c r="AE45" s="63">
        <f t="shared" si="81"/>
        <v>2.1551771866122715E-3</v>
      </c>
      <c r="AF45" s="63">
        <f t="shared" si="82"/>
        <v>0.31135526787622569</v>
      </c>
      <c r="AG45" s="63">
        <f t="shared" si="83"/>
        <v>4.0608000000000005E-2</v>
      </c>
      <c r="AH45" s="63">
        <f t="shared" si="84"/>
        <v>0</v>
      </c>
      <c r="AI45" s="63">
        <f t="shared" si="48"/>
        <v>0.22378064516129031</v>
      </c>
      <c r="AJ45" s="63">
        <f t="shared" si="49"/>
        <v>0.57789909022412833</v>
      </c>
      <c r="AK45" s="63">
        <f t="shared" si="85"/>
        <v>3.0630466040492212</v>
      </c>
      <c r="AL45" s="63">
        <f t="shared" si="86"/>
        <v>8.0797997982909198E-3</v>
      </c>
      <c r="AM45" s="63">
        <f t="shared" si="87"/>
        <v>1.0686749739745125E-2</v>
      </c>
      <c r="AN45" s="63">
        <f t="shared" si="88"/>
        <v>7.0394579688810452E-2</v>
      </c>
      <c r="AO45" s="63">
        <f t="shared" si="89"/>
        <v>391.04189017134206</v>
      </c>
      <c r="AP45" s="63">
        <f t="shared" si="50"/>
        <v>7.0394579688810452E-2</v>
      </c>
      <c r="AQ45" s="61">
        <f t="shared" si="90"/>
        <v>0.46248</v>
      </c>
      <c r="AR45" s="61">
        <f t="shared" si="91"/>
        <v>50128320000</v>
      </c>
      <c r="AS45" s="61">
        <f t="shared" si="51"/>
        <v>0.46248</v>
      </c>
      <c r="AT45" s="61">
        <f t="shared" si="52"/>
        <v>0.23869935483870966</v>
      </c>
      <c r="AU45" s="63">
        <f t="shared" si="53"/>
        <v>0.31978068426726525</v>
      </c>
      <c r="AV45" s="63">
        <f t="shared" si="92"/>
        <v>4.5109552608567596E-2</v>
      </c>
      <c r="AW45" s="63">
        <f t="shared" si="93"/>
        <v>2.9760000000000003E-3</v>
      </c>
      <c r="AX45" s="63">
        <f t="shared" si="94"/>
        <v>4.1360000000000001E-2</v>
      </c>
      <c r="AY45" s="63">
        <f t="shared" si="95"/>
        <v>4.4336E-2</v>
      </c>
      <c r="AZ45" s="63">
        <f t="shared" si="96"/>
        <v>2.1245870288977704</v>
      </c>
      <c r="BA45" s="64">
        <f t="shared" si="97"/>
        <v>13.2</v>
      </c>
      <c r="BB45" s="76">
        <f t="shared" si="54"/>
        <v>0.86136089508373637</v>
      </c>
      <c r="BC45" s="64">
        <f t="shared" si="55"/>
        <v>86.13608950837363</v>
      </c>
      <c r="BD45" s="63">
        <f t="shared" si="98"/>
        <v>1.0584074096453955</v>
      </c>
      <c r="BE45" s="63">
        <f t="shared" si="56"/>
        <v>0.89767977449139358</v>
      </c>
      <c r="BF45" s="63">
        <f t="shared" si="99"/>
        <v>0.57789909022412833</v>
      </c>
      <c r="BG45" s="63">
        <f t="shared" si="100"/>
        <v>0.31978068426726525</v>
      </c>
      <c r="BH45" s="63">
        <f t="shared" si="101"/>
        <v>4.5109552608567596E-2</v>
      </c>
      <c r="BI45" s="63">
        <f t="shared" si="57"/>
        <v>4.4336E-2</v>
      </c>
      <c r="BJ45" s="63">
        <f t="shared" si="58"/>
        <v>1.5766617240343373E-3</v>
      </c>
      <c r="BK45" s="63">
        <f t="shared" si="59"/>
        <v>7.7477630428380032E-2</v>
      </c>
      <c r="BL45" s="63">
        <f t="shared" si="60"/>
        <v>2.1245870288977708</v>
      </c>
    </row>
    <row r="46" spans="3:64" x14ac:dyDescent="0.25">
      <c r="C46" s="61">
        <v>34</v>
      </c>
      <c r="D46" s="61">
        <f t="shared" si="61"/>
        <v>105</v>
      </c>
      <c r="E46" s="61">
        <f t="shared" si="62"/>
        <v>105</v>
      </c>
      <c r="F46" s="61">
        <f t="shared" si="63"/>
        <v>105</v>
      </c>
      <c r="G46" s="73">
        <f t="shared" si="64"/>
        <v>24</v>
      </c>
      <c r="H46" s="64">
        <f t="shared" si="65"/>
        <v>1</v>
      </c>
      <c r="I46" s="63">
        <f t="shared" si="102"/>
        <v>3.4</v>
      </c>
      <c r="J46" s="65">
        <f t="shared" si="66"/>
        <v>8.6117892021752077E-4</v>
      </c>
      <c r="K46" s="65">
        <f t="shared" si="67"/>
        <v>8.6117892021752077E-4</v>
      </c>
      <c r="L46" s="65">
        <f t="shared" si="68"/>
        <v>5.1791610661465239E-3</v>
      </c>
      <c r="M46" s="65">
        <f t="shared" si="69"/>
        <v>4.0000000000000001E-3</v>
      </c>
      <c r="N46" s="63">
        <f t="shared" si="70"/>
        <v>0.16808904816473491</v>
      </c>
      <c r="O46" s="64">
        <f t="shared" si="71"/>
        <v>2.1566113806441751</v>
      </c>
      <c r="P46" s="64">
        <f t="shared" si="72"/>
        <v>4.4783056903220873</v>
      </c>
      <c r="Q46" s="64">
        <f t="shared" si="73"/>
        <v>2.3216943096779126</v>
      </c>
      <c r="R46" s="64">
        <f t="shared" si="74"/>
        <v>0</v>
      </c>
      <c r="S46" s="64">
        <f t="shared" si="75"/>
        <v>3.4565273113237507</v>
      </c>
      <c r="T46" s="63">
        <f t="shared" si="42"/>
        <v>6.1878446629128558E-2</v>
      </c>
      <c r="U46" s="63">
        <f t="shared" si="76"/>
        <v>1</v>
      </c>
      <c r="V46" s="63">
        <f t="shared" si="43"/>
        <v>1.0618784466291284</v>
      </c>
      <c r="W46" s="64">
        <f t="shared" si="44"/>
        <v>0.62256008057616252</v>
      </c>
      <c r="X46" s="63">
        <f t="shared" si="77"/>
        <v>7.7516210785399609E-2</v>
      </c>
      <c r="Y46" s="63">
        <f t="shared" si="45"/>
        <v>7.7516210785399609E-2</v>
      </c>
      <c r="Z46" s="64">
        <f t="shared" si="78"/>
        <v>1.2925522933346227</v>
      </c>
      <c r="AA46" s="74">
        <f t="shared" si="79"/>
        <v>1.6706914310045927E-3</v>
      </c>
      <c r="AB46" s="75">
        <f t="shared" si="46"/>
        <v>1.6706914310045927E-3</v>
      </c>
      <c r="AC46" s="63">
        <f t="shared" si="80"/>
        <v>1.4171300318692033</v>
      </c>
      <c r="AD46" s="63">
        <f t="shared" si="47"/>
        <v>1.7294690488148582E-3</v>
      </c>
      <c r="AE46" s="63">
        <f t="shared" si="81"/>
        <v>2.2838787190294536E-3</v>
      </c>
      <c r="AF46" s="63">
        <f t="shared" si="82"/>
        <v>0.31985519254146133</v>
      </c>
      <c r="AG46" s="63">
        <f t="shared" si="83"/>
        <v>4.0608000000000005E-2</v>
      </c>
      <c r="AH46" s="63">
        <f t="shared" si="84"/>
        <v>0</v>
      </c>
      <c r="AI46" s="63">
        <f t="shared" si="48"/>
        <v>0.22378064516129031</v>
      </c>
      <c r="AJ46" s="63">
        <f t="shared" si="49"/>
        <v>0.58652771642178103</v>
      </c>
      <c r="AK46" s="63">
        <f t="shared" si="85"/>
        <v>3.1526692701108674</v>
      </c>
      <c r="AL46" s="63">
        <f t="shared" si="86"/>
        <v>8.5595359024173041E-3</v>
      </c>
      <c r="AM46" s="63">
        <f t="shared" si="87"/>
        <v>1.1322622657186483E-2</v>
      </c>
      <c r="AN46" s="63">
        <f t="shared" si="88"/>
        <v>7.2649570604388966E-2</v>
      </c>
      <c r="AO46" s="63">
        <f t="shared" si="89"/>
        <v>403.56836470738062</v>
      </c>
      <c r="AP46" s="63">
        <f t="shared" si="50"/>
        <v>7.2649570604388966E-2</v>
      </c>
      <c r="AQ46" s="61">
        <f t="shared" si="90"/>
        <v>0.46248</v>
      </c>
      <c r="AR46" s="61">
        <f t="shared" si="91"/>
        <v>50128320000</v>
      </c>
      <c r="AS46" s="61">
        <f t="shared" si="51"/>
        <v>0.46248</v>
      </c>
      <c r="AT46" s="61">
        <f t="shared" si="52"/>
        <v>0.23869935483870966</v>
      </c>
      <c r="AU46" s="63">
        <f t="shared" si="53"/>
        <v>0.32267154810028509</v>
      </c>
      <c r="AV46" s="63">
        <f t="shared" si="92"/>
        <v>4.7790324215707988E-2</v>
      </c>
      <c r="AW46" s="63">
        <f t="shared" si="93"/>
        <v>2.9760000000000003E-3</v>
      </c>
      <c r="AX46" s="63">
        <f t="shared" si="94"/>
        <v>4.1360000000000001E-2</v>
      </c>
      <c r="AY46" s="63">
        <f t="shared" si="95"/>
        <v>4.4336E-2</v>
      </c>
      <c r="AZ46" s="63">
        <f t="shared" si="96"/>
        <v>2.1423909375833068</v>
      </c>
      <c r="BA46" s="64">
        <f t="shared" si="97"/>
        <v>13.6</v>
      </c>
      <c r="BB46" s="76">
        <f t="shared" si="54"/>
        <v>0.86390943116089358</v>
      </c>
      <c r="BC46" s="64">
        <f t="shared" si="55"/>
        <v>86.39094311608936</v>
      </c>
      <c r="BD46" s="63">
        <f t="shared" si="98"/>
        <v>1.0618784466291284</v>
      </c>
      <c r="BE46" s="63">
        <f t="shared" si="56"/>
        <v>0.90919926452206612</v>
      </c>
      <c r="BF46" s="63">
        <f t="shared" si="99"/>
        <v>0.58652771642178103</v>
      </c>
      <c r="BG46" s="63">
        <f t="shared" si="100"/>
        <v>0.32267154810028509</v>
      </c>
      <c r="BH46" s="63">
        <f t="shared" si="101"/>
        <v>4.7790324215707988E-2</v>
      </c>
      <c r="BI46" s="63">
        <f t="shared" si="57"/>
        <v>4.4336E-2</v>
      </c>
      <c r="BJ46" s="63">
        <f t="shared" si="58"/>
        <v>1.6706914310045927E-3</v>
      </c>
      <c r="BK46" s="63">
        <f t="shared" si="59"/>
        <v>7.7516210785399609E-2</v>
      </c>
      <c r="BL46" s="63">
        <f t="shared" si="60"/>
        <v>2.1423909375833068</v>
      </c>
    </row>
    <row r="47" spans="3:64" x14ac:dyDescent="0.25">
      <c r="C47" s="61">
        <v>35</v>
      </c>
      <c r="D47" s="61">
        <f t="shared" si="61"/>
        <v>105</v>
      </c>
      <c r="E47" s="61">
        <f t="shared" si="62"/>
        <v>105</v>
      </c>
      <c r="F47" s="61">
        <f t="shared" si="63"/>
        <v>105</v>
      </c>
      <c r="G47" s="73">
        <f t="shared" si="64"/>
        <v>24</v>
      </c>
      <c r="H47" s="64">
        <f t="shared" si="65"/>
        <v>1</v>
      </c>
      <c r="I47" s="63">
        <f t="shared" si="102"/>
        <v>3.5</v>
      </c>
      <c r="J47" s="65">
        <f t="shared" si="66"/>
        <v>8.6117892021752077E-4</v>
      </c>
      <c r="K47" s="65">
        <f t="shared" si="67"/>
        <v>8.6117892021752077E-4</v>
      </c>
      <c r="L47" s="65">
        <f t="shared" si="68"/>
        <v>5.1791610661465239E-3</v>
      </c>
      <c r="M47" s="65">
        <f t="shared" si="69"/>
        <v>4.0000000000000001E-3</v>
      </c>
      <c r="N47" s="63">
        <f t="shared" si="70"/>
        <v>0.16813088291467806</v>
      </c>
      <c r="O47" s="64">
        <f t="shared" si="71"/>
        <v>2.1571481276768871</v>
      </c>
      <c r="P47" s="64">
        <f t="shared" si="72"/>
        <v>4.5785740638384436</v>
      </c>
      <c r="Q47" s="64">
        <f t="shared" si="73"/>
        <v>2.4214259361615564</v>
      </c>
      <c r="R47" s="64">
        <f t="shared" si="74"/>
        <v>0</v>
      </c>
      <c r="S47" s="64">
        <f t="shared" si="75"/>
        <v>3.5549646979580998</v>
      </c>
      <c r="T47" s="63">
        <f t="shared" si="42"/>
        <v>6.545306708286841E-2</v>
      </c>
      <c r="U47" s="63">
        <f t="shared" si="76"/>
        <v>1</v>
      </c>
      <c r="V47" s="63">
        <f t="shared" si="43"/>
        <v>1.0654530670828684</v>
      </c>
      <c r="W47" s="64">
        <f t="shared" si="44"/>
        <v>0.62271502609807405</v>
      </c>
      <c r="X47" s="63">
        <f t="shared" si="77"/>
        <v>7.7554800745665009E-2</v>
      </c>
      <c r="Y47" s="63">
        <f t="shared" si="45"/>
        <v>7.7554800745665009E-2</v>
      </c>
      <c r="Z47" s="64">
        <f t="shared" si="78"/>
        <v>1.3294944844828707</v>
      </c>
      <c r="AA47" s="74">
        <f t="shared" si="79"/>
        <v>1.7675555842703741E-3</v>
      </c>
      <c r="AB47" s="75">
        <f t="shared" si="46"/>
        <v>1.7675555842703741E-3</v>
      </c>
      <c r="AC47" s="63">
        <f t="shared" si="80"/>
        <v>1.4576694074182284</v>
      </c>
      <c r="AD47" s="63">
        <f t="shared" si="47"/>
        <v>1.8298330569354276E-3</v>
      </c>
      <c r="AE47" s="63">
        <f t="shared" si="81"/>
        <v>2.41647622867973E-3</v>
      </c>
      <c r="AF47" s="63">
        <f t="shared" si="82"/>
        <v>0.32835511720669697</v>
      </c>
      <c r="AG47" s="63">
        <f t="shared" si="83"/>
        <v>4.0608000000000005E-2</v>
      </c>
      <c r="AH47" s="63">
        <f t="shared" si="84"/>
        <v>0</v>
      </c>
      <c r="AI47" s="63">
        <f t="shared" si="48"/>
        <v>0.22378064516129031</v>
      </c>
      <c r="AJ47" s="63">
        <f t="shared" si="49"/>
        <v>0.595160238596667</v>
      </c>
      <c r="AK47" s="63">
        <f t="shared" si="85"/>
        <v>3.2423716477919853</v>
      </c>
      <c r="AL47" s="63">
        <f t="shared" si="86"/>
        <v>9.0535515135483843E-3</v>
      </c>
      <c r="AM47" s="63">
        <f t="shared" si="87"/>
        <v>1.1977581030306531E-2</v>
      </c>
      <c r="AN47" s="63">
        <f t="shared" si="88"/>
        <v>7.4904561519967452E-2</v>
      </c>
      <c r="AO47" s="63">
        <f t="shared" si="89"/>
        <v>416.09483924341919</v>
      </c>
      <c r="AP47" s="63">
        <f t="shared" si="50"/>
        <v>7.4904561519967452E-2</v>
      </c>
      <c r="AQ47" s="61">
        <f t="shared" si="90"/>
        <v>0.46248</v>
      </c>
      <c r="AR47" s="61">
        <f t="shared" si="91"/>
        <v>50128320000</v>
      </c>
      <c r="AS47" s="61">
        <f t="shared" si="51"/>
        <v>0.46248</v>
      </c>
      <c r="AT47" s="61">
        <f t="shared" si="52"/>
        <v>0.23869935483870966</v>
      </c>
      <c r="AU47" s="63">
        <f t="shared" si="53"/>
        <v>0.32558149738898368</v>
      </c>
      <c r="AV47" s="63">
        <f t="shared" si="92"/>
        <v>5.055109601491329E-2</v>
      </c>
      <c r="AW47" s="63">
        <f t="shared" si="93"/>
        <v>2.9760000000000003E-3</v>
      </c>
      <c r="AX47" s="63">
        <f t="shared" si="94"/>
        <v>4.1360000000000001E-2</v>
      </c>
      <c r="AY47" s="63">
        <f t="shared" si="95"/>
        <v>4.4336E-2</v>
      </c>
      <c r="AZ47" s="63">
        <f t="shared" si="96"/>
        <v>2.1604042554133676</v>
      </c>
      <c r="BA47" s="64">
        <f t="shared" si="97"/>
        <v>14</v>
      </c>
      <c r="BB47" s="76">
        <f t="shared" si="54"/>
        <v>0.86631496209696102</v>
      </c>
      <c r="BC47" s="64">
        <f t="shared" si="55"/>
        <v>86.631496209696095</v>
      </c>
      <c r="BD47" s="63">
        <f t="shared" si="98"/>
        <v>1.0654530670828684</v>
      </c>
      <c r="BE47" s="63">
        <f t="shared" si="56"/>
        <v>0.92074173598565068</v>
      </c>
      <c r="BF47" s="63">
        <f t="shared" si="99"/>
        <v>0.595160238596667</v>
      </c>
      <c r="BG47" s="63">
        <f t="shared" si="100"/>
        <v>0.32558149738898368</v>
      </c>
      <c r="BH47" s="63">
        <f t="shared" si="101"/>
        <v>5.055109601491329E-2</v>
      </c>
      <c r="BI47" s="63">
        <f t="shared" si="57"/>
        <v>4.4336E-2</v>
      </c>
      <c r="BJ47" s="63">
        <f t="shared" si="58"/>
        <v>1.7675555842703741E-3</v>
      </c>
      <c r="BK47" s="63">
        <f t="shared" si="59"/>
        <v>7.7554800745665009E-2</v>
      </c>
      <c r="BL47" s="63">
        <f t="shared" si="60"/>
        <v>2.1604042554133676</v>
      </c>
    </row>
    <row r="48" spans="3:64" x14ac:dyDescent="0.25">
      <c r="C48" s="61">
        <v>36</v>
      </c>
      <c r="D48" s="61">
        <f t="shared" si="61"/>
        <v>105</v>
      </c>
      <c r="E48" s="61">
        <f t="shared" si="62"/>
        <v>105</v>
      </c>
      <c r="F48" s="61">
        <f t="shared" si="63"/>
        <v>105</v>
      </c>
      <c r="G48" s="73">
        <f t="shared" si="64"/>
        <v>24</v>
      </c>
      <c r="H48" s="64">
        <f t="shared" si="65"/>
        <v>1</v>
      </c>
      <c r="I48" s="63">
        <f t="shared" si="102"/>
        <v>3.6</v>
      </c>
      <c r="J48" s="65">
        <f t="shared" si="66"/>
        <v>8.6117892021752077E-4</v>
      </c>
      <c r="K48" s="65">
        <f t="shared" si="67"/>
        <v>8.6117892021752077E-4</v>
      </c>
      <c r="L48" s="65">
        <f t="shared" si="68"/>
        <v>5.1791610661465239E-3</v>
      </c>
      <c r="M48" s="65">
        <f t="shared" si="69"/>
        <v>4.0000000000000001E-3</v>
      </c>
      <c r="N48" s="63">
        <f t="shared" si="70"/>
        <v>0.16817271766462127</v>
      </c>
      <c r="O48" s="64">
        <f t="shared" si="71"/>
        <v>2.1576848747096</v>
      </c>
      <c r="P48" s="64">
        <f t="shared" si="72"/>
        <v>4.6788424373547999</v>
      </c>
      <c r="Q48" s="64">
        <f t="shared" si="73"/>
        <v>2.5211575626452003</v>
      </c>
      <c r="R48" s="64">
        <f t="shared" si="74"/>
        <v>0</v>
      </c>
      <c r="S48" s="64">
        <f t="shared" si="75"/>
        <v>3.6534869647428443</v>
      </c>
      <c r="T48" s="63">
        <f t="shared" si="42"/>
        <v>6.913127100661498E-2</v>
      </c>
      <c r="U48" s="63">
        <f t="shared" si="76"/>
        <v>1</v>
      </c>
      <c r="V48" s="63">
        <f t="shared" si="43"/>
        <v>1.069131271006615</v>
      </c>
      <c r="W48" s="64">
        <f t="shared" si="44"/>
        <v>0.62286997161998581</v>
      </c>
      <c r="X48" s="63">
        <f t="shared" si="77"/>
        <v>7.7593400309176386E-2</v>
      </c>
      <c r="Y48" s="63">
        <f t="shared" si="45"/>
        <v>7.7593400309176386E-2</v>
      </c>
      <c r="Z48" s="64">
        <f t="shared" si="78"/>
        <v>1.3664757014789701</v>
      </c>
      <c r="AA48" s="74">
        <f t="shared" si="79"/>
        <v>1.8672558427324435E-3</v>
      </c>
      <c r="AB48" s="75">
        <f t="shared" si="46"/>
        <v>1.8672558427324435E-3</v>
      </c>
      <c r="AC48" s="63">
        <f t="shared" si="80"/>
        <v>1.4982536120255665</v>
      </c>
      <c r="AD48" s="63">
        <f t="shared" si="47"/>
        <v>1.9331433394436891E-3</v>
      </c>
      <c r="AE48" s="63">
        <f t="shared" si="81"/>
        <v>2.5529731533013461E-3</v>
      </c>
      <c r="AF48" s="63">
        <f t="shared" si="82"/>
        <v>0.3368550418719326</v>
      </c>
      <c r="AG48" s="63">
        <f t="shared" si="83"/>
        <v>4.0608000000000005E-2</v>
      </c>
      <c r="AH48" s="63">
        <f t="shared" si="84"/>
        <v>0</v>
      </c>
      <c r="AI48" s="63">
        <f t="shared" si="48"/>
        <v>0.22378064516129031</v>
      </c>
      <c r="AJ48" s="63">
        <f t="shared" si="49"/>
        <v>0.60379666018652423</v>
      </c>
      <c r="AK48" s="63">
        <f t="shared" si="85"/>
        <v>3.3321469228709324</v>
      </c>
      <c r="AL48" s="63">
        <f t="shared" si="86"/>
        <v>9.5618444700466907E-3</v>
      </c>
      <c r="AM48" s="63">
        <f t="shared" si="87"/>
        <v>1.265163599843739E-2</v>
      </c>
      <c r="AN48" s="63">
        <f t="shared" si="88"/>
        <v>7.7159552435545953E-2</v>
      </c>
      <c r="AO48" s="63">
        <f t="shared" si="89"/>
        <v>428.62131377945781</v>
      </c>
      <c r="AP48" s="63">
        <f t="shared" si="50"/>
        <v>7.7159552435545953E-2</v>
      </c>
      <c r="AQ48" s="61">
        <f t="shared" si="90"/>
        <v>0.46248</v>
      </c>
      <c r="AR48" s="61">
        <f t="shared" si="91"/>
        <v>50128320000</v>
      </c>
      <c r="AS48" s="61">
        <f t="shared" si="51"/>
        <v>0.46248</v>
      </c>
      <c r="AT48" s="61">
        <f t="shared" si="52"/>
        <v>0.23869935483870966</v>
      </c>
      <c r="AU48" s="63">
        <f t="shared" si="53"/>
        <v>0.32851054327269302</v>
      </c>
      <c r="AV48" s="63">
        <f t="shared" si="92"/>
        <v>5.3391868006183521E-2</v>
      </c>
      <c r="AW48" s="63">
        <f t="shared" si="93"/>
        <v>2.9760000000000003E-3</v>
      </c>
      <c r="AX48" s="63">
        <f t="shared" si="94"/>
        <v>4.1360000000000001E-2</v>
      </c>
      <c r="AY48" s="63">
        <f t="shared" si="95"/>
        <v>4.4336E-2</v>
      </c>
      <c r="AZ48" s="63">
        <f t="shared" si="96"/>
        <v>2.1786269986239244</v>
      </c>
      <c r="BA48" s="64">
        <f t="shared" si="97"/>
        <v>14.4</v>
      </c>
      <c r="BB48" s="76">
        <f t="shared" si="54"/>
        <v>0.86858821307670675</v>
      </c>
      <c r="BC48" s="64">
        <f t="shared" si="55"/>
        <v>86.858821307670681</v>
      </c>
      <c r="BD48" s="63">
        <f t="shared" si="98"/>
        <v>1.069131271006615</v>
      </c>
      <c r="BE48" s="63">
        <f t="shared" si="56"/>
        <v>0.93230720345921725</v>
      </c>
      <c r="BF48" s="63">
        <f t="shared" si="99"/>
        <v>0.60379666018652423</v>
      </c>
      <c r="BG48" s="63">
        <f t="shared" si="100"/>
        <v>0.32851054327269302</v>
      </c>
      <c r="BH48" s="63">
        <f t="shared" si="101"/>
        <v>5.3391868006183521E-2</v>
      </c>
      <c r="BI48" s="63">
        <f t="shared" si="57"/>
        <v>4.4336E-2</v>
      </c>
      <c r="BJ48" s="63">
        <f t="shared" si="58"/>
        <v>1.8672558427324435E-3</v>
      </c>
      <c r="BK48" s="63">
        <f t="shared" si="59"/>
        <v>7.7593400309176386E-2</v>
      </c>
      <c r="BL48" s="63">
        <f t="shared" si="60"/>
        <v>2.1786269986239244</v>
      </c>
    </row>
    <row r="49" spans="3:70" x14ac:dyDescent="0.25">
      <c r="C49" s="61">
        <v>37</v>
      </c>
      <c r="D49" s="61">
        <f t="shared" si="61"/>
        <v>105</v>
      </c>
      <c r="E49" s="61">
        <f t="shared" si="62"/>
        <v>105</v>
      </c>
      <c r="F49" s="61">
        <f t="shared" si="63"/>
        <v>105</v>
      </c>
      <c r="G49" s="73">
        <f t="shared" si="64"/>
        <v>24</v>
      </c>
      <c r="H49" s="64">
        <f t="shared" si="65"/>
        <v>1</v>
      </c>
      <c r="I49" s="63">
        <f t="shared" si="102"/>
        <v>3.7</v>
      </c>
      <c r="J49" s="65">
        <f t="shared" si="66"/>
        <v>8.6117892021752077E-4</v>
      </c>
      <c r="K49" s="65">
        <f t="shared" si="67"/>
        <v>8.6117892021752077E-4</v>
      </c>
      <c r="L49" s="65">
        <f t="shared" si="68"/>
        <v>5.1791610661465239E-3</v>
      </c>
      <c r="M49" s="65">
        <f t="shared" si="69"/>
        <v>4.0000000000000001E-3</v>
      </c>
      <c r="N49" s="63">
        <f t="shared" si="70"/>
        <v>0.16821455241456448</v>
      </c>
      <c r="O49" s="64">
        <f t="shared" si="71"/>
        <v>2.1582216217423125</v>
      </c>
      <c r="P49" s="64">
        <f t="shared" si="72"/>
        <v>4.7791108108711562</v>
      </c>
      <c r="Q49" s="64">
        <f t="shared" si="73"/>
        <v>2.6208891891288442</v>
      </c>
      <c r="R49" s="64">
        <f t="shared" si="74"/>
        <v>0</v>
      </c>
      <c r="S49" s="64">
        <f t="shared" si="75"/>
        <v>3.7520874253380168</v>
      </c>
      <c r="T49" s="63">
        <f t="shared" si="42"/>
        <v>7.2913058400368269E-2</v>
      </c>
      <c r="U49" s="63">
        <f t="shared" si="76"/>
        <v>1</v>
      </c>
      <c r="V49" s="63">
        <f t="shared" si="43"/>
        <v>1.0729130584003683</v>
      </c>
      <c r="W49" s="64">
        <f t="shared" si="44"/>
        <v>0.62302491714189745</v>
      </c>
      <c r="X49" s="63">
        <f t="shared" si="77"/>
        <v>7.7632009475933642E-2</v>
      </c>
      <c r="Y49" s="63">
        <f t="shared" si="45"/>
        <v>7.7632009475933642E-2</v>
      </c>
      <c r="Z49" s="64">
        <f t="shared" si="78"/>
        <v>1.4034934502417615</v>
      </c>
      <c r="AA49" s="74">
        <f t="shared" si="79"/>
        <v>1.9697938648715239E-3</v>
      </c>
      <c r="AB49" s="75">
        <f t="shared" si="46"/>
        <v>1.9697938648715239E-3</v>
      </c>
      <c r="AC49" s="63">
        <f t="shared" si="80"/>
        <v>1.5388799144801959</v>
      </c>
      <c r="AD49" s="63">
        <f t="shared" si="47"/>
        <v>2.0394020579771193E-3</v>
      </c>
      <c r="AE49" s="63">
        <f t="shared" si="81"/>
        <v>2.693372948372583E-3</v>
      </c>
      <c r="AF49" s="63">
        <f t="shared" si="82"/>
        <v>0.34535496653716824</v>
      </c>
      <c r="AG49" s="63">
        <f t="shared" si="83"/>
        <v>4.0608000000000005E-2</v>
      </c>
      <c r="AH49" s="63">
        <f t="shared" si="84"/>
        <v>0</v>
      </c>
      <c r="AI49" s="63">
        <f t="shared" si="48"/>
        <v>0.22378064516129031</v>
      </c>
      <c r="AJ49" s="63">
        <f t="shared" si="49"/>
        <v>0.61243698464683116</v>
      </c>
      <c r="AK49" s="63">
        <f t="shared" si="85"/>
        <v>3.4219889912431181</v>
      </c>
      <c r="AL49" s="63">
        <f t="shared" si="86"/>
        <v>1.0084412610274745E-2</v>
      </c>
      <c r="AM49" s="63">
        <f t="shared" si="87"/>
        <v>1.3344799111752811E-2</v>
      </c>
      <c r="AN49" s="63">
        <f t="shared" si="88"/>
        <v>7.9414543351124467E-2</v>
      </c>
      <c r="AO49" s="63">
        <f t="shared" si="89"/>
        <v>441.14778831549643</v>
      </c>
      <c r="AP49" s="63">
        <f t="shared" si="50"/>
        <v>7.9414543351124467E-2</v>
      </c>
      <c r="AQ49" s="61">
        <f t="shared" si="90"/>
        <v>0.46248</v>
      </c>
      <c r="AR49" s="61">
        <f t="shared" si="91"/>
        <v>50128320000</v>
      </c>
      <c r="AS49" s="61">
        <f t="shared" si="51"/>
        <v>0.46248</v>
      </c>
      <c r="AT49" s="61">
        <f t="shared" si="52"/>
        <v>0.23869935483870966</v>
      </c>
      <c r="AU49" s="63">
        <f t="shared" si="53"/>
        <v>0.33145869730158695</v>
      </c>
      <c r="AV49" s="63">
        <f t="shared" si="92"/>
        <v>5.6312640189518669E-2</v>
      </c>
      <c r="AW49" s="63">
        <f t="shared" si="93"/>
        <v>2.9760000000000003E-3</v>
      </c>
      <c r="AX49" s="63">
        <f t="shared" si="94"/>
        <v>4.1360000000000001E-2</v>
      </c>
      <c r="AY49" s="63">
        <f t="shared" si="95"/>
        <v>4.4336E-2</v>
      </c>
      <c r="AZ49" s="63">
        <f t="shared" si="96"/>
        <v>2.1970591838791105</v>
      </c>
      <c r="BA49" s="64">
        <f t="shared" si="97"/>
        <v>14.8</v>
      </c>
      <c r="BB49" s="76">
        <f t="shared" si="54"/>
        <v>0.87073886369926201</v>
      </c>
      <c r="BC49" s="64">
        <f t="shared" si="55"/>
        <v>87.0738863699262</v>
      </c>
      <c r="BD49" s="63">
        <f t="shared" si="98"/>
        <v>1.0729130584003683</v>
      </c>
      <c r="BE49" s="63">
        <f t="shared" si="56"/>
        <v>0.94389568194841811</v>
      </c>
      <c r="BF49" s="63">
        <f t="shared" si="99"/>
        <v>0.61243698464683116</v>
      </c>
      <c r="BG49" s="63">
        <f t="shared" si="100"/>
        <v>0.33145869730158695</v>
      </c>
      <c r="BH49" s="63">
        <f t="shared" si="101"/>
        <v>5.6312640189518669E-2</v>
      </c>
      <c r="BI49" s="63">
        <f t="shared" si="57"/>
        <v>4.4336E-2</v>
      </c>
      <c r="BJ49" s="63">
        <f t="shared" si="58"/>
        <v>1.9697938648715239E-3</v>
      </c>
      <c r="BK49" s="63">
        <f t="shared" si="59"/>
        <v>7.7632009475933642E-2</v>
      </c>
      <c r="BL49" s="63">
        <f t="shared" si="60"/>
        <v>2.1970591838791105</v>
      </c>
    </row>
    <row r="50" spans="3:70" x14ac:dyDescent="0.25">
      <c r="C50" s="61">
        <v>38</v>
      </c>
      <c r="D50" s="61">
        <f t="shared" si="61"/>
        <v>105</v>
      </c>
      <c r="E50" s="61">
        <f t="shared" si="62"/>
        <v>105</v>
      </c>
      <c r="F50" s="61">
        <f t="shared" si="63"/>
        <v>105</v>
      </c>
      <c r="G50" s="73">
        <f t="shared" si="64"/>
        <v>24</v>
      </c>
      <c r="H50" s="64">
        <f t="shared" si="65"/>
        <v>1</v>
      </c>
      <c r="I50" s="63">
        <f t="shared" si="102"/>
        <v>3.8</v>
      </c>
      <c r="J50" s="65">
        <f t="shared" si="66"/>
        <v>8.6117892021752077E-4</v>
      </c>
      <c r="K50" s="65">
        <f t="shared" si="67"/>
        <v>8.6117892021752077E-4</v>
      </c>
      <c r="L50" s="65">
        <f t="shared" si="68"/>
        <v>5.1791610661465239E-3</v>
      </c>
      <c r="M50" s="65">
        <f t="shared" si="69"/>
        <v>4.0000000000000001E-3</v>
      </c>
      <c r="N50" s="63">
        <f t="shared" si="70"/>
        <v>0.16825638716450764</v>
      </c>
      <c r="O50" s="64">
        <f t="shared" si="71"/>
        <v>2.1587583687750245</v>
      </c>
      <c r="P50" s="64">
        <f t="shared" si="72"/>
        <v>4.8793791843875116</v>
      </c>
      <c r="Q50" s="64">
        <f t="shared" si="73"/>
        <v>2.7206208156124876</v>
      </c>
      <c r="R50" s="64">
        <f t="shared" si="74"/>
        <v>0</v>
      </c>
      <c r="S50" s="64">
        <f t="shared" si="75"/>
        <v>3.8507600731842127</v>
      </c>
      <c r="T50" s="63">
        <f t="shared" si="42"/>
        <v>7.6798429264128276E-2</v>
      </c>
      <c r="U50" s="63">
        <f t="shared" si="76"/>
        <v>1</v>
      </c>
      <c r="V50" s="63">
        <f t="shared" si="43"/>
        <v>1.0767984292641284</v>
      </c>
      <c r="W50" s="64">
        <f t="shared" si="44"/>
        <v>0.62317986266380898</v>
      </c>
      <c r="X50" s="63">
        <f t="shared" si="77"/>
        <v>7.7670628245936776E-2</v>
      </c>
      <c r="Y50" s="63">
        <f t="shared" si="45"/>
        <v>7.7670628245936776E-2</v>
      </c>
      <c r="Z50" s="64">
        <f t="shared" si="78"/>
        <v>1.4405454899961692</v>
      </c>
      <c r="AA50" s="74">
        <f t="shared" si="79"/>
        <v>2.0751713087483032E-3</v>
      </c>
      <c r="AB50" s="75">
        <f t="shared" si="46"/>
        <v>2.0751713087483032E-3</v>
      </c>
      <c r="AC50" s="63">
        <f t="shared" si="80"/>
        <v>1.5795458610444917</v>
      </c>
      <c r="AD50" s="63">
        <f t="shared" si="47"/>
        <v>2.1486113741731928E-3</v>
      </c>
      <c r="AE50" s="63">
        <f t="shared" si="81"/>
        <v>2.8376790871602205E-3</v>
      </c>
      <c r="AF50" s="63">
        <f t="shared" si="82"/>
        <v>0.35385489120240371</v>
      </c>
      <c r="AG50" s="63">
        <f t="shared" si="83"/>
        <v>4.0608000000000005E-2</v>
      </c>
      <c r="AH50" s="63">
        <f t="shared" si="84"/>
        <v>0</v>
      </c>
      <c r="AI50" s="63">
        <f t="shared" si="48"/>
        <v>0.22378064516129031</v>
      </c>
      <c r="AJ50" s="63">
        <f t="shared" si="49"/>
        <v>0.62108121545085426</v>
      </c>
      <c r="AK50" s="63">
        <f t="shared" si="85"/>
        <v>3.5118923693767861</v>
      </c>
      <c r="AL50" s="63">
        <f t="shared" si="86"/>
        <v>1.0621253772595067E-2</v>
      </c>
      <c r="AM50" s="63">
        <f t="shared" si="87"/>
        <v>1.4057082331835162E-2</v>
      </c>
      <c r="AN50" s="63">
        <f t="shared" si="88"/>
        <v>8.1669534266702953E-2</v>
      </c>
      <c r="AO50" s="63">
        <f t="shared" si="89"/>
        <v>453.67426285153493</v>
      </c>
      <c r="AP50" s="63">
        <f t="shared" si="50"/>
        <v>8.1669534266702953E-2</v>
      </c>
      <c r="AQ50" s="61">
        <f t="shared" si="90"/>
        <v>0.46248</v>
      </c>
      <c r="AR50" s="61">
        <f t="shared" si="91"/>
        <v>50128320000</v>
      </c>
      <c r="AS50" s="61">
        <f t="shared" si="51"/>
        <v>0.46248</v>
      </c>
      <c r="AT50" s="61">
        <f t="shared" si="52"/>
        <v>0.23869935483870966</v>
      </c>
      <c r="AU50" s="63">
        <f t="shared" si="53"/>
        <v>0.33442597143724778</v>
      </c>
      <c r="AV50" s="63">
        <f t="shared" si="92"/>
        <v>5.9313412564918733E-2</v>
      </c>
      <c r="AW50" s="63">
        <f t="shared" si="93"/>
        <v>2.9760000000000003E-3</v>
      </c>
      <c r="AX50" s="63">
        <f t="shared" si="94"/>
        <v>4.1360000000000001E-2</v>
      </c>
      <c r="AY50" s="63">
        <f t="shared" si="95"/>
        <v>4.4336E-2</v>
      </c>
      <c r="AZ50" s="63">
        <f t="shared" si="96"/>
        <v>2.2157008282718342</v>
      </c>
      <c r="BA50" s="64">
        <f t="shared" si="97"/>
        <v>15.2</v>
      </c>
      <c r="BB50" s="76">
        <f t="shared" si="54"/>
        <v>0.87277567235910658</v>
      </c>
      <c r="BC50" s="64">
        <f t="shared" si="55"/>
        <v>87.277567235910652</v>
      </c>
      <c r="BD50" s="63">
        <f t="shared" si="98"/>
        <v>1.0767984292641284</v>
      </c>
      <c r="BE50" s="63">
        <f t="shared" si="56"/>
        <v>0.95550718688810199</v>
      </c>
      <c r="BF50" s="63">
        <f t="shared" si="99"/>
        <v>0.62108121545085426</v>
      </c>
      <c r="BG50" s="63">
        <f t="shared" si="100"/>
        <v>0.33442597143724778</v>
      </c>
      <c r="BH50" s="63">
        <f t="shared" si="101"/>
        <v>5.9313412564918733E-2</v>
      </c>
      <c r="BI50" s="63">
        <f t="shared" si="57"/>
        <v>4.4336E-2</v>
      </c>
      <c r="BJ50" s="63">
        <f t="shared" si="58"/>
        <v>2.0751713087483032E-3</v>
      </c>
      <c r="BK50" s="63">
        <f t="shared" si="59"/>
        <v>7.7670628245936776E-2</v>
      </c>
      <c r="BL50" s="63">
        <f t="shared" si="60"/>
        <v>2.2157008282718342</v>
      </c>
    </row>
    <row r="51" spans="3:70" x14ac:dyDescent="0.25">
      <c r="C51" s="61">
        <v>39</v>
      </c>
      <c r="D51" s="61">
        <f t="shared" si="61"/>
        <v>105</v>
      </c>
      <c r="E51" s="61">
        <f t="shared" si="62"/>
        <v>105</v>
      </c>
      <c r="F51" s="61">
        <f t="shared" si="63"/>
        <v>105</v>
      </c>
      <c r="G51" s="73">
        <f t="shared" si="64"/>
        <v>24</v>
      </c>
      <c r="H51" s="64">
        <f t="shared" si="65"/>
        <v>1</v>
      </c>
      <c r="I51" s="63">
        <f t="shared" si="102"/>
        <v>3.9</v>
      </c>
      <c r="J51" s="65">
        <f t="shared" si="66"/>
        <v>8.6117892021752077E-4</v>
      </c>
      <c r="K51" s="65">
        <f t="shared" si="67"/>
        <v>8.6117892021752077E-4</v>
      </c>
      <c r="L51" s="65">
        <f t="shared" si="68"/>
        <v>5.1791610661465239E-3</v>
      </c>
      <c r="M51" s="65">
        <f t="shared" si="69"/>
        <v>4.0000000000000001E-3</v>
      </c>
      <c r="N51" s="63">
        <f t="shared" si="70"/>
        <v>0.16829822191445085</v>
      </c>
      <c r="O51" s="64">
        <f t="shared" si="71"/>
        <v>2.1592951158077374</v>
      </c>
      <c r="P51" s="64">
        <f t="shared" si="72"/>
        <v>4.9796475579038688</v>
      </c>
      <c r="Q51" s="64">
        <f t="shared" si="73"/>
        <v>2.820352442096131</v>
      </c>
      <c r="R51" s="64">
        <f t="shared" si="74"/>
        <v>0</v>
      </c>
      <c r="S51" s="64">
        <f t="shared" si="75"/>
        <v>3.949499497796642</v>
      </c>
      <c r="T51" s="63">
        <f t="shared" si="42"/>
        <v>8.0787383597895002E-2</v>
      </c>
      <c r="U51" s="63">
        <f t="shared" si="76"/>
        <v>1</v>
      </c>
      <c r="V51" s="63">
        <f t="shared" si="43"/>
        <v>1.0807873835978949</v>
      </c>
      <c r="W51" s="64">
        <f t="shared" si="44"/>
        <v>0.62333480818572073</v>
      </c>
      <c r="X51" s="63">
        <f t="shared" si="77"/>
        <v>7.770925661918586E-2</v>
      </c>
      <c r="Y51" s="63">
        <f t="shared" si="45"/>
        <v>7.770925661918586E-2</v>
      </c>
      <c r="Z51" s="64">
        <f t="shared" si="78"/>
        <v>1.4776298020828607</v>
      </c>
      <c r="AA51" s="74">
        <f t="shared" si="79"/>
        <v>2.183389832003434E-3</v>
      </c>
      <c r="AB51" s="75">
        <f t="shared" si="46"/>
        <v>2.183389832003434E-3</v>
      </c>
      <c r="AC51" s="63">
        <f t="shared" si="80"/>
        <v>1.6202492412882998</v>
      </c>
      <c r="AD51" s="63">
        <f t="shared" si="47"/>
        <v>2.2607734496693892E-3</v>
      </c>
      <c r="AE51" s="63">
        <f t="shared" si="81"/>
        <v>2.9858950607682608E-3</v>
      </c>
      <c r="AF51" s="63">
        <f t="shared" si="82"/>
        <v>0.3623548158676394</v>
      </c>
      <c r="AG51" s="63">
        <f t="shared" si="83"/>
        <v>4.0608000000000005E-2</v>
      </c>
      <c r="AH51" s="63">
        <f t="shared" si="84"/>
        <v>0</v>
      </c>
      <c r="AI51" s="63">
        <f t="shared" si="48"/>
        <v>0.22378064516129031</v>
      </c>
      <c r="AJ51" s="63">
        <f t="shared" si="49"/>
        <v>0.62972935608969793</v>
      </c>
      <c r="AK51" s="63">
        <f t="shared" si="85"/>
        <v>3.6018521178972103</v>
      </c>
      <c r="AL51" s="63">
        <f t="shared" si="86"/>
        <v>1.1172365795370186E-2</v>
      </c>
      <c r="AM51" s="63">
        <f t="shared" si="87"/>
        <v>1.4788498032264629E-2</v>
      </c>
      <c r="AN51" s="63">
        <f t="shared" si="88"/>
        <v>8.3924525182281468E-2</v>
      </c>
      <c r="AO51" s="63">
        <f t="shared" si="89"/>
        <v>466.20073738757344</v>
      </c>
      <c r="AP51" s="63">
        <f t="shared" si="50"/>
        <v>8.3924525182281468E-2</v>
      </c>
      <c r="AQ51" s="61">
        <f t="shared" si="90"/>
        <v>0.46248</v>
      </c>
      <c r="AR51" s="61">
        <f t="shared" si="91"/>
        <v>50128320000</v>
      </c>
      <c r="AS51" s="61">
        <f t="shared" si="51"/>
        <v>0.46248</v>
      </c>
      <c r="AT51" s="61">
        <f t="shared" si="52"/>
        <v>0.23869935483870966</v>
      </c>
      <c r="AU51" s="63">
        <f t="shared" si="53"/>
        <v>0.33741237805325575</v>
      </c>
      <c r="AV51" s="63">
        <f t="shared" si="92"/>
        <v>6.2394185132383713E-2</v>
      </c>
      <c r="AW51" s="63">
        <f t="shared" si="93"/>
        <v>2.9760000000000003E-3</v>
      </c>
      <c r="AX51" s="63">
        <f t="shared" si="94"/>
        <v>4.1360000000000001E-2</v>
      </c>
      <c r="AY51" s="63">
        <f t="shared" si="95"/>
        <v>4.4336E-2</v>
      </c>
      <c r="AZ51" s="63">
        <f t="shared" si="96"/>
        <v>2.2345519493244219</v>
      </c>
      <c r="BA51" s="64">
        <f t="shared" si="97"/>
        <v>15.6</v>
      </c>
      <c r="BB51" s="76">
        <f t="shared" si="54"/>
        <v>0.87470658328430462</v>
      </c>
      <c r="BC51" s="64">
        <f t="shared" si="55"/>
        <v>87.47065832843046</v>
      </c>
      <c r="BD51" s="63">
        <f t="shared" si="98"/>
        <v>1.0807873835978949</v>
      </c>
      <c r="BE51" s="63">
        <f t="shared" si="56"/>
        <v>0.96714173414295368</v>
      </c>
      <c r="BF51" s="63">
        <f t="shared" si="99"/>
        <v>0.62972935608969793</v>
      </c>
      <c r="BG51" s="63">
        <f t="shared" si="100"/>
        <v>0.33741237805325575</v>
      </c>
      <c r="BH51" s="63">
        <f t="shared" si="101"/>
        <v>6.2394185132383713E-2</v>
      </c>
      <c r="BI51" s="63">
        <f t="shared" si="57"/>
        <v>4.4336E-2</v>
      </c>
      <c r="BJ51" s="63">
        <f t="shared" si="58"/>
        <v>2.183389832003434E-3</v>
      </c>
      <c r="BK51" s="63">
        <f t="shared" si="59"/>
        <v>7.770925661918586E-2</v>
      </c>
      <c r="BL51" s="63">
        <f t="shared" si="60"/>
        <v>2.2345519493244219</v>
      </c>
    </row>
    <row r="52" spans="3:70" s="81" customFormat="1" x14ac:dyDescent="0.25">
      <c r="C52" s="81">
        <v>40</v>
      </c>
      <c r="D52" s="61">
        <f t="shared" si="61"/>
        <v>105</v>
      </c>
      <c r="E52" s="61">
        <f t="shared" si="62"/>
        <v>105</v>
      </c>
      <c r="F52" s="61">
        <f t="shared" si="63"/>
        <v>105</v>
      </c>
      <c r="G52" s="89">
        <f t="shared" si="64"/>
        <v>24</v>
      </c>
      <c r="H52" s="85">
        <f t="shared" si="65"/>
        <v>1</v>
      </c>
      <c r="I52" s="86">
        <f t="shared" si="102"/>
        <v>4</v>
      </c>
      <c r="J52" s="90">
        <f t="shared" si="66"/>
        <v>8.6117892021752077E-4</v>
      </c>
      <c r="K52" s="90">
        <f t="shared" si="67"/>
        <v>8.6117892021752077E-4</v>
      </c>
      <c r="L52" s="90">
        <f t="shared" si="68"/>
        <v>5.1791610661465239E-3</v>
      </c>
      <c r="M52" s="90">
        <f t="shared" si="69"/>
        <v>4.0000000000000001E-3</v>
      </c>
      <c r="N52" s="86">
        <f t="shared" si="70"/>
        <v>0.168340056664394</v>
      </c>
      <c r="O52" s="85">
        <f t="shared" si="71"/>
        <v>2.1598318628404494</v>
      </c>
      <c r="P52" s="85">
        <f t="shared" si="72"/>
        <v>5.0799159314202242</v>
      </c>
      <c r="Q52" s="85">
        <f t="shared" si="73"/>
        <v>2.9200840685797753</v>
      </c>
      <c r="R52" s="85">
        <f t="shared" si="74"/>
        <v>0</v>
      </c>
      <c r="S52" s="85">
        <f t="shared" si="75"/>
        <v>4.0483008130545839</v>
      </c>
      <c r="T52" s="86">
        <f t="shared" si="42"/>
        <v>8.4879921401668446E-2</v>
      </c>
      <c r="U52" s="86">
        <f t="shared" si="76"/>
        <v>1</v>
      </c>
      <c r="V52" s="86">
        <f t="shared" si="43"/>
        <v>1.0848799214016684</v>
      </c>
      <c r="W52" s="85">
        <f t="shared" si="44"/>
        <v>0.62348975370763215</v>
      </c>
      <c r="X52" s="86">
        <f t="shared" si="77"/>
        <v>7.7747894595680767E-2</v>
      </c>
      <c r="Y52" s="86">
        <f t="shared" si="45"/>
        <v>7.7747894595680767E-2</v>
      </c>
      <c r="Z52" s="85">
        <f t="shared" si="78"/>
        <v>1.5147445632374892</v>
      </c>
      <c r="AA52" s="88">
        <f t="shared" si="79"/>
        <v>2.2944510918575319E-3</v>
      </c>
      <c r="AB52" s="87">
        <f t="shared" si="46"/>
        <v>2.2944510918575319E-3</v>
      </c>
      <c r="AC52" s="86">
        <f t="shared" si="80"/>
        <v>1.6609880588189596</v>
      </c>
      <c r="AD52" s="86">
        <f t="shared" si="47"/>
        <v>2.3758904461031833E-3</v>
      </c>
      <c r="AE52" s="86">
        <f t="shared" si="81"/>
        <v>3.138024378186866E-3</v>
      </c>
      <c r="AF52" s="86">
        <f t="shared" si="82"/>
        <v>0.37085474053287504</v>
      </c>
      <c r="AG52" s="86">
        <f t="shared" si="83"/>
        <v>4.0608000000000005E-2</v>
      </c>
      <c r="AH52" s="86">
        <f t="shared" si="84"/>
        <v>0</v>
      </c>
      <c r="AI52" s="63">
        <f t="shared" si="48"/>
        <v>0.22378064516129031</v>
      </c>
      <c r="AJ52" s="63">
        <f t="shared" si="49"/>
        <v>0.63838141007235216</v>
      </c>
      <c r="AK52" s="86">
        <f t="shared" si="85"/>
        <v>3.6918637761216528</v>
      </c>
      <c r="AL52" s="86">
        <f t="shared" si="86"/>
        <v>1.1737746516962619E-2</v>
      </c>
      <c r="AM52" s="86">
        <f t="shared" si="87"/>
        <v>1.5539058999230642E-2</v>
      </c>
      <c r="AN52" s="86">
        <f t="shared" si="88"/>
        <v>8.6179516097859968E-2</v>
      </c>
      <c r="AO52" s="86">
        <f t="shared" si="89"/>
        <v>478.72721192361212</v>
      </c>
      <c r="AP52" s="86">
        <f t="shared" si="50"/>
        <v>8.6179516097859968E-2</v>
      </c>
      <c r="AQ52" s="81">
        <f t="shared" si="90"/>
        <v>0.46248</v>
      </c>
      <c r="AR52" s="81">
        <f t="shared" si="91"/>
        <v>50128320000</v>
      </c>
      <c r="AS52" s="81">
        <f t="shared" si="51"/>
        <v>0.46248</v>
      </c>
      <c r="AT52" s="61">
        <f t="shared" si="52"/>
        <v>0.23869935483870966</v>
      </c>
      <c r="AU52" s="63">
        <f t="shared" si="53"/>
        <v>0.34041792993580028</v>
      </c>
      <c r="AV52" s="86">
        <f t="shared" si="92"/>
        <v>6.5554957891913623E-2</v>
      </c>
      <c r="AW52" s="86">
        <f t="shared" si="93"/>
        <v>2.9760000000000003E-3</v>
      </c>
      <c r="AX52" s="86">
        <f t="shared" si="94"/>
        <v>4.1360000000000001E-2</v>
      </c>
      <c r="AY52" s="86">
        <f t="shared" si="95"/>
        <v>4.4336E-2</v>
      </c>
      <c r="AZ52" s="86">
        <f t="shared" si="96"/>
        <v>2.2536125649892726</v>
      </c>
      <c r="BA52" s="85">
        <f t="shared" si="97"/>
        <v>16</v>
      </c>
      <c r="BB52" s="91">
        <f t="shared" si="54"/>
        <v>0.87653881898908392</v>
      </c>
      <c r="BC52" s="85">
        <f t="shared" si="55"/>
        <v>87.653881898908395</v>
      </c>
      <c r="BD52" s="86">
        <f t="shared" si="98"/>
        <v>1.0848799214016684</v>
      </c>
      <c r="BE52" s="86">
        <f t="shared" si="56"/>
        <v>0.9787993400081525</v>
      </c>
      <c r="BF52" s="86">
        <f t="shared" si="99"/>
        <v>0.63838141007235216</v>
      </c>
      <c r="BG52" s="86">
        <f t="shared" si="100"/>
        <v>0.34041792993580028</v>
      </c>
      <c r="BH52" s="86">
        <f t="shared" si="101"/>
        <v>6.5554957891913623E-2</v>
      </c>
      <c r="BI52" s="86">
        <f t="shared" si="57"/>
        <v>4.4336E-2</v>
      </c>
      <c r="BJ52" s="86">
        <f t="shared" si="58"/>
        <v>2.2944510918575319E-3</v>
      </c>
      <c r="BK52" s="86">
        <f t="shared" si="59"/>
        <v>7.7747894595680767E-2</v>
      </c>
      <c r="BL52" s="86">
        <f t="shared" si="60"/>
        <v>2.2536125649892726</v>
      </c>
    </row>
    <row r="53" spans="3:70" x14ac:dyDescent="0.25">
      <c r="C53" s="61">
        <v>41</v>
      </c>
      <c r="D53" s="61">
        <f t="shared" si="61"/>
        <v>105</v>
      </c>
      <c r="E53" s="61">
        <f t="shared" si="62"/>
        <v>105</v>
      </c>
      <c r="F53" s="61">
        <f t="shared" si="63"/>
        <v>105</v>
      </c>
      <c r="G53" s="73">
        <f t="shared" si="64"/>
        <v>24</v>
      </c>
      <c r="H53" s="64">
        <f t="shared" si="65"/>
        <v>1</v>
      </c>
      <c r="I53" s="63">
        <f t="shared" si="102"/>
        <v>4.0999999999999996</v>
      </c>
      <c r="J53" s="65">
        <f t="shared" si="66"/>
        <v>8.6117892021752077E-4</v>
      </c>
      <c r="K53" s="65">
        <f t="shared" si="67"/>
        <v>8.6117892021752077E-4</v>
      </c>
      <c r="L53" s="65">
        <f t="shared" si="68"/>
        <v>5.1791610661465239E-3</v>
      </c>
      <c r="M53" s="65">
        <f t="shared" si="69"/>
        <v>4.0000000000000001E-3</v>
      </c>
      <c r="N53" s="63">
        <f t="shared" si="70"/>
        <v>0.16838189141433721</v>
      </c>
      <c r="O53" s="64">
        <f t="shared" si="71"/>
        <v>2.1603686098731623</v>
      </c>
      <c r="P53" s="64">
        <f t="shared" si="72"/>
        <v>5.1801843049365806</v>
      </c>
      <c r="Q53" s="64">
        <f t="shared" si="73"/>
        <v>3.0198156950634187</v>
      </c>
      <c r="R53" s="64">
        <f t="shared" si="74"/>
        <v>0</v>
      </c>
      <c r="S53" s="64">
        <f t="shared" si="75"/>
        <v>4.147159595539712</v>
      </c>
      <c r="T53" s="63">
        <f t="shared" si="42"/>
        <v>8.9076042675448608E-2</v>
      </c>
      <c r="U53" s="63">
        <f t="shared" si="76"/>
        <v>1</v>
      </c>
      <c r="V53" s="63">
        <f t="shared" si="43"/>
        <v>1.0890760426754487</v>
      </c>
      <c r="W53" s="64">
        <f t="shared" si="44"/>
        <v>0.62364469922954391</v>
      </c>
      <c r="X53" s="63">
        <f t="shared" si="77"/>
        <v>7.7786542175421663E-2</v>
      </c>
      <c r="Y53" s="63">
        <f t="shared" si="45"/>
        <v>7.7786542175421663E-2</v>
      </c>
      <c r="Z53" s="64">
        <f t="shared" si="78"/>
        <v>1.5518881226142482</v>
      </c>
      <c r="AA53" s="74">
        <f t="shared" si="79"/>
        <v>2.4083567451111758E-3</v>
      </c>
      <c r="AB53" s="75">
        <f t="shared" si="46"/>
        <v>2.4083567451111758E-3</v>
      </c>
      <c r="AC53" s="63">
        <f t="shared" si="80"/>
        <v>1.7017605061128318</v>
      </c>
      <c r="AD53" s="63">
        <f t="shared" si="47"/>
        <v>2.4939645251120524E-3</v>
      </c>
      <c r="AE53" s="63">
        <f t="shared" si="81"/>
        <v>3.2940705663415558E-3</v>
      </c>
      <c r="AF53" s="63">
        <f t="shared" si="82"/>
        <v>0.37935466519811062</v>
      </c>
      <c r="AG53" s="63">
        <f t="shared" si="83"/>
        <v>4.0608000000000005E-2</v>
      </c>
      <c r="AH53" s="63">
        <f t="shared" si="84"/>
        <v>0</v>
      </c>
      <c r="AI53" s="63">
        <f t="shared" si="48"/>
        <v>0.22378064516129031</v>
      </c>
      <c r="AJ53" s="63">
        <f t="shared" si="49"/>
        <v>0.64703738092574259</v>
      </c>
      <c r="AK53" s="63">
        <f t="shared" si="85"/>
        <v>3.7819233057680726</v>
      </c>
      <c r="AL53" s="63">
        <f t="shared" si="86"/>
        <v>1.2317393775734892E-2</v>
      </c>
      <c r="AM53" s="63">
        <f t="shared" si="87"/>
        <v>1.6308778432165709E-2</v>
      </c>
      <c r="AN53" s="63">
        <f t="shared" si="88"/>
        <v>8.8434507013438468E-2</v>
      </c>
      <c r="AO53" s="63">
        <f t="shared" si="89"/>
        <v>491.25368645965062</v>
      </c>
      <c r="AP53" s="63">
        <f t="shared" si="50"/>
        <v>8.8434507013438468E-2</v>
      </c>
      <c r="AQ53" s="61">
        <f t="shared" si="90"/>
        <v>0.46248</v>
      </c>
      <c r="AR53" s="61">
        <f t="shared" si="91"/>
        <v>50128320000</v>
      </c>
      <c r="AS53" s="61">
        <f t="shared" si="51"/>
        <v>0.46248</v>
      </c>
      <c r="AT53" s="61">
        <f t="shared" si="52"/>
        <v>0.23869935483870966</v>
      </c>
      <c r="AU53" s="63">
        <f t="shared" si="53"/>
        <v>0.34344264028431382</v>
      </c>
      <c r="AV53" s="63">
        <f t="shared" si="92"/>
        <v>6.8795730843508443E-2</v>
      </c>
      <c r="AW53" s="63">
        <f t="shared" si="93"/>
        <v>2.9760000000000003E-3</v>
      </c>
      <c r="AX53" s="63">
        <f t="shared" si="94"/>
        <v>4.1360000000000001E-2</v>
      </c>
      <c r="AY53" s="63">
        <f t="shared" si="95"/>
        <v>4.4336E-2</v>
      </c>
      <c r="AZ53" s="63">
        <f t="shared" si="96"/>
        <v>2.2728826936495463</v>
      </c>
      <c r="BA53" s="64">
        <f t="shared" si="97"/>
        <v>16.399999999999999</v>
      </c>
      <c r="BB53" s="76">
        <f t="shared" si="54"/>
        <v>0.87827896040805042</v>
      </c>
      <c r="BC53" s="64">
        <f t="shared" si="55"/>
        <v>87.827896040805044</v>
      </c>
      <c r="BD53" s="63">
        <f t="shared" si="98"/>
        <v>1.0890760426754487</v>
      </c>
      <c r="BE53" s="63">
        <f t="shared" si="56"/>
        <v>0.9904800212100564</v>
      </c>
      <c r="BF53" s="63">
        <f t="shared" si="99"/>
        <v>0.64703738092574259</v>
      </c>
      <c r="BG53" s="63">
        <f t="shared" si="100"/>
        <v>0.34344264028431382</v>
      </c>
      <c r="BH53" s="63">
        <f t="shared" si="101"/>
        <v>6.8795730843508443E-2</v>
      </c>
      <c r="BI53" s="63">
        <f t="shared" si="57"/>
        <v>4.4336E-2</v>
      </c>
      <c r="BJ53" s="63">
        <f t="shared" si="58"/>
        <v>2.4083567451111758E-3</v>
      </c>
      <c r="BK53" s="63">
        <f t="shared" si="59"/>
        <v>7.7786542175421663E-2</v>
      </c>
      <c r="BL53" s="63">
        <f t="shared" si="60"/>
        <v>2.2728826936495463</v>
      </c>
    </row>
    <row r="54" spans="3:70" x14ac:dyDescent="0.25">
      <c r="C54" s="61">
        <v>42</v>
      </c>
      <c r="D54" s="61">
        <f t="shared" si="61"/>
        <v>105</v>
      </c>
      <c r="E54" s="61">
        <f t="shared" si="62"/>
        <v>105</v>
      </c>
      <c r="F54" s="61">
        <f t="shared" si="63"/>
        <v>105</v>
      </c>
      <c r="G54" s="73">
        <f t="shared" si="64"/>
        <v>24</v>
      </c>
      <c r="H54" s="64">
        <f t="shared" si="65"/>
        <v>1</v>
      </c>
      <c r="I54" s="63">
        <f t="shared" si="102"/>
        <v>4.2</v>
      </c>
      <c r="J54" s="65">
        <f t="shared" si="66"/>
        <v>8.6117892021752077E-4</v>
      </c>
      <c r="K54" s="65">
        <f t="shared" si="67"/>
        <v>8.6117892021752077E-4</v>
      </c>
      <c r="L54" s="65">
        <f t="shared" si="68"/>
        <v>5.1791610661465239E-3</v>
      </c>
      <c r="M54" s="65">
        <f t="shared" si="69"/>
        <v>4.0000000000000001E-3</v>
      </c>
      <c r="N54" s="63">
        <f t="shared" si="70"/>
        <v>0.16842372616428036</v>
      </c>
      <c r="O54" s="64">
        <f t="shared" si="71"/>
        <v>2.1609053569058738</v>
      </c>
      <c r="P54" s="64">
        <f t="shared" si="72"/>
        <v>5.2804526784529369</v>
      </c>
      <c r="Q54" s="64">
        <f t="shared" si="73"/>
        <v>3.1195473215470635</v>
      </c>
      <c r="R54" s="64">
        <f t="shared" si="74"/>
        <v>0</v>
      </c>
      <c r="S54" s="64">
        <f t="shared" si="75"/>
        <v>4.2460718313274031</v>
      </c>
      <c r="T54" s="63">
        <f t="shared" si="42"/>
        <v>9.3375747419235502E-2</v>
      </c>
      <c r="U54" s="63">
        <f t="shared" si="76"/>
        <v>1</v>
      </c>
      <c r="V54" s="63">
        <f t="shared" si="43"/>
        <v>1.0933757474192356</v>
      </c>
      <c r="W54" s="64">
        <f t="shared" si="44"/>
        <v>0.62379964475145533</v>
      </c>
      <c r="X54" s="63">
        <f t="shared" si="77"/>
        <v>7.782519935840837E-2</v>
      </c>
      <c r="Y54" s="63">
        <f t="shared" si="45"/>
        <v>7.782519935840837E-2</v>
      </c>
      <c r="Z54" s="64">
        <f t="shared" si="78"/>
        <v>1.5890589819591063</v>
      </c>
      <c r="AA54" s="74">
        <f t="shared" si="79"/>
        <v>2.5251084481449112E-3</v>
      </c>
      <c r="AB54" s="75">
        <f t="shared" si="46"/>
        <v>2.5251084481449112E-3</v>
      </c>
      <c r="AC54" s="63">
        <f t="shared" si="80"/>
        <v>1.7425649427969714</v>
      </c>
      <c r="AD54" s="63">
        <f t="shared" si="47"/>
        <v>2.6149978483334738E-3</v>
      </c>
      <c r="AE54" s="63">
        <f t="shared" si="81"/>
        <v>3.4540371701426461E-3</v>
      </c>
      <c r="AF54" s="63">
        <f t="shared" si="82"/>
        <v>0.38785458986334626</v>
      </c>
      <c r="AG54" s="63">
        <f t="shared" si="83"/>
        <v>4.0608000000000005E-2</v>
      </c>
      <c r="AH54" s="63">
        <f t="shared" si="84"/>
        <v>0</v>
      </c>
      <c r="AI54" s="63">
        <f t="shared" si="48"/>
        <v>0.22378064516129031</v>
      </c>
      <c r="AJ54" s="63">
        <f t="shared" si="49"/>
        <v>0.65569727219477925</v>
      </c>
      <c r="AK54" s="63">
        <f t="shared" si="85"/>
        <v>3.8720270423806489</v>
      </c>
      <c r="AL54" s="63">
        <f t="shared" si="86"/>
        <v>1.2911305410049534E-2</v>
      </c>
      <c r="AM54" s="63">
        <f t="shared" si="87"/>
        <v>1.7097669944401581E-2</v>
      </c>
      <c r="AN54" s="63">
        <f t="shared" si="88"/>
        <v>9.0689497929016982E-2</v>
      </c>
      <c r="AO54" s="63">
        <f t="shared" si="89"/>
        <v>503.78016099568924</v>
      </c>
      <c r="AP54" s="63">
        <f t="shared" si="50"/>
        <v>9.0689497929016982E-2</v>
      </c>
      <c r="AQ54" s="61">
        <f t="shared" si="90"/>
        <v>0.46248</v>
      </c>
      <c r="AR54" s="61">
        <f t="shared" si="91"/>
        <v>50128320000</v>
      </c>
      <c r="AS54" s="61">
        <f t="shared" si="51"/>
        <v>0.46248</v>
      </c>
      <c r="AT54" s="61">
        <f t="shared" si="52"/>
        <v>0.23869935483870966</v>
      </c>
      <c r="AU54" s="63">
        <f t="shared" si="53"/>
        <v>0.34648652271212821</v>
      </c>
      <c r="AV54" s="63">
        <f t="shared" si="92"/>
        <v>7.2116503987168193E-2</v>
      </c>
      <c r="AW54" s="63">
        <f t="shared" si="93"/>
        <v>2.9760000000000003E-3</v>
      </c>
      <c r="AX54" s="63">
        <f t="shared" si="94"/>
        <v>4.1360000000000001E-2</v>
      </c>
      <c r="AY54" s="63">
        <f t="shared" si="95"/>
        <v>4.4336E-2</v>
      </c>
      <c r="AZ54" s="63">
        <f t="shared" si="96"/>
        <v>2.2923623541198648</v>
      </c>
      <c r="BA54" s="64">
        <f t="shared" si="97"/>
        <v>16.8</v>
      </c>
      <c r="BB54" s="76">
        <f t="shared" si="54"/>
        <v>0.87993301658528378</v>
      </c>
      <c r="BC54" s="64">
        <f t="shared" si="55"/>
        <v>87.993301658528381</v>
      </c>
      <c r="BD54" s="63">
        <f t="shared" si="98"/>
        <v>1.0933757474192356</v>
      </c>
      <c r="BE54" s="63">
        <f t="shared" si="56"/>
        <v>1.0021837949069075</v>
      </c>
      <c r="BF54" s="63">
        <f t="shared" si="99"/>
        <v>0.65569727219477925</v>
      </c>
      <c r="BG54" s="63">
        <f t="shared" si="100"/>
        <v>0.34648652271212821</v>
      </c>
      <c r="BH54" s="63">
        <f t="shared" si="101"/>
        <v>7.2116503987168193E-2</v>
      </c>
      <c r="BI54" s="63">
        <f t="shared" si="57"/>
        <v>4.4336E-2</v>
      </c>
      <c r="BJ54" s="63">
        <f t="shared" si="58"/>
        <v>2.5251084481449112E-3</v>
      </c>
      <c r="BK54" s="63">
        <f t="shared" si="59"/>
        <v>7.782519935840837E-2</v>
      </c>
      <c r="BL54" s="63">
        <f t="shared" si="60"/>
        <v>2.2923623541198648</v>
      </c>
    </row>
    <row r="55" spans="3:70" x14ac:dyDescent="0.25">
      <c r="C55" s="61">
        <v>43</v>
      </c>
      <c r="D55" s="61">
        <f t="shared" si="61"/>
        <v>105</v>
      </c>
      <c r="E55" s="61">
        <f t="shared" si="62"/>
        <v>105</v>
      </c>
      <c r="F55" s="61">
        <f t="shared" si="63"/>
        <v>105</v>
      </c>
      <c r="G55" s="73">
        <f t="shared" si="64"/>
        <v>24</v>
      </c>
      <c r="H55" s="64">
        <f t="shared" si="65"/>
        <v>1</v>
      </c>
      <c r="I55" s="63">
        <f t="shared" si="102"/>
        <v>4.3</v>
      </c>
      <c r="J55" s="65">
        <f t="shared" si="66"/>
        <v>8.6117892021752077E-4</v>
      </c>
      <c r="K55" s="65">
        <f t="shared" si="67"/>
        <v>8.6117892021752077E-4</v>
      </c>
      <c r="L55" s="65">
        <f t="shared" si="68"/>
        <v>5.1791610661465239E-3</v>
      </c>
      <c r="M55" s="65">
        <f t="shared" si="69"/>
        <v>4.0000000000000001E-3</v>
      </c>
      <c r="N55" s="63">
        <f t="shared" si="70"/>
        <v>0.16846556091422357</v>
      </c>
      <c r="O55" s="64">
        <f t="shared" si="71"/>
        <v>2.1614421039385872</v>
      </c>
      <c r="P55" s="64">
        <f t="shared" si="72"/>
        <v>5.3807210519692932</v>
      </c>
      <c r="Q55" s="64">
        <f t="shared" si="73"/>
        <v>3.2192789480307065</v>
      </c>
      <c r="R55" s="64">
        <f t="shared" si="74"/>
        <v>0</v>
      </c>
      <c r="S55" s="64">
        <f t="shared" si="75"/>
        <v>4.3450338699166897</v>
      </c>
      <c r="T55" s="63">
        <f t="shared" si="42"/>
        <v>9.7779035633029074E-2</v>
      </c>
      <c r="U55" s="63">
        <f t="shared" si="76"/>
        <v>1</v>
      </c>
      <c r="V55" s="63">
        <f t="shared" si="43"/>
        <v>1.097779035633029</v>
      </c>
      <c r="W55" s="64">
        <f t="shared" si="44"/>
        <v>0.62395459027336719</v>
      </c>
      <c r="X55" s="63">
        <f t="shared" si="77"/>
        <v>7.7863866144641108E-2</v>
      </c>
      <c r="Y55" s="63">
        <f t="shared" si="45"/>
        <v>7.7863866144641108E-2</v>
      </c>
      <c r="Z55" s="64">
        <f t="shared" si="78"/>
        <v>1.6262557784429985</v>
      </c>
      <c r="AA55" s="74">
        <f t="shared" si="79"/>
        <v>2.6447078569192431E-3</v>
      </c>
      <c r="AB55" s="75">
        <f t="shared" si="46"/>
        <v>2.6447078569192431E-3</v>
      </c>
      <c r="AC55" s="63">
        <f t="shared" si="80"/>
        <v>1.7833998768445143</v>
      </c>
      <c r="AD55" s="63">
        <f t="shared" si="47"/>
        <v>2.7389925774049225E-3</v>
      </c>
      <c r="AE55" s="63">
        <f t="shared" si="81"/>
        <v>3.6179277525349236E-3</v>
      </c>
      <c r="AF55" s="63">
        <f t="shared" si="82"/>
        <v>0.39635451452858189</v>
      </c>
      <c r="AG55" s="63">
        <f t="shared" si="83"/>
        <v>4.0608000000000005E-2</v>
      </c>
      <c r="AH55" s="63">
        <f t="shared" si="84"/>
        <v>0</v>
      </c>
      <c r="AI55" s="63">
        <f t="shared" si="48"/>
        <v>0.22378064516129031</v>
      </c>
      <c r="AJ55" s="63">
        <f t="shared" si="49"/>
        <v>0.66436108744240718</v>
      </c>
      <c r="AK55" s="63">
        <f t="shared" si="85"/>
        <v>3.9621716532722528</v>
      </c>
      <c r="AL55" s="63">
        <f t="shared" si="86"/>
        <v>1.3519479258269055E-2</v>
      </c>
      <c r="AM55" s="63">
        <f t="shared" si="87"/>
        <v>1.7905747563847878E-2</v>
      </c>
      <c r="AN55" s="63">
        <f t="shared" si="88"/>
        <v>9.2944488844595469E-2</v>
      </c>
      <c r="AO55" s="63">
        <f t="shared" si="89"/>
        <v>516.30663553172781</v>
      </c>
      <c r="AP55" s="63">
        <f t="shared" si="50"/>
        <v>9.2944488844595469E-2</v>
      </c>
      <c r="AQ55" s="61">
        <f t="shared" si="90"/>
        <v>0.46248</v>
      </c>
      <c r="AR55" s="61">
        <f t="shared" si="91"/>
        <v>50128320000</v>
      </c>
      <c r="AS55" s="61">
        <f t="shared" si="51"/>
        <v>0.46248</v>
      </c>
      <c r="AT55" s="61">
        <f t="shared" si="52"/>
        <v>0.23869935483870966</v>
      </c>
      <c r="AU55" s="63">
        <f t="shared" si="53"/>
        <v>0.34954959124715301</v>
      </c>
      <c r="AV55" s="63">
        <f t="shared" si="92"/>
        <v>7.5517277322892831E-2</v>
      </c>
      <c r="AW55" s="63">
        <f t="shared" si="93"/>
        <v>2.9760000000000003E-3</v>
      </c>
      <c r="AX55" s="63">
        <f t="shared" si="94"/>
        <v>4.1360000000000001E-2</v>
      </c>
      <c r="AY55" s="63">
        <f t="shared" si="95"/>
        <v>4.4336E-2</v>
      </c>
      <c r="AZ55" s="63">
        <f t="shared" si="96"/>
        <v>2.3120515656470424</v>
      </c>
      <c r="BA55" s="64">
        <f t="shared" si="97"/>
        <v>17.2</v>
      </c>
      <c r="BB55" s="76">
        <f t="shared" si="54"/>
        <v>0.88150648547292454</v>
      </c>
      <c r="BC55" s="64">
        <f t="shared" si="55"/>
        <v>88.150648547292448</v>
      </c>
      <c r="BD55" s="63">
        <f t="shared" si="98"/>
        <v>1.097779035633029</v>
      </c>
      <c r="BE55" s="63">
        <f t="shared" si="56"/>
        <v>1.0139106786895602</v>
      </c>
      <c r="BF55" s="63">
        <f t="shared" si="99"/>
        <v>0.66436108744240718</v>
      </c>
      <c r="BG55" s="63">
        <f t="shared" si="100"/>
        <v>0.34954959124715301</v>
      </c>
      <c r="BH55" s="63">
        <f t="shared" si="101"/>
        <v>7.5517277322892831E-2</v>
      </c>
      <c r="BI55" s="63">
        <f t="shared" si="57"/>
        <v>4.4336E-2</v>
      </c>
      <c r="BJ55" s="63">
        <f t="shared" si="58"/>
        <v>2.6447078569192431E-3</v>
      </c>
      <c r="BK55" s="63">
        <f t="shared" si="59"/>
        <v>7.7863866144641108E-2</v>
      </c>
      <c r="BL55" s="63">
        <f t="shared" si="60"/>
        <v>2.3120515656470424</v>
      </c>
    </row>
    <row r="56" spans="3:70" x14ac:dyDescent="0.25">
      <c r="C56" s="61">
        <v>44</v>
      </c>
      <c r="D56" s="61">
        <f t="shared" si="61"/>
        <v>105</v>
      </c>
      <c r="E56" s="61">
        <f t="shared" si="62"/>
        <v>105</v>
      </c>
      <c r="F56" s="61">
        <f t="shared" si="63"/>
        <v>105</v>
      </c>
      <c r="G56" s="73">
        <f t="shared" si="64"/>
        <v>24</v>
      </c>
      <c r="H56" s="64">
        <f t="shared" si="65"/>
        <v>1</v>
      </c>
      <c r="I56" s="63">
        <f t="shared" si="102"/>
        <v>4.4000000000000004</v>
      </c>
      <c r="J56" s="65">
        <f t="shared" si="66"/>
        <v>8.6117892021752077E-4</v>
      </c>
      <c r="K56" s="65">
        <f t="shared" si="67"/>
        <v>8.6117892021752077E-4</v>
      </c>
      <c r="L56" s="65">
        <f t="shared" si="68"/>
        <v>5.1791610661465239E-3</v>
      </c>
      <c r="M56" s="65">
        <f t="shared" si="69"/>
        <v>4.0000000000000001E-3</v>
      </c>
      <c r="N56" s="63">
        <f t="shared" si="70"/>
        <v>0.16850739566416673</v>
      </c>
      <c r="O56" s="64">
        <f t="shared" si="71"/>
        <v>2.1619788509712987</v>
      </c>
      <c r="P56" s="64">
        <f t="shared" si="72"/>
        <v>5.4809894254856495</v>
      </c>
      <c r="Q56" s="64">
        <f t="shared" si="73"/>
        <v>3.3190105745143512</v>
      </c>
      <c r="R56" s="64">
        <f t="shared" si="74"/>
        <v>0</v>
      </c>
      <c r="S56" s="64">
        <f t="shared" si="75"/>
        <v>4.444042384211766</v>
      </c>
      <c r="T56" s="63">
        <f t="shared" si="42"/>
        <v>0.10228590731682938</v>
      </c>
      <c r="U56" s="63">
        <f t="shared" si="76"/>
        <v>1</v>
      </c>
      <c r="V56" s="63">
        <f t="shared" si="43"/>
        <v>1.1022859073168294</v>
      </c>
      <c r="W56" s="64">
        <f t="shared" si="44"/>
        <v>0.62410953579527861</v>
      </c>
      <c r="X56" s="63">
        <f t="shared" si="77"/>
        <v>7.7902542534119643E-2</v>
      </c>
      <c r="Y56" s="63">
        <f t="shared" si="45"/>
        <v>7.7902542534119643E-2</v>
      </c>
      <c r="Z56" s="64">
        <f t="shared" si="78"/>
        <v>1.6634772697499189</v>
      </c>
      <c r="AA56" s="74">
        <f t="shared" si="79"/>
        <v>2.7671566269746447E-3</v>
      </c>
      <c r="AB56" s="75">
        <f t="shared" si="46"/>
        <v>2.7671566269746447E-3</v>
      </c>
      <c r="AC56" s="63">
        <f t="shared" si="80"/>
        <v>1.8242639482400771</v>
      </c>
      <c r="AD56" s="63">
        <f t="shared" si="47"/>
        <v>2.8659508739638765E-3</v>
      </c>
      <c r="AE56" s="63">
        <f t="shared" si="81"/>
        <v>3.785745894547578E-3</v>
      </c>
      <c r="AF56" s="63">
        <f t="shared" si="82"/>
        <v>0.40485443919381747</v>
      </c>
      <c r="AG56" s="63">
        <f t="shared" si="83"/>
        <v>4.0608000000000005E-2</v>
      </c>
      <c r="AH56" s="63">
        <f t="shared" si="84"/>
        <v>0</v>
      </c>
      <c r="AI56" s="63">
        <f t="shared" si="48"/>
        <v>0.22378064516129031</v>
      </c>
      <c r="AJ56" s="63">
        <f t="shared" si="49"/>
        <v>0.67302883024965532</v>
      </c>
      <c r="AK56" s="63">
        <f t="shared" si="85"/>
        <v>4.0523541009914377</v>
      </c>
      <c r="AL56" s="63">
        <f t="shared" si="86"/>
        <v>1.414191315875599E-2</v>
      </c>
      <c r="AM56" s="63">
        <f t="shared" si="87"/>
        <v>1.8733025733693311E-2</v>
      </c>
      <c r="AN56" s="63">
        <f t="shared" si="88"/>
        <v>9.5199479760173983E-2</v>
      </c>
      <c r="AO56" s="63">
        <f t="shared" si="89"/>
        <v>528.83311006776648</v>
      </c>
      <c r="AP56" s="63">
        <f t="shared" si="50"/>
        <v>9.5199479760173983E-2</v>
      </c>
      <c r="AQ56" s="61">
        <f t="shared" si="90"/>
        <v>0.46248</v>
      </c>
      <c r="AR56" s="61">
        <f t="shared" si="91"/>
        <v>50128320000</v>
      </c>
      <c r="AS56" s="61">
        <f t="shared" si="51"/>
        <v>0.46248</v>
      </c>
      <c r="AT56" s="61">
        <f t="shared" si="52"/>
        <v>0.23869935483870966</v>
      </c>
      <c r="AU56" s="63">
        <f t="shared" si="53"/>
        <v>0.35263186033257699</v>
      </c>
      <c r="AV56" s="63">
        <f t="shared" si="92"/>
        <v>7.8998050850682386E-2</v>
      </c>
      <c r="AW56" s="63">
        <f t="shared" si="93"/>
        <v>2.9760000000000003E-3</v>
      </c>
      <c r="AX56" s="63">
        <f t="shared" si="94"/>
        <v>4.1360000000000001E-2</v>
      </c>
      <c r="AY56" s="63">
        <f t="shared" si="95"/>
        <v>4.4336E-2</v>
      </c>
      <c r="AZ56" s="63">
        <f t="shared" si="96"/>
        <v>2.3319503479108379</v>
      </c>
      <c r="BA56" s="64">
        <f t="shared" si="97"/>
        <v>17.600000000000001</v>
      </c>
      <c r="BB56" s="76">
        <f t="shared" si="54"/>
        <v>0.88300440713493655</v>
      </c>
      <c r="BC56" s="64">
        <f t="shared" si="55"/>
        <v>88.300440713493657</v>
      </c>
      <c r="BD56" s="63">
        <f t="shared" si="98"/>
        <v>1.1022859073168294</v>
      </c>
      <c r="BE56" s="63">
        <f t="shared" si="56"/>
        <v>1.0256606905822323</v>
      </c>
      <c r="BF56" s="63">
        <f t="shared" si="99"/>
        <v>0.67302883024965532</v>
      </c>
      <c r="BG56" s="63">
        <f t="shared" si="100"/>
        <v>0.35263186033257699</v>
      </c>
      <c r="BH56" s="63">
        <f t="shared" si="101"/>
        <v>7.8998050850682386E-2</v>
      </c>
      <c r="BI56" s="63">
        <f t="shared" si="57"/>
        <v>4.4336E-2</v>
      </c>
      <c r="BJ56" s="63">
        <f t="shared" si="58"/>
        <v>2.7671566269746447E-3</v>
      </c>
      <c r="BK56" s="63">
        <f t="shared" si="59"/>
        <v>7.7902542534119643E-2</v>
      </c>
      <c r="BL56" s="63">
        <f t="shared" si="60"/>
        <v>2.3319503479108379</v>
      </c>
    </row>
    <row r="57" spans="3:70" x14ac:dyDescent="0.25">
      <c r="C57" s="61">
        <v>45</v>
      </c>
      <c r="D57" s="61">
        <f t="shared" si="61"/>
        <v>105</v>
      </c>
      <c r="E57" s="61">
        <f t="shared" si="62"/>
        <v>105</v>
      </c>
      <c r="F57" s="61">
        <f t="shared" si="63"/>
        <v>105</v>
      </c>
      <c r="G57" s="73">
        <f t="shared" si="64"/>
        <v>24</v>
      </c>
      <c r="H57" s="64">
        <f t="shared" si="65"/>
        <v>1</v>
      </c>
      <c r="I57" s="63">
        <f t="shared" si="102"/>
        <v>4.5</v>
      </c>
      <c r="J57" s="65">
        <f t="shared" si="66"/>
        <v>8.6117892021752077E-4</v>
      </c>
      <c r="K57" s="65">
        <f t="shared" si="67"/>
        <v>8.6117892021752077E-4</v>
      </c>
      <c r="L57" s="65">
        <f t="shared" si="68"/>
        <v>5.1791610661465239E-3</v>
      </c>
      <c r="M57" s="65">
        <f t="shared" si="69"/>
        <v>4.0000000000000001E-3</v>
      </c>
      <c r="N57" s="63">
        <f t="shared" si="70"/>
        <v>0.16854923041410994</v>
      </c>
      <c r="O57" s="64">
        <f t="shared" si="71"/>
        <v>2.1625155980040116</v>
      </c>
      <c r="P57" s="64">
        <f t="shared" si="72"/>
        <v>5.5812577990020058</v>
      </c>
      <c r="Q57" s="64">
        <f t="shared" si="73"/>
        <v>3.4187422009979942</v>
      </c>
      <c r="R57" s="64">
        <f t="shared" si="74"/>
        <v>0</v>
      </c>
      <c r="S57" s="64">
        <f t="shared" si="75"/>
        <v>4.5430943356521025</v>
      </c>
      <c r="T57" s="63">
        <f t="shared" si="42"/>
        <v>0.10689636247063639</v>
      </c>
      <c r="U57" s="63">
        <f t="shared" si="76"/>
        <v>1</v>
      </c>
      <c r="V57" s="63">
        <f t="shared" si="43"/>
        <v>1.1068963624706365</v>
      </c>
      <c r="W57" s="64">
        <f t="shared" si="44"/>
        <v>0.62426448131719037</v>
      </c>
      <c r="X57" s="63">
        <f t="shared" si="77"/>
        <v>7.7941228526844153E-2</v>
      </c>
      <c r="Y57" s="63">
        <f t="shared" si="45"/>
        <v>7.7941228526844153E-2</v>
      </c>
      <c r="Z57" s="64">
        <f t="shared" si="78"/>
        <v>1.7007223210834714</v>
      </c>
      <c r="AA57" s="74">
        <f t="shared" si="79"/>
        <v>2.8924564134315506E-3</v>
      </c>
      <c r="AB57" s="75">
        <f t="shared" si="46"/>
        <v>2.8924564134315506E-3</v>
      </c>
      <c r="AC57" s="63">
        <f t="shared" si="80"/>
        <v>1.8651559147466399</v>
      </c>
      <c r="AD57" s="63">
        <f t="shared" si="47"/>
        <v>2.9958748996478128E-3</v>
      </c>
      <c r="AE57" s="63">
        <f t="shared" si="81"/>
        <v>3.9574951953443727E-3</v>
      </c>
      <c r="AF57" s="63">
        <f t="shared" si="82"/>
        <v>0.41335436385905311</v>
      </c>
      <c r="AG57" s="63">
        <f t="shared" si="83"/>
        <v>4.0608000000000005E-2</v>
      </c>
      <c r="AH57" s="63">
        <f t="shared" si="84"/>
        <v>0</v>
      </c>
      <c r="AI57" s="63">
        <f t="shared" si="48"/>
        <v>0.22378064516129031</v>
      </c>
      <c r="AJ57" s="63">
        <f t="shared" si="49"/>
        <v>0.68170050421568784</v>
      </c>
      <c r="AK57" s="63">
        <f t="shared" si="85"/>
        <v>4.142571611489636</v>
      </c>
      <c r="AL57" s="63">
        <f t="shared" si="86"/>
        <v>1.4778604949872851E-2</v>
      </c>
      <c r="AM57" s="63">
        <f t="shared" si="87"/>
        <v>1.9579519313129377E-2</v>
      </c>
      <c r="AN57" s="63">
        <f t="shared" si="88"/>
        <v>9.7454470675752469E-2</v>
      </c>
      <c r="AO57" s="63">
        <f t="shared" si="89"/>
        <v>541.35958460380493</v>
      </c>
      <c r="AP57" s="63">
        <f t="shared" si="50"/>
        <v>9.7454470675752469E-2</v>
      </c>
      <c r="AQ57" s="61">
        <f t="shared" si="90"/>
        <v>0.46248</v>
      </c>
      <c r="AR57" s="61">
        <f t="shared" si="91"/>
        <v>50128320000</v>
      </c>
      <c r="AS57" s="61">
        <f t="shared" si="51"/>
        <v>0.46248</v>
      </c>
      <c r="AT57" s="61">
        <f t="shared" si="52"/>
        <v>0.23869935483870966</v>
      </c>
      <c r="AU57" s="63">
        <f t="shared" si="53"/>
        <v>0.3557333448275915</v>
      </c>
      <c r="AV57" s="63">
        <f t="shared" si="92"/>
        <v>8.2558824570536871E-2</v>
      </c>
      <c r="AW57" s="63">
        <f t="shared" si="93"/>
        <v>2.9760000000000003E-3</v>
      </c>
      <c r="AX57" s="63">
        <f t="shared" si="94"/>
        <v>4.1360000000000001E-2</v>
      </c>
      <c r="AY57" s="63">
        <f t="shared" si="95"/>
        <v>4.4336E-2</v>
      </c>
      <c r="AZ57" s="63">
        <f t="shared" si="96"/>
        <v>2.3520587210247283</v>
      </c>
      <c r="BA57" s="64">
        <f t="shared" si="97"/>
        <v>18</v>
      </c>
      <c r="BB57" s="76">
        <f t="shared" si="54"/>
        <v>0.88443141044031426</v>
      </c>
      <c r="BC57" s="64">
        <f t="shared" si="55"/>
        <v>88.443141044031421</v>
      </c>
      <c r="BD57" s="63">
        <f t="shared" si="98"/>
        <v>1.1068963624706365</v>
      </c>
      <c r="BE57" s="63">
        <f t="shared" si="56"/>
        <v>1.0374338490432793</v>
      </c>
      <c r="BF57" s="63">
        <f t="shared" si="99"/>
        <v>0.68170050421568784</v>
      </c>
      <c r="BG57" s="63">
        <f t="shared" si="100"/>
        <v>0.3557333448275915</v>
      </c>
      <c r="BH57" s="63">
        <f t="shared" si="101"/>
        <v>8.2558824570536871E-2</v>
      </c>
      <c r="BI57" s="63">
        <f t="shared" si="57"/>
        <v>4.4336E-2</v>
      </c>
      <c r="BJ57" s="63">
        <f t="shared" si="58"/>
        <v>2.8924564134315506E-3</v>
      </c>
      <c r="BK57" s="63">
        <f t="shared" si="59"/>
        <v>7.7941228526844153E-2</v>
      </c>
      <c r="BL57" s="63">
        <f t="shared" si="60"/>
        <v>2.3520587210247283</v>
      </c>
    </row>
    <row r="58" spans="3:70" x14ac:dyDescent="0.25">
      <c r="C58" s="61">
        <v>46</v>
      </c>
      <c r="D58" s="61">
        <f t="shared" si="61"/>
        <v>105</v>
      </c>
      <c r="E58" s="61">
        <f t="shared" si="62"/>
        <v>105</v>
      </c>
      <c r="F58" s="61">
        <f t="shared" si="63"/>
        <v>105</v>
      </c>
      <c r="G58" s="73">
        <f t="shared" si="64"/>
        <v>24</v>
      </c>
      <c r="H58" s="64">
        <f t="shared" si="65"/>
        <v>1</v>
      </c>
      <c r="I58" s="63">
        <f t="shared" si="102"/>
        <v>4.5999999999999996</v>
      </c>
      <c r="J58" s="65">
        <f t="shared" si="66"/>
        <v>8.6117892021752077E-4</v>
      </c>
      <c r="K58" s="65">
        <f t="shared" si="67"/>
        <v>8.6117892021752077E-4</v>
      </c>
      <c r="L58" s="65">
        <f t="shared" si="68"/>
        <v>5.1791610661465239E-3</v>
      </c>
      <c r="M58" s="65">
        <f t="shared" si="69"/>
        <v>4.0000000000000001E-3</v>
      </c>
      <c r="N58" s="63">
        <f t="shared" si="70"/>
        <v>0.16859106516405312</v>
      </c>
      <c r="O58" s="64">
        <f t="shared" si="71"/>
        <v>2.1630523450367241</v>
      </c>
      <c r="P58" s="64">
        <f t="shared" si="72"/>
        <v>5.6815261725183621</v>
      </c>
      <c r="Q58" s="64">
        <f t="shared" si="73"/>
        <v>3.5184738274816376</v>
      </c>
      <c r="R58" s="64">
        <f t="shared" si="74"/>
        <v>0</v>
      </c>
      <c r="S58" s="64">
        <f t="shared" si="75"/>
        <v>4.6421869437382712</v>
      </c>
      <c r="T58" s="63">
        <f t="shared" si="42"/>
        <v>0.11161040109445014</v>
      </c>
      <c r="U58" s="63">
        <f t="shared" si="76"/>
        <v>1</v>
      </c>
      <c r="V58" s="63">
        <f t="shared" si="43"/>
        <v>1.1116104010944501</v>
      </c>
      <c r="W58" s="64">
        <f t="shared" si="44"/>
        <v>0.62441942683910201</v>
      </c>
      <c r="X58" s="63">
        <f t="shared" si="77"/>
        <v>7.7979924122814542E-2</v>
      </c>
      <c r="Y58" s="63">
        <f t="shared" si="45"/>
        <v>7.7979924122814542E-2</v>
      </c>
      <c r="Z58" s="64">
        <f t="shared" si="78"/>
        <v>1.7379898938113418</v>
      </c>
      <c r="AA58" s="74">
        <f t="shared" si="79"/>
        <v>3.020608870990359E-3</v>
      </c>
      <c r="AB58" s="75">
        <f t="shared" si="46"/>
        <v>3.020608870990359E-3</v>
      </c>
      <c r="AC58" s="63">
        <f t="shared" si="80"/>
        <v>1.9060746394666055</v>
      </c>
      <c r="AD58" s="63">
        <f t="shared" si="47"/>
        <v>3.1287668160942077E-3</v>
      </c>
      <c r="AE58" s="63">
        <f t="shared" si="81"/>
        <v>4.1331792722740651E-3</v>
      </c>
      <c r="AF58" s="63">
        <f t="shared" si="82"/>
        <v>0.4218542885242888</v>
      </c>
      <c r="AG58" s="63">
        <f t="shared" si="83"/>
        <v>4.0608000000000005E-2</v>
      </c>
      <c r="AH58" s="63">
        <f t="shared" si="84"/>
        <v>0</v>
      </c>
      <c r="AI58" s="63">
        <f t="shared" si="48"/>
        <v>0.22378064516129031</v>
      </c>
      <c r="AJ58" s="63">
        <f t="shared" si="49"/>
        <v>0.69037611295785317</v>
      </c>
      <c r="AK58" s="63">
        <f t="shared" si="85"/>
        <v>4.2328216463012378</v>
      </c>
      <c r="AL58" s="63">
        <f t="shared" si="86"/>
        <v>1.5429552469982179E-2</v>
      </c>
      <c r="AM58" s="63">
        <f t="shared" si="87"/>
        <v>2.0445243578096829E-2</v>
      </c>
      <c r="AN58" s="63">
        <f t="shared" si="88"/>
        <v>9.9709461591330956E-2</v>
      </c>
      <c r="AO58" s="63">
        <f t="shared" si="89"/>
        <v>553.88605913984338</v>
      </c>
      <c r="AP58" s="63">
        <f t="shared" si="50"/>
        <v>9.9709461591330956E-2</v>
      </c>
      <c r="AQ58" s="61">
        <f t="shared" si="90"/>
        <v>0.46248</v>
      </c>
      <c r="AR58" s="61">
        <f t="shared" si="91"/>
        <v>50128320000</v>
      </c>
      <c r="AS58" s="61">
        <f t="shared" si="51"/>
        <v>0.46248</v>
      </c>
      <c r="AT58" s="61">
        <f t="shared" si="52"/>
        <v>0.23869935483870966</v>
      </c>
      <c r="AU58" s="63">
        <f t="shared" si="53"/>
        <v>0.35885406000813747</v>
      </c>
      <c r="AV58" s="63">
        <f t="shared" si="92"/>
        <v>8.6199598482456286E-2</v>
      </c>
      <c r="AW58" s="63">
        <f t="shared" si="93"/>
        <v>2.9760000000000003E-3</v>
      </c>
      <c r="AX58" s="63">
        <f t="shared" si="94"/>
        <v>4.1360000000000001E-2</v>
      </c>
      <c r="AY58" s="63">
        <f t="shared" si="95"/>
        <v>4.4336E-2</v>
      </c>
      <c r="AZ58" s="63">
        <f t="shared" si="96"/>
        <v>2.3723767055367015</v>
      </c>
      <c r="BA58" s="64">
        <f t="shared" si="97"/>
        <v>18.399999999999999</v>
      </c>
      <c r="BB58" s="76">
        <f t="shared" si="54"/>
        <v>0.88579175415664568</v>
      </c>
      <c r="BC58" s="64">
        <f t="shared" si="55"/>
        <v>88.579175415664565</v>
      </c>
      <c r="BD58" s="63">
        <f t="shared" si="98"/>
        <v>1.1116104010944501</v>
      </c>
      <c r="BE58" s="63">
        <f t="shared" si="56"/>
        <v>1.0492301729659905</v>
      </c>
      <c r="BF58" s="63">
        <f t="shared" si="99"/>
        <v>0.69037611295785317</v>
      </c>
      <c r="BG58" s="63">
        <f t="shared" si="100"/>
        <v>0.35885406000813747</v>
      </c>
      <c r="BH58" s="63">
        <f t="shared" si="101"/>
        <v>8.6199598482456286E-2</v>
      </c>
      <c r="BI58" s="63">
        <f t="shared" si="57"/>
        <v>4.4336E-2</v>
      </c>
      <c r="BJ58" s="63">
        <f t="shared" si="58"/>
        <v>3.020608870990359E-3</v>
      </c>
      <c r="BK58" s="63">
        <f t="shared" si="59"/>
        <v>7.7979924122814542E-2</v>
      </c>
      <c r="BL58" s="63">
        <f t="shared" si="60"/>
        <v>2.372376705536702</v>
      </c>
    </row>
    <row r="59" spans="3:70" x14ac:dyDescent="0.25">
      <c r="C59" s="61">
        <v>47</v>
      </c>
      <c r="D59" s="61">
        <f t="shared" si="61"/>
        <v>105</v>
      </c>
      <c r="E59" s="61">
        <f t="shared" si="62"/>
        <v>105</v>
      </c>
      <c r="F59" s="61">
        <f t="shared" si="63"/>
        <v>105</v>
      </c>
      <c r="G59" s="73">
        <f t="shared" si="64"/>
        <v>24</v>
      </c>
      <c r="H59" s="64">
        <f t="shared" si="65"/>
        <v>1</v>
      </c>
      <c r="I59" s="63">
        <f t="shared" si="102"/>
        <v>4.7</v>
      </c>
      <c r="J59" s="65">
        <f t="shared" si="66"/>
        <v>8.6117892021752077E-4</v>
      </c>
      <c r="K59" s="65">
        <f t="shared" si="67"/>
        <v>8.6117892021752077E-4</v>
      </c>
      <c r="L59" s="65">
        <f t="shared" si="68"/>
        <v>5.1791610661465239E-3</v>
      </c>
      <c r="M59" s="65">
        <f t="shared" si="69"/>
        <v>4.0000000000000001E-3</v>
      </c>
      <c r="N59" s="63">
        <f t="shared" si="70"/>
        <v>0.1686328999139963</v>
      </c>
      <c r="O59" s="64">
        <f t="shared" si="71"/>
        <v>2.1635890920694365</v>
      </c>
      <c r="P59" s="64">
        <f t="shared" si="72"/>
        <v>5.7817945460347184</v>
      </c>
      <c r="Q59" s="64">
        <f t="shared" si="73"/>
        <v>3.6182054539652819</v>
      </c>
      <c r="R59" s="64">
        <f t="shared" si="74"/>
        <v>0</v>
      </c>
      <c r="S59" s="64">
        <f t="shared" si="75"/>
        <v>4.7413176593232134</v>
      </c>
      <c r="T59" s="63">
        <f t="shared" si="42"/>
        <v>0.11642802318827061</v>
      </c>
      <c r="U59" s="63">
        <f t="shared" si="76"/>
        <v>1</v>
      </c>
      <c r="V59" s="63">
        <f t="shared" si="43"/>
        <v>1.1164280231882706</v>
      </c>
      <c r="W59" s="64">
        <f t="shared" si="44"/>
        <v>0.62457437236101365</v>
      </c>
      <c r="X59" s="63">
        <f t="shared" si="77"/>
        <v>7.8018629322030839E-2</v>
      </c>
      <c r="Y59" s="63">
        <f t="shared" si="45"/>
        <v>7.8018629322030839E-2</v>
      </c>
      <c r="Z59" s="64">
        <f t="shared" si="78"/>
        <v>1.77527903551285</v>
      </c>
      <c r="AA59" s="74">
        <f t="shared" si="79"/>
        <v>3.1516156539314354E-3</v>
      </c>
      <c r="AB59" s="75">
        <f t="shared" si="46"/>
        <v>3.1516156539314354E-3</v>
      </c>
      <c r="AC59" s="63">
        <f t="shared" si="80"/>
        <v>1.9470190799397997</v>
      </c>
      <c r="AD59" s="63">
        <f t="shared" si="47"/>
        <v>3.2646287849405378E-3</v>
      </c>
      <c r="AE59" s="63">
        <f t="shared" si="81"/>
        <v>4.3128017609210759E-3</v>
      </c>
      <c r="AF59" s="63">
        <f t="shared" si="82"/>
        <v>0.43035421318952438</v>
      </c>
      <c r="AG59" s="63">
        <f t="shared" si="83"/>
        <v>4.0608000000000005E-2</v>
      </c>
      <c r="AH59" s="63">
        <f t="shared" si="84"/>
        <v>0</v>
      </c>
      <c r="AI59" s="63">
        <f t="shared" si="48"/>
        <v>0.22378064516129031</v>
      </c>
      <c r="AJ59" s="63">
        <f t="shared" si="49"/>
        <v>0.6990556601117357</v>
      </c>
      <c r="AK59" s="63">
        <f t="shared" si="85"/>
        <v>4.3231018781611583</v>
      </c>
      <c r="AL59" s="63">
        <f t="shared" si="86"/>
        <v>1.6094753557446488E-2</v>
      </c>
      <c r="AM59" s="63">
        <f t="shared" si="87"/>
        <v>2.1330214222054781E-2</v>
      </c>
      <c r="AN59" s="63">
        <f t="shared" si="88"/>
        <v>0.10196445250690947</v>
      </c>
      <c r="AO59" s="63">
        <f t="shared" si="89"/>
        <v>566.41253367588217</v>
      </c>
      <c r="AP59" s="63">
        <f t="shared" si="50"/>
        <v>0.10196445250690947</v>
      </c>
      <c r="AQ59" s="61">
        <f t="shared" si="90"/>
        <v>0.46248</v>
      </c>
      <c r="AR59" s="61">
        <f t="shared" si="91"/>
        <v>50128320000</v>
      </c>
      <c r="AS59" s="61">
        <f t="shared" si="51"/>
        <v>0.46248</v>
      </c>
      <c r="AT59" s="61">
        <f t="shared" si="52"/>
        <v>0.23869935483870966</v>
      </c>
      <c r="AU59" s="63">
        <f t="shared" si="53"/>
        <v>0.36199402156767391</v>
      </c>
      <c r="AV59" s="63">
        <f t="shared" si="92"/>
        <v>8.9920372586440617E-2</v>
      </c>
      <c r="AW59" s="63">
        <f t="shared" si="93"/>
        <v>2.9760000000000003E-3</v>
      </c>
      <c r="AX59" s="63">
        <f t="shared" si="94"/>
        <v>4.1360000000000001E-2</v>
      </c>
      <c r="AY59" s="63">
        <f t="shared" si="95"/>
        <v>4.4336E-2</v>
      </c>
      <c r="AZ59" s="63">
        <f t="shared" si="96"/>
        <v>2.3929043224300832</v>
      </c>
      <c r="BA59" s="64">
        <f t="shared" si="97"/>
        <v>18.8</v>
      </c>
      <c r="BB59" s="76">
        <f t="shared" si="54"/>
        <v>0.88708936321212528</v>
      </c>
      <c r="BC59" s="64">
        <f t="shared" si="55"/>
        <v>88.708936321212533</v>
      </c>
      <c r="BD59" s="63">
        <f t="shared" si="98"/>
        <v>1.1164280231882706</v>
      </c>
      <c r="BE59" s="63">
        <f t="shared" si="56"/>
        <v>1.0610496816794095</v>
      </c>
      <c r="BF59" s="63">
        <f t="shared" si="99"/>
        <v>0.6990556601117357</v>
      </c>
      <c r="BG59" s="63">
        <f t="shared" si="100"/>
        <v>0.36199402156767391</v>
      </c>
      <c r="BH59" s="63">
        <f t="shared" si="101"/>
        <v>8.9920372586440617E-2</v>
      </c>
      <c r="BI59" s="63">
        <f t="shared" si="57"/>
        <v>4.4336E-2</v>
      </c>
      <c r="BJ59" s="63">
        <f t="shared" si="58"/>
        <v>3.1516156539314354E-3</v>
      </c>
      <c r="BK59" s="63">
        <f t="shared" si="59"/>
        <v>7.8018629322030839E-2</v>
      </c>
      <c r="BL59" s="63">
        <f t="shared" si="60"/>
        <v>2.3929043224300828</v>
      </c>
      <c r="BQ59" s="77"/>
      <c r="BR59" s="78"/>
    </row>
    <row r="60" spans="3:70" x14ac:dyDescent="0.25">
      <c r="C60" s="61">
        <v>48</v>
      </c>
      <c r="D60" s="61">
        <f t="shared" si="61"/>
        <v>105</v>
      </c>
      <c r="E60" s="61">
        <f t="shared" si="62"/>
        <v>105</v>
      </c>
      <c r="F60" s="61">
        <f t="shared" si="63"/>
        <v>105</v>
      </c>
      <c r="G60" s="73">
        <f t="shared" si="64"/>
        <v>24</v>
      </c>
      <c r="H60" s="64">
        <f t="shared" si="65"/>
        <v>1</v>
      </c>
      <c r="I60" s="63">
        <f t="shared" si="102"/>
        <v>4.8</v>
      </c>
      <c r="J60" s="65">
        <f t="shared" si="66"/>
        <v>8.6117892021752077E-4</v>
      </c>
      <c r="K60" s="65">
        <f t="shared" si="67"/>
        <v>8.6117892021752077E-4</v>
      </c>
      <c r="L60" s="65">
        <f t="shared" si="68"/>
        <v>5.1791610661465239E-3</v>
      </c>
      <c r="M60" s="65">
        <f t="shared" si="69"/>
        <v>4.0000000000000001E-3</v>
      </c>
      <c r="N60" s="63">
        <f t="shared" si="70"/>
        <v>0.16867473466393948</v>
      </c>
      <c r="O60" s="64">
        <f t="shared" si="71"/>
        <v>2.1641258391021485</v>
      </c>
      <c r="P60" s="64">
        <f t="shared" si="72"/>
        <v>5.8820629195510739</v>
      </c>
      <c r="Q60" s="64">
        <f t="shared" si="73"/>
        <v>3.7179370804489258</v>
      </c>
      <c r="R60" s="64">
        <f t="shared" si="74"/>
        <v>0</v>
      </c>
      <c r="S60" s="64">
        <f t="shared" si="75"/>
        <v>4.8404841411394441</v>
      </c>
      <c r="T60" s="63">
        <f t="shared" si="42"/>
        <v>0.12134922875209778</v>
      </c>
      <c r="U60" s="63">
        <f t="shared" si="76"/>
        <v>1</v>
      </c>
      <c r="V60" s="63">
        <f t="shared" si="43"/>
        <v>1.1213492287520979</v>
      </c>
      <c r="W60" s="64">
        <f t="shared" si="44"/>
        <v>0.62472931788292507</v>
      </c>
      <c r="X60" s="63">
        <f t="shared" si="77"/>
        <v>7.8057344124492972E-2</v>
      </c>
      <c r="Y60" s="63">
        <f t="shared" si="45"/>
        <v>7.8057344124492972E-2</v>
      </c>
      <c r="Z60" s="64">
        <f t="shared" si="78"/>
        <v>1.8125888712322777</v>
      </c>
      <c r="AA60" s="74">
        <f t="shared" si="79"/>
        <v>3.285478416115103E-3</v>
      </c>
      <c r="AB60" s="75">
        <f t="shared" si="46"/>
        <v>3.285478416115103E-3</v>
      </c>
      <c r="AC60" s="63">
        <f t="shared" si="80"/>
        <v>1.9879882785622802</v>
      </c>
      <c r="AD60" s="63">
        <f t="shared" si="47"/>
        <v>3.4034629678242789E-3</v>
      </c>
      <c r="AE60" s="63">
        <f t="shared" si="81"/>
        <v>4.4963663151564139E-3</v>
      </c>
      <c r="AF60" s="63">
        <f t="shared" si="82"/>
        <v>0.43885413785475991</v>
      </c>
      <c r="AG60" s="63">
        <f t="shared" si="83"/>
        <v>4.0608000000000005E-2</v>
      </c>
      <c r="AH60" s="63">
        <f t="shared" si="84"/>
        <v>0</v>
      </c>
      <c r="AI60" s="63">
        <f t="shared" si="48"/>
        <v>0.22378064516129031</v>
      </c>
      <c r="AJ60" s="63">
        <f t="shared" si="49"/>
        <v>0.70773914933120663</v>
      </c>
      <c r="AK60" s="63">
        <f t="shared" si="85"/>
        <v>4.4134101695765198</v>
      </c>
      <c r="AL60" s="63">
        <f t="shared" si="86"/>
        <v>1.677420605062829E-2</v>
      </c>
      <c r="AM60" s="63">
        <f t="shared" si="87"/>
        <v>2.2234447356772664E-2</v>
      </c>
      <c r="AN60" s="63">
        <f t="shared" si="88"/>
        <v>0.10421944342248797</v>
      </c>
      <c r="AO60" s="63">
        <f t="shared" si="89"/>
        <v>578.93900821192062</v>
      </c>
      <c r="AP60" s="63">
        <f t="shared" si="50"/>
        <v>0.10421944342248797</v>
      </c>
      <c r="AQ60" s="61">
        <f t="shared" si="90"/>
        <v>0.46248</v>
      </c>
      <c r="AR60" s="61">
        <f t="shared" si="91"/>
        <v>50128320000</v>
      </c>
      <c r="AS60" s="61">
        <f t="shared" si="51"/>
        <v>0.46248</v>
      </c>
      <c r="AT60" s="61">
        <f t="shared" si="52"/>
        <v>0.23869935483870966</v>
      </c>
      <c r="AU60" s="63">
        <f t="shared" si="53"/>
        <v>0.3651532456179703</v>
      </c>
      <c r="AV60" s="63">
        <f t="shared" si="92"/>
        <v>9.372114688248985E-2</v>
      </c>
      <c r="AW60" s="63">
        <f t="shared" si="93"/>
        <v>2.9760000000000003E-3</v>
      </c>
      <c r="AX60" s="63">
        <f t="shared" si="94"/>
        <v>4.1360000000000001E-2</v>
      </c>
      <c r="AY60" s="63">
        <f t="shared" si="95"/>
        <v>4.4336E-2</v>
      </c>
      <c r="AZ60" s="63">
        <f t="shared" si="96"/>
        <v>2.4136415931243724</v>
      </c>
      <c r="BA60" s="64">
        <f t="shared" si="97"/>
        <v>19.2</v>
      </c>
      <c r="BB60" s="76">
        <f t="shared" si="54"/>
        <v>0.8883278607760301</v>
      </c>
      <c r="BC60" s="64">
        <f t="shared" si="55"/>
        <v>88.832786077603004</v>
      </c>
      <c r="BD60" s="63">
        <f t="shared" si="98"/>
        <v>1.1213492287520979</v>
      </c>
      <c r="BE60" s="63">
        <f t="shared" si="56"/>
        <v>1.0728923949491769</v>
      </c>
      <c r="BF60" s="63">
        <f t="shared" si="99"/>
        <v>0.70773914933120663</v>
      </c>
      <c r="BG60" s="63">
        <f t="shared" si="100"/>
        <v>0.3651532456179703</v>
      </c>
      <c r="BH60" s="63">
        <f t="shared" si="101"/>
        <v>9.372114688248985E-2</v>
      </c>
      <c r="BI60" s="63">
        <f t="shared" si="57"/>
        <v>4.4336E-2</v>
      </c>
      <c r="BJ60" s="63">
        <f t="shared" si="58"/>
        <v>3.285478416115103E-3</v>
      </c>
      <c r="BK60" s="63">
        <f t="shared" si="59"/>
        <v>7.8057344124492972E-2</v>
      </c>
      <c r="BL60" s="63">
        <f t="shared" si="60"/>
        <v>2.4136415931243729</v>
      </c>
      <c r="BQ60" s="77"/>
      <c r="BR60" s="78"/>
    </row>
    <row r="61" spans="3:70" x14ac:dyDescent="0.25">
      <c r="C61" s="61">
        <v>49</v>
      </c>
      <c r="D61" s="61">
        <f t="shared" si="61"/>
        <v>105</v>
      </c>
      <c r="E61" s="61">
        <f t="shared" si="62"/>
        <v>105</v>
      </c>
      <c r="F61" s="61">
        <f t="shared" si="63"/>
        <v>105</v>
      </c>
      <c r="G61" s="73">
        <f t="shared" si="64"/>
        <v>24</v>
      </c>
      <c r="H61" s="64">
        <f t="shared" si="65"/>
        <v>1</v>
      </c>
      <c r="I61" s="63">
        <f t="shared" si="102"/>
        <v>4.9000000000000004</v>
      </c>
      <c r="J61" s="65">
        <f t="shared" si="66"/>
        <v>8.6117892021752077E-4</v>
      </c>
      <c r="K61" s="65">
        <f t="shared" si="67"/>
        <v>8.6117892021752077E-4</v>
      </c>
      <c r="L61" s="65">
        <f t="shared" si="68"/>
        <v>5.1791610661465239E-3</v>
      </c>
      <c r="M61" s="65">
        <f t="shared" si="69"/>
        <v>4.0000000000000001E-3</v>
      </c>
      <c r="N61" s="63">
        <f t="shared" si="70"/>
        <v>0.16871656941388266</v>
      </c>
      <c r="O61" s="64">
        <f t="shared" si="71"/>
        <v>2.164662586134861</v>
      </c>
      <c r="P61" s="64">
        <f t="shared" si="72"/>
        <v>5.9823312930674311</v>
      </c>
      <c r="Q61" s="64">
        <f t="shared" si="73"/>
        <v>3.8176687069325697</v>
      </c>
      <c r="R61" s="64">
        <f t="shared" si="74"/>
        <v>0</v>
      </c>
      <c r="S61" s="64">
        <f t="shared" si="75"/>
        <v>4.9396842351157435</v>
      </c>
      <c r="T61" s="63">
        <f t="shared" si="42"/>
        <v>0.12637401778593169</v>
      </c>
      <c r="U61" s="63">
        <f t="shared" si="76"/>
        <v>1</v>
      </c>
      <c r="V61" s="63">
        <f t="shared" si="43"/>
        <v>1.1263740177859316</v>
      </c>
      <c r="W61" s="64">
        <f t="shared" si="44"/>
        <v>0.62488426340483672</v>
      </c>
      <c r="X61" s="63">
        <f t="shared" si="77"/>
        <v>7.8096068530201068E-2</v>
      </c>
      <c r="Y61" s="63">
        <f t="shared" si="45"/>
        <v>7.8096068530201068E-2</v>
      </c>
      <c r="Z61" s="64">
        <f t="shared" si="78"/>
        <v>1.8499185957716235</v>
      </c>
      <c r="AA61" s="74">
        <f t="shared" si="79"/>
        <v>3.4221988109816555E-3</v>
      </c>
      <c r="AB61" s="75">
        <f t="shared" si="46"/>
        <v>3.4221988109816555E-3</v>
      </c>
      <c r="AC61" s="63">
        <f t="shared" si="80"/>
        <v>2.0289813541437383</v>
      </c>
      <c r="AD61" s="63">
        <f t="shared" si="47"/>
        <v>3.5452715263829099E-3</v>
      </c>
      <c r="AE61" s="63">
        <f t="shared" si="81"/>
        <v>4.6838766071888435E-3</v>
      </c>
      <c r="AF61" s="63">
        <f t="shared" si="82"/>
        <v>0.44735406251999565</v>
      </c>
      <c r="AG61" s="63">
        <f t="shared" si="83"/>
        <v>4.0608000000000005E-2</v>
      </c>
      <c r="AH61" s="63">
        <f t="shared" si="84"/>
        <v>0</v>
      </c>
      <c r="AI61" s="63">
        <f t="shared" si="48"/>
        <v>0.22378064516129031</v>
      </c>
      <c r="AJ61" s="63">
        <f t="shared" si="49"/>
        <v>0.71642658428847472</v>
      </c>
      <c r="AK61" s="63">
        <f t="shared" si="85"/>
        <v>4.5037445539448671</v>
      </c>
      <c r="AL61" s="63">
        <f t="shared" si="86"/>
        <v>1.7467907787890126E-2</v>
      </c>
      <c r="AM61" s="63">
        <f t="shared" si="87"/>
        <v>2.3157959513145133E-2</v>
      </c>
      <c r="AN61" s="63">
        <f t="shared" si="88"/>
        <v>0.10647443433806647</v>
      </c>
      <c r="AO61" s="63">
        <f t="shared" si="89"/>
        <v>591.4654827479593</v>
      </c>
      <c r="AP61" s="63">
        <f t="shared" si="50"/>
        <v>0.10647443433806647</v>
      </c>
      <c r="AQ61" s="61">
        <f t="shared" si="90"/>
        <v>0.46248</v>
      </c>
      <c r="AR61" s="61">
        <f t="shared" si="91"/>
        <v>50128320000</v>
      </c>
      <c r="AS61" s="61">
        <f t="shared" si="51"/>
        <v>0.46248</v>
      </c>
      <c r="AT61" s="61">
        <f t="shared" si="52"/>
        <v>0.23869935483870966</v>
      </c>
      <c r="AU61" s="63">
        <f t="shared" si="53"/>
        <v>0.36833174868992125</v>
      </c>
      <c r="AV61" s="63">
        <f t="shared" si="92"/>
        <v>9.7601921370604028E-2</v>
      </c>
      <c r="AW61" s="63">
        <f t="shared" si="93"/>
        <v>2.9760000000000003E-3</v>
      </c>
      <c r="AX61" s="63">
        <f t="shared" si="94"/>
        <v>4.1360000000000001E-2</v>
      </c>
      <c r="AY61" s="63">
        <f t="shared" si="95"/>
        <v>4.4336E-2</v>
      </c>
      <c r="AZ61" s="63">
        <f t="shared" si="96"/>
        <v>2.4345885394761142</v>
      </c>
      <c r="BA61" s="64">
        <f t="shared" si="97"/>
        <v>19.600000000000001</v>
      </c>
      <c r="BB61" s="76">
        <f t="shared" si="54"/>
        <v>0.88951059670960408</v>
      </c>
      <c r="BC61" s="64">
        <f t="shared" si="55"/>
        <v>88.951059670960404</v>
      </c>
      <c r="BD61" s="63">
        <f t="shared" si="98"/>
        <v>1.1263740177859316</v>
      </c>
      <c r="BE61" s="63">
        <f t="shared" si="56"/>
        <v>1.0847583329783959</v>
      </c>
      <c r="BF61" s="63">
        <f t="shared" si="99"/>
        <v>0.71642658428847472</v>
      </c>
      <c r="BG61" s="63">
        <f t="shared" si="100"/>
        <v>0.36833174868992125</v>
      </c>
      <c r="BH61" s="63">
        <f t="shared" si="101"/>
        <v>9.7601921370604028E-2</v>
      </c>
      <c r="BI61" s="63">
        <f t="shared" si="57"/>
        <v>4.4336E-2</v>
      </c>
      <c r="BJ61" s="63">
        <f t="shared" si="58"/>
        <v>3.4221988109816555E-3</v>
      </c>
      <c r="BK61" s="63">
        <f t="shared" si="59"/>
        <v>7.8096068530201068E-2</v>
      </c>
      <c r="BL61" s="63">
        <f t="shared" si="60"/>
        <v>2.4345885394761138</v>
      </c>
      <c r="BQ61" s="77"/>
      <c r="BR61" s="78"/>
    </row>
    <row r="62" spans="3:70" x14ac:dyDescent="0.25">
      <c r="C62" s="61">
        <v>50</v>
      </c>
      <c r="D62" s="61">
        <f t="shared" si="61"/>
        <v>105</v>
      </c>
      <c r="E62" s="61">
        <f t="shared" si="62"/>
        <v>105</v>
      </c>
      <c r="F62" s="61">
        <f t="shared" si="63"/>
        <v>105</v>
      </c>
      <c r="G62" s="73">
        <f t="shared" si="64"/>
        <v>24</v>
      </c>
      <c r="H62" s="64">
        <f t="shared" si="65"/>
        <v>1</v>
      </c>
      <c r="I62" s="63">
        <f t="shared" si="102"/>
        <v>5</v>
      </c>
      <c r="J62" s="65">
        <f t="shared" si="66"/>
        <v>8.6117892021752077E-4</v>
      </c>
      <c r="K62" s="65">
        <f t="shared" si="67"/>
        <v>8.6117892021752077E-4</v>
      </c>
      <c r="L62" s="65">
        <f t="shared" si="68"/>
        <v>5.1791610661465239E-3</v>
      </c>
      <c r="M62" s="65">
        <f t="shared" si="69"/>
        <v>4.0000000000000001E-3</v>
      </c>
      <c r="N62" s="63">
        <f t="shared" si="70"/>
        <v>0.16875840416382584</v>
      </c>
      <c r="O62" s="64">
        <f t="shared" si="71"/>
        <v>2.1651993331675734</v>
      </c>
      <c r="P62" s="64">
        <f t="shared" si="72"/>
        <v>6.0825996665837865</v>
      </c>
      <c r="Q62" s="64">
        <f t="shared" si="73"/>
        <v>3.9174003334162135</v>
      </c>
      <c r="R62" s="64">
        <f t="shared" si="74"/>
        <v>0</v>
      </c>
      <c r="S62" s="64">
        <f t="shared" si="75"/>
        <v>5.0389159561056163</v>
      </c>
      <c r="T62" s="63">
        <f t="shared" si="42"/>
        <v>0.13150239028977229</v>
      </c>
      <c r="U62" s="63">
        <f t="shared" si="76"/>
        <v>1</v>
      </c>
      <c r="V62" s="63">
        <f t="shared" si="43"/>
        <v>1.1315023902897723</v>
      </c>
      <c r="W62" s="64">
        <f t="shared" si="44"/>
        <v>0.62503920892674836</v>
      </c>
      <c r="X62" s="63">
        <f t="shared" si="77"/>
        <v>7.8134802539155085E-2</v>
      </c>
      <c r="Y62" s="63">
        <f t="shared" si="45"/>
        <v>7.8134802539155085E-2</v>
      </c>
      <c r="Z62" s="64">
        <f t="shared" si="78"/>
        <v>1.8872674668820384</v>
      </c>
      <c r="AA62" s="74">
        <f t="shared" si="79"/>
        <v>3.5617784915513459E-3</v>
      </c>
      <c r="AB62" s="75">
        <f t="shared" si="46"/>
        <v>3.5617784915513459E-3</v>
      </c>
      <c r="AC62" s="63">
        <f t="shared" si="80"/>
        <v>2.06999749444932</v>
      </c>
      <c r="AD62" s="63">
        <f t="shared" si="47"/>
        <v>3.6900566222539044E-3</v>
      </c>
      <c r="AE62" s="63">
        <f t="shared" si="81"/>
        <v>4.87533632761631E-3</v>
      </c>
      <c r="AF62" s="63">
        <f t="shared" si="82"/>
        <v>0.45585398718523118</v>
      </c>
      <c r="AG62" s="63">
        <f t="shared" si="83"/>
        <v>4.0608000000000005E-2</v>
      </c>
      <c r="AH62" s="63">
        <f t="shared" si="84"/>
        <v>0</v>
      </c>
      <c r="AI62" s="63">
        <f t="shared" si="48"/>
        <v>0.22378064516129031</v>
      </c>
      <c r="AJ62" s="63">
        <f t="shared" si="49"/>
        <v>0.7251179686741378</v>
      </c>
      <c r="AK62" s="63">
        <f t="shared" si="85"/>
        <v>4.5941032188740936</v>
      </c>
      <c r="AL62" s="63">
        <f t="shared" si="86"/>
        <v>1.8175856607594503E-2</v>
      </c>
      <c r="AM62" s="63">
        <f t="shared" si="87"/>
        <v>2.4100767642029779E-2</v>
      </c>
      <c r="AN62" s="63">
        <f t="shared" si="88"/>
        <v>0.10872942525364498</v>
      </c>
      <c r="AO62" s="63">
        <f t="shared" si="89"/>
        <v>603.99195728399786</v>
      </c>
      <c r="AP62" s="63">
        <f t="shared" si="50"/>
        <v>0.10872942525364498</v>
      </c>
      <c r="AQ62" s="61">
        <f t="shared" si="90"/>
        <v>0.46248</v>
      </c>
      <c r="AR62" s="61">
        <f t="shared" si="91"/>
        <v>50128320000</v>
      </c>
      <c r="AS62" s="61">
        <f t="shared" si="51"/>
        <v>0.46248</v>
      </c>
      <c r="AT62" s="61">
        <f t="shared" si="52"/>
        <v>0.23869935483870966</v>
      </c>
      <c r="AU62" s="63">
        <f t="shared" si="53"/>
        <v>0.3715295477343844</v>
      </c>
      <c r="AV62" s="63">
        <f t="shared" si="92"/>
        <v>0.10156269605078311</v>
      </c>
      <c r="AW62" s="63">
        <f t="shared" si="93"/>
        <v>2.9760000000000003E-3</v>
      </c>
      <c r="AX62" s="63">
        <f t="shared" si="94"/>
        <v>4.1360000000000001E-2</v>
      </c>
      <c r="AY62" s="63">
        <f t="shared" si="95"/>
        <v>4.4336E-2</v>
      </c>
      <c r="AZ62" s="63">
        <f t="shared" si="96"/>
        <v>2.4557451837797841</v>
      </c>
      <c r="BA62" s="64">
        <f t="shared" si="97"/>
        <v>20</v>
      </c>
      <c r="BB62" s="76">
        <f t="shared" si="54"/>
        <v>0.89064067285758053</v>
      </c>
      <c r="BC62" s="64">
        <f t="shared" si="55"/>
        <v>89.064067285758057</v>
      </c>
      <c r="BD62" s="63">
        <f t="shared" si="98"/>
        <v>1.1315023902897723</v>
      </c>
      <c r="BE62" s="63">
        <f t="shared" si="56"/>
        <v>1.0966475164085221</v>
      </c>
      <c r="BF62" s="63">
        <f t="shared" si="99"/>
        <v>0.7251179686741378</v>
      </c>
      <c r="BG62" s="63">
        <f t="shared" si="100"/>
        <v>0.3715295477343844</v>
      </c>
      <c r="BH62" s="63">
        <f t="shared" si="101"/>
        <v>0.10156269605078311</v>
      </c>
      <c r="BI62" s="63">
        <f t="shared" si="57"/>
        <v>4.4336E-2</v>
      </c>
      <c r="BJ62" s="63">
        <f t="shared" si="58"/>
        <v>3.5617784915513459E-3</v>
      </c>
      <c r="BK62" s="63">
        <f t="shared" si="59"/>
        <v>7.8134802539155085E-2</v>
      </c>
      <c r="BL62" s="63">
        <f t="shared" si="60"/>
        <v>2.4557451837797837</v>
      </c>
      <c r="BQ62" s="77"/>
      <c r="BR62" s="78"/>
    </row>
    <row r="63" spans="3:70" x14ac:dyDescent="0.25">
      <c r="C63" s="61">
        <v>51</v>
      </c>
      <c r="D63" s="61">
        <f t="shared" si="61"/>
        <v>105</v>
      </c>
      <c r="E63" s="61">
        <f t="shared" si="62"/>
        <v>105</v>
      </c>
      <c r="F63" s="61">
        <f t="shared" si="63"/>
        <v>105</v>
      </c>
      <c r="G63" s="73">
        <f t="shared" si="64"/>
        <v>24</v>
      </c>
      <c r="H63" s="64">
        <f t="shared" si="65"/>
        <v>1</v>
      </c>
      <c r="I63" s="63">
        <f t="shared" si="102"/>
        <v>5.0999999999999996</v>
      </c>
      <c r="J63" s="65">
        <f t="shared" si="66"/>
        <v>8.6117892021752077E-4</v>
      </c>
      <c r="K63" s="65">
        <f t="shared" si="67"/>
        <v>8.6117892021752077E-4</v>
      </c>
      <c r="L63" s="65">
        <f t="shared" si="68"/>
        <v>5.1791610661465239E-3</v>
      </c>
      <c r="M63" s="65">
        <f t="shared" si="69"/>
        <v>4.0000000000000001E-3</v>
      </c>
      <c r="N63" s="63">
        <f t="shared" si="70"/>
        <v>0.16880023891376902</v>
      </c>
      <c r="O63" s="64">
        <f t="shared" si="71"/>
        <v>2.1657360802002859</v>
      </c>
      <c r="P63" s="64">
        <f t="shared" si="72"/>
        <v>6.1828680401001428</v>
      </c>
      <c r="Q63" s="64">
        <f t="shared" si="73"/>
        <v>4.0171319598998565</v>
      </c>
      <c r="R63" s="64">
        <f t="shared" si="74"/>
        <v>0</v>
      </c>
      <c r="S63" s="64">
        <f t="shared" si="75"/>
        <v>5.1381774717069453</v>
      </c>
      <c r="T63" s="63">
        <f t="shared" si="42"/>
        <v>0.13673434626361963</v>
      </c>
      <c r="U63" s="63">
        <f t="shared" si="76"/>
        <v>1</v>
      </c>
      <c r="V63" s="63">
        <f t="shared" si="43"/>
        <v>1.1367343462636197</v>
      </c>
      <c r="W63" s="64">
        <f t="shared" si="44"/>
        <v>0.62519415444866</v>
      </c>
      <c r="X63" s="63">
        <f t="shared" si="77"/>
        <v>7.8173546151354995E-2</v>
      </c>
      <c r="Y63" s="63">
        <f t="shared" si="45"/>
        <v>7.8173546151354995E-2</v>
      </c>
      <c r="Z63" s="64">
        <f t="shared" si="78"/>
        <v>1.9246347992344921</v>
      </c>
      <c r="AA63" s="74">
        <f t="shared" si="79"/>
        <v>3.7042191104243939E-3</v>
      </c>
      <c r="AB63" s="75">
        <f t="shared" si="46"/>
        <v>3.7042191104243939E-3</v>
      </c>
      <c r="AC63" s="63">
        <f t="shared" si="80"/>
        <v>2.1110359495950228</v>
      </c>
      <c r="AD63" s="63">
        <f t="shared" si="47"/>
        <v>3.8378204170747437E-3</v>
      </c>
      <c r="AE63" s="63">
        <f t="shared" si="81"/>
        <v>5.0707491854776266E-3</v>
      </c>
      <c r="AF63" s="63">
        <f t="shared" si="82"/>
        <v>0.46435391185046682</v>
      </c>
      <c r="AG63" s="63">
        <f t="shared" si="83"/>
        <v>4.0608000000000005E-2</v>
      </c>
      <c r="AH63" s="63">
        <f t="shared" si="84"/>
        <v>0</v>
      </c>
      <c r="AI63" s="63">
        <f t="shared" si="48"/>
        <v>0.22378064516129031</v>
      </c>
      <c r="AJ63" s="63">
        <f t="shared" si="49"/>
        <v>0.73381330619723473</v>
      </c>
      <c r="AK63" s="63">
        <f t="shared" si="85"/>
        <v>4.6844844914114319</v>
      </c>
      <c r="AL63" s="63">
        <f t="shared" si="86"/>
        <v>1.8898050348103969E-2</v>
      </c>
      <c r="AM63" s="63">
        <f t="shared" si="87"/>
        <v>2.506288911510807E-2</v>
      </c>
      <c r="AN63" s="63">
        <f t="shared" si="88"/>
        <v>0.11098441616922347</v>
      </c>
      <c r="AO63" s="63">
        <f t="shared" si="89"/>
        <v>616.51843182003631</v>
      </c>
      <c r="AP63" s="63">
        <f t="shared" si="50"/>
        <v>0.11098441616922347</v>
      </c>
      <c r="AQ63" s="61">
        <f t="shared" si="90"/>
        <v>0.46248</v>
      </c>
      <c r="AR63" s="61">
        <f t="shared" si="91"/>
        <v>50128320000</v>
      </c>
      <c r="AS63" s="61">
        <f t="shared" si="51"/>
        <v>0.46248</v>
      </c>
      <c r="AT63" s="61">
        <f t="shared" si="52"/>
        <v>0.23869935483870966</v>
      </c>
      <c r="AU63" s="63">
        <f t="shared" si="53"/>
        <v>0.3747466601230412</v>
      </c>
      <c r="AV63" s="63">
        <f t="shared" si="92"/>
        <v>0.1056034709230271</v>
      </c>
      <c r="AW63" s="63">
        <f t="shared" si="93"/>
        <v>2.9760000000000003E-3</v>
      </c>
      <c r="AX63" s="63">
        <f t="shared" si="94"/>
        <v>4.1360000000000001E-2</v>
      </c>
      <c r="AY63" s="63">
        <f t="shared" si="95"/>
        <v>4.4336E-2</v>
      </c>
      <c r="AZ63" s="63">
        <f t="shared" si="96"/>
        <v>2.4771115487687023</v>
      </c>
      <c r="BA63" s="64">
        <f t="shared" si="97"/>
        <v>20.399999999999999</v>
      </c>
      <c r="BB63" s="76">
        <f t="shared" si="54"/>
        <v>0.89172096558221192</v>
      </c>
      <c r="BC63" s="64">
        <f t="shared" si="55"/>
        <v>89.172096558221199</v>
      </c>
      <c r="BD63" s="63">
        <f t="shared" si="98"/>
        <v>1.1367343462636197</v>
      </c>
      <c r="BE63" s="63">
        <f t="shared" si="56"/>
        <v>1.1085599663202759</v>
      </c>
      <c r="BF63" s="63">
        <f t="shared" si="99"/>
        <v>0.73381330619723473</v>
      </c>
      <c r="BG63" s="63">
        <f t="shared" si="100"/>
        <v>0.3747466601230412</v>
      </c>
      <c r="BH63" s="63">
        <f t="shared" si="101"/>
        <v>0.1056034709230271</v>
      </c>
      <c r="BI63" s="63">
        <f t="shared" si="57"/>
        <v>4.4336E-2</v>
      </c>
      <c r="BJ63" s="63">
        <f t="shared" si="58"/>
        <v>3.7042191104243939E-3</v>
      </c>
      <c r="BK63" s="63">
        <f t="shared" si="59"/>
        <v>7.8173546151354995E-2</v>
      </c>
      <c r="BL63" s="63">
        <f t="shared" si="60"/>
        <v>2.4771115487687019</v>
      </c>
      <c r="BQ63" s="77"/>
      <c r="BR63" s="78"/>
    </row>
    <row r="64" spans="3:70" x14ac:dyDescent="0.25">
      <c r="C64" s="61">
        <v>52</v>
      </c>
      <c r="D64" s="61">
        <f t="shared" si="61"/>
        <v>105</v>
      </c>
      <c r="E64" s="61">
        <f t="shared" si="62"/>
        <v>105</v>
      </c>
      <c r="F64" s="61">
        <f t="shared" si="63"/>
        <v>105</v>
      </c>
      <c r="G64" s="73">
        <f t="shared" si="64"/>
        <v>24</v>
      </c>
      <c r="H64" s="64">
        <f t="shared" si="65"/>
        <v>1</v>
      </c>
      <c r="I64" s="63">
        <f t="shared" si="102"/>
        <v>5.2</v>
      </c>
      <c r="J64" s="65">
        <f t="shared" si="66"/>
        <v>8.6117892021752077E-4</v>
      </c>
      <c r="K64" s="65">
        <f t="shared" si="67"/>
        <v>8.6117892021752077E-4</v>
      </c>
      <c r="L64" s="65">
        <f t="shared" si="68"/>
        <v>5.1791610661465239E-3</v>
      </c>
      <c r="M64" s="65">
        <f t="shared" si="69"/>
        <v>4.0000000000000001E-3</v>
      </c>
      <c r="N64" s="63">
        <f t="shared" si="70"/>
        <v>0.16884207366371221</v>
      </c>
      <c r="O64" s="64">
        <f t="shared" si="71"/>
        <v>2.1662728272329983</v>
      </c>
      <c r="P64" s="64">
        <f t="shared" si="72"/>
        <v>6.2831364136164991</v>
      </c>
      <c r="Q64" s="64">
        <f t="shared" si="73"/>
        <v>4.1168635863835013</v>
      </c>
      <c r="R64" s="64">
        <f t="shared" si="74"/>
        <v>0</v>
      </c>
      <c r="S64" s="64">
        <f t="shared" si="75"/>
        <v>5.2374670878998382</v>
      </c>
      <c r="T64" s="63">
        <f t="shared" si="42"/>
        <v>0.1420698857074737</v>
      </c>
      <c r="U64" s="63">
        <f t="shared" si="76"/>
        <v>1</v>
      </c>
      <c r="V64" s="63">
        <f t="shared" si="43"/>
        <v>1.1420698857074738</v>
      </c>
      <c r="W64" s="64">
        <f t="shared" si="44"/>
        <v>0.62534909997057164</v>
      </c>
      <c r="X64" s="63">
        <f t="shared" si="77"/>
        <v>7.8212299366800797E-2</v>
      </c>
      <c r="Y64" s="63">
        <f t="shared" si="45"/>
        <v>7.8212299366800797E-2</v>
      </c>
      <c r="Z64" s="64">
        <f t="shared" si="78"/>
        <v>1.9620199590679457</v>
      </c>
      <c r="AA64" s="74">
        <f t="shared" si="79"/>
        <v>3.8495223197809836E-3</v>
      </c>
      <c r="AB64" s="75">
        <f t="shared" si="46"/>
        <v>3.8495223197809836E-3</v>
      </c>
      <c r="AC64" s="63">
        <f t="shared" si="80"/>
        <v>2.1520960261852324</v>
      </c>
      <c r="AD64" s="63">
        <f t="shared" si="47"/>
        <v>3.9885650724829002E-3</v>
      </c>
      <c r="AE64" s="63">
        <f t="shared" si="81"/>
        <v>5.2701189083043908E-3</v>
      </c>
      <c r="AF64" s="63">
        <f t="shared" si="82"/>
        <v>0.47285383651570234</v>
      </c>
      <c r="AG64" s="63">
        <f t="shared" si="83"/>
        <v>4.0608000000000005E-2</v>
      </c>
      <c r="AH64" s="63">
        <f t="shared" si="84"/>
        <v>0</v>
      </c>
      <c r="AI64" s="63">
        <f t="shared" si="48"/>
        <v>0.22378064516129031</v>
      </c>
      <c r="AJ64" s="63">
        <f t="shared" si="49"/>
        <v>0.74251260058529711</v>
      </c>
      <c r="AK64" s="63">
        <f t="shared" si="85"/>
        <v>4.7748868249322669</v>
      </c>
      <c r="AL64" s="63">
        <f t="shared" si="86"/>
        <v>1.9634486847781026E-2</v>
      </c>
      <c r="AM64" s="63">
        <f t="shared" si="87"/>
        <v>2.6044341725769242E-2</v>
      </c>
      <c r="AN64" s="63">
        <f t="shared" si="88"/>
        <v>0.11323940708480197</v>
      </c>
      <c r="AO64" s="63">
        <f t="shared" si="89"/>
        <v>629.04490635607499</v>
      </c>
      <c r="AP64" s="63">
        <f t="shared" si="50"/>
        <v>0.11323940708480197</v>
      </c>
      <c r="AQ64" s="61">
        <f t="shared" si="90"/>
        <v>0.46248</v>
      </c>
      <c r="AR64" s="61">
        <f t="shared" si="91"/>
        <v>50128320000</v>
      </c>
      <c r="AS64" s="61">
        <f t="shared" si="51"/>
        <v>0.46248</v>
      </c>
      <c r="AT64" s="61">
        <f t="shared" si="52"/>
        <v>0.23869935483870966</v>
      </c>
      <c r="AU64" s="63">
        <f t="shared" si="53"/>
        <v>0.37798310364928089</v>
      </c>
      <c r="AV64" s="63">
        <f t="shared" si="92"/>
        <v>0.10972424598733604</v>
      </c>
      <c r="AW64" s="63">
        <f t="shared" si="93"/>
        <v>2.9760000000000003E-3</v>
      </c>
      <c r="AX64" s="63">
        <f t="shared" si="94"/>
        <v>4.1360000000000001E-2</v>
      </c>
      <c r="AY64" s="63">
        <f t="shared" si="95"/>
        <v>4.4336E-2</v>
      </c>
      <c r="AZ64" s="63">
        <f t="shared" si="96"/>
        <v>2.4986876576159696</v>
      </c>
      <c r="BA64" s="64">
        <f t="shared" si="97"/>
        <v>20.8</v>
      </c>
      <c r="BB64" s="76">
        <f t="shared" si="54"/>
        <v>0.8927541458842988</v>
      </c>
      <c r="BC64" s="64">
        <f t="shared" si="55"/>
        <v>89.275414588429882</v>
      </c>
      <c r="BD64" s="63">
        <f t="shared" si="98"/>
        <v>1.1420698857074738</v>
      </c>
      <c r="BE64" s="63">
        <f t="shared" si="56"/>
        <v>1.120495704234578</v>
      </c>
      <c r="BF64" s="63">
        <f t="shared" si="99"/>
        <v>0.74251260058529711</v>
      </c>
      <c r="BG64" s="63">
        <f t="shared" si="100"/>
        <v>0.37798310364928089</v>
      </c>
      <c r="BH64" s="63">
        <f t="shared" si="101"/>
        <v>0.10972424598733604</v>
      </c>
      <c r="BI64" s="63">
        <f t="shared" si="57"/>
        <v>4.4336E-2</v>
      </c>
      <c r="BJ64" s="63">
        <f t="shared" si="58"/>
        <v>3.8495223197809836E-3</v>
      </c>
      <c r="BK64" s="63">
        <f t="shared" si="59"/>
        <v>7.8212299366800797E-2</v>
      </c>
      <c r="BL64" s="63">
        <f t="shared" si="60"/>
        <v>2.49868765761597</v>
      </c>
      <c r="BQ64" s="77"/>
      <c r="BR64" s="78"/>
    </row>
    <row r="65" spans="3:70" x14ac:dyDescent="0.25">
      <c r="C65" s="61">
        <v>53</v>
      </c>
      <c r="D65" s="61">
        <f t="shared" si="61"/>
        <v>105</v>
      </c>
      <c r="E65" s="61">
        <f t="shared" si="62"/>
        <v>105</v>
      </c>
      <c r="F65" s="61">
        <f t="shared" si="63"/>
        <v>105</v>
      </c>
      <c r="G65" s="73">
        <f t="shared" si="64"/>
        <v>24</v>
      </c>
      <c r="H65" s="64">
        <f t="shared" si="65"/>
        <v>1</v>
      </c>
      <c r="I65" s="63">
        <f t="shared" si="102"/>
        <v>5.3</v>
      </c>
      <c r="J65" s="65">
        <f t="shared" si="66"/>
        <v>8.6117892021752077E-4</v>
      </c>
      <c r="K65" s="65">
        <f t="shared" si="67"/>
        <v>8.6117892021752077E-4</v>
      </c>
      <c r="L65" s="65">
        <f t="shared" si="68"/>
        <v>5.1791610661465239E-3</v>
      </c>
      <c r="M65" s="65">
        <f t="shared" si="69"/>
        <v>4.0000000000000001E-3</v>
      </c>
      <c r="N65" s="63">
        <f t="shared" si="70"/>
        <v>0.16888390841365539</v>
      </c>
      <c r="O65" s="64">
        <f t="shared" si="71"/>
        <v>2.1668095742657107</v>
      </c>
      <c r="P65" s="64">
        <f t="shared" si="72"/>
        <v>6.3834047871328554</v>
      </c>
      <c r="Q65" s="64">
        <f t="shared" si="73"/>
        <v>4.2165952128671442</v>
      </c>
      <c r="R65" s="64">
        <f t="shared" si="74"/>
        <v>0</v>
      </c>
      <c r="S65" s="64">
        <f t="shared" si="75"/>
        <v>5.3367832362695289</v>
      </c>
      <c r="T65" s="63">
        <f t="shared" si="42"/>
        <v>0.14750900862133445</v>
      </c>
      <c r="U65" s="63">
        <f t="shared" si="76"/>
        <v>1</v>
      </c>
      <c r="V65" s="63">
        <f t="shared" si="43"/>
        <v>1.1475090086213344</v>
      </c>
      <c r="W65" s="64">
        <f t="shared" si="44"/>
        <v>0.62550404549248328</v>
      </c>
      <c r="X65" s="63">
        <f t="shared" si="77"/>
        <v>7.825106218549252E-2</v>
      </c>
      <c r="Y65" s="63">
        <f t="shared" si="45"/>
        <v>7.825106218549252E-2</v>
      </c>
      <c r="Z65" s="64">
        <f t="shared" si="78"/>
        <v>1.9994223594281562</v>
      </c>
      <c r="AA65" s="74">
        <f t="shared" si="79"/>
        <v>3.9976897713812545E-3</v>
      </c>
      <c r="AB65" s="75">
        <f t="shared" si="46"/>
        <v>3.9976897713812545E-3</v>
      </c>
      <c r="AC65" s="63">
        <f t="shared" si="80"/>
        <v>2.1931770820972507</v>
      </c>
      <c r="AD65" s="63">
        <f t="shared" si="47"/>
        <v>4.1422927501158502E-3</v>
      </c>
      <c r="AE65" s="63">
        <f t="shared" si="81"/>
        <v>5.4734492421731895E-3</v>
      </c>
      <c r="AF65" s="63">
        <f t="shared" si="82"/>
        <v>0.48135376118093809</v>
      </c>
      <c r="AG65" s="63">
        <f t="shared" si="83"/>
        <v>4.0608000000000005E-2</v>
      </c>
      <c r="AH65" s="63">
        <f t="shared" si="84"/>
        <v>0</v>
      </c>
      <c r="AI65" s="63">
        <f t="shared" si="48"/>
        <v>0.22378064516129031</v>
      </c>
      <c r="AJ65" s="63">
        <f t="shared" si="49"/>
        <v>0.75121585558440152</v>
      </c>
      <c r="AK65" s="63">
        <f t="shared" si="85"/>
        <v>4.865308787475966</v>
      </c>
      <c r="AL65" s="63">
        <f t="shared" si="86"/>
        <v>2.0385163944988193E-2</v>
      </c>
      <c r="AM65" s="63">
        <f t="shared" si="87"/>
        <v>2.7045143690017537E-2</v>
      </c>
      <c r="AN65" s="63">
        <f t="shared" si="88"/>
        <v>0.11549439800038047</v>
      </c>
      <c r="AO65" s="63">
        <f t="shared" si="89"/>
        <v>641.57138089211355</v>
      </c>
      <c r="AP65" s="63">
        <f t="shared" si="50"/>
        <v>0.11549439800038047</v>
      </c>
      <c r="AQ65" s="61">
        <f t="shared" si="90"/>
        <v>0.46248</v>
      </c>
      <c r="AR65" s="61">
        <f t="shared" si="91"/>
        <v>50128320000</v>
      </c>
      <c r="AS65" s="61">
        <f t="shared" si="51"/>
        <v>0.46248</v>
      </c>
      <c r="AT65" s="61">
        <f t="shared" si="52"/>
        <v>0.23869935483870966</v>
      </c>
      <c r="AU65" s="63">
        <f t="shared" si="53"/>
        <v>0.3812388965291077</v>
      </c>
      <c r="AV65" s="63">
        <f t="shared" si="92"/>
        <v>0.11392502124370987</v>
      </c>
      <c r="AW65" s="63">
        <f t="shared" si="93"/>
        <v>2.9760000000000003E-3</v>
      </c>
      <c r="AX65" s="63">
        <f t="shared" si="94"/>
        <v>4.1360000000000001E-2</v>
      </c>
      <c r="AY65" s="63">
        <f t="shared" si="95"/>
        <v>4.4336E-2</v>
      </c>
      <c r="AZ65" s="63">
        <f t="shared" si="96"/>
        <v>2.5204735339354274</v>
      </c>
      <c r="BA65" s="64">
        <f t="shared" si="97"/>
        <v>21.2</v>
      </c>
      <c r="BB65" s="76">
        <f t="shared" si="54"/>
        <v>0.89374269740738777</v>
      </c>
      <c r="BC65" s="64">
        <f t="shared" si="55"/>
        <v>89.374269740738782</v>
      </c>
      <c r="BD65" s="63">
        <f t="shared" si="98"/>
        <v>1.1475090086213344</v>
      </c>
      <c r="BE65" s="63">
        <f t="shared" si="56"/>
        <v>1.1324547521135093</v>
      </c>
      <c r="BF65" s="63">
        <f t="shared" si="99"/>
        <v>0.75121585558440152</v>
      </c>
      <c r="BG65" s="63">
        <f t="shared" si="100"/>
        <v>0.3812388965291077</v>
      </c>
      <c r="BH65" s="63">
        <f t="shared" si="101"/>
        <v>0.11392502124370987</v>
      </c>
      <c r="BI65" s="63">
        <f t="shared" si="57"/>
        <v>4.4336E-2</v>
      </c>
      <c r="BJ65" s="63">
        <f t="shared" si="58"/>
        <v>3.9976897713812545E-3</v>
      </c>
      <c r="BK65" s="63">
        <f t="shared" si="59"/>
        <v>7.825106218549252E-2</v>
      </c>
      <c r="BL65" s="63">
        <f t="shared" si="60"/>
        <v>2.5204735339354274</v>
      </c>
      <c r="BQ65" s="77"/>
      <c r="BR65" s="78"/>
    </row>
    <row r="66" spans="3:70" x14ac:dyDescent="0.25">
      <c r="C66" s="61">
        <v>54</v>
      </c>
      <c r="D66" s="61">
        <f t="shared" si="61"/>
        <v>105</v>
      </c>
      <c r="E66" s="61">
        <f t="shared" si="62"/>
        <v>105</v>
      </c>
      <c r="F66" s="61">
        <f t="shared" si="63"/>
        <v>105</v>
      </c>
      <c r="G66" s="73">
        <f t="shared" si="64"/>
        <v>24</v>
      </c>
      <c r="H66" s="64">
        <f t="shared" si="65"/>
        <v>1</v>
      </c>
      <c r="I66" s="63">
        <f t="shared" si="102"/>
        <v>5.4</v>
      </c>
      <c r="J66" s="65">
        <f t="shared" si="66"/>
        <v>8.6117892021752077E-4</v>
      </c>
      <c r="K66" s="65">
        <f t="shared" si="67"/>
        <v>8.6117892021752077E-4</v>
      </c>
      <c r="L66" s="65">
        <f t="shared" si="68"/>
        <v>5.1791610661465239E-3</v>
      </c>
      <c r="M66" s="65">
        <f t="shared" si="69"/>
        <v>4.0000000000000001E-3</v>
      </c>
      <c r="N66" s="63">
        <f t="shared" si="70"/>
        <v>0.16892574316359857</v>
      </c>
      <c r="O66" s="64">
        <f t="shared" si="71"/>
        <v>2.1673463212984228</v>
      </c>
      <c r="P66" s="64">
        <f t="shared" si="72"/>
        <v>6.4836731606492117</v>
      </c>
      <c r="Q66" s="64">
        <f t="shared" si="73"/>
        <v>4.316326839350789</v>
      </c>
      <c r="R66" s="64">
        <f t="shared" si="74"/>
        <v>0</v>
      </c>
      <c r="S66" s="64">
        <f t="shared" si="75"/>
        <v>5.4361244626146252</v>
      </c>
      <c r="T66" s="63">
        <f t="shared" si="42"/>
        <v>0.1530517150052019</v>
      </c>
      <c r="U66" s="63">
        <f t="shared" si="76"/>
        <v>1</v>
      </c>
      <c r="V66" s="63">
        <f t="shared" si="43"/>
        <v>1.153051715005202</v>
      </c>
      <c r="W66" s="64">
        <f t="shared" si="44"/>
        <v>0.62565899101439482</v>
      </c>
      <c r="X66" s="63">
        <f t="shared" si="77"/>
        <v>7.8289834607430123E-2</v>
      </c>
      <c r="Y66" s="63">
        <f t="shared" si="45"/>
        <v>7.8289834607430123E-2</v>
      </c>
      <c r="Z66" s="64">
        <f t="shared" si="78"/>
        <v>2.0368414559227044</v>
      </c>
      <c r="AA66" s="74">
        <f t="shared" si="79"/>
        <v>4.1487231165653225E-3</v>
      </c>
      <c r="AB66" s="75">
        <f t="shared" si="46"/>
        <v>4.1487231165653225E-3</v>
      </c>
      <c r="AC66" s="63">
        <f t="shared" si="80"/>
        <v>2.2342785218312891</v>
      </c>
      <c r="AD66" s="63">
        <f t="shared" si="47"/>
        <v>4.2990056116110715E-3</v>
      </c>
      <c r="AE66" s="63">
        <f t="shared" si="81"/>
        <v>5.680743951758045E-3</v>
      </c>
      <c r="AF66" s="63">
        <f t="shared" si="82"/>
        <v>0.48985368584617373</v>
      </c>
      <c r="AG66" s="63">
        <f t="shared" si="83"/>
        <v>4.0608000000000005E-2</v>
      </c>
      <c r="AH66" s="63">
        <f t="shared" si="84"/>
        <v>0</v>
      </c>
      <c r="AI66" s="63">
        <f t="shared" si="48"/>
        <v>0.22378064516129031</v>
      </c>
      <c r="AJ66" s="63">
        <f t="shared" si="49"/>
        <v>0.75992307495922207</v>
      </c>
      <c r="AK66" s="63">
        <f t="shared" si="85"/>
        <v>4.9557490513463796</v>
      </c>
      <c r="AL66" s="63">
        <f t="shared" si="86"/>
        <v>2.1150079478088009E-2</v>
      </c>
      <c r="AM66" s="63">
        <f t="shared" si="87"/>
        <v>2.8065313647402741E-2</v>
      </c>
      <c r="AN66" s="63">
        <f t="shared" si="88"/>
        <v>0.117749388915959</v>
      </c>
      <c r="AO66" s="63">
        <f t="shared" si="89"/>
        <v>654.09785542815212</v>
      </c>
      <c r="AP66" s="63">
        <f t="shared" si="50"/>
        <v>0.117749388915959</v>
      </c>
      <c r="AQ66" s="61">
        <f t="shared" si="90"/>
        <v>0.46248</v>
      </c>
      <c r="AR66" s="61">
        <f t="shared" si="91"/>
        <v>50128320000</v>
      </c>
      <c r="AS66" s="61">
        <f t="shared" si="51"/>
        <v>0.46248</v>
      </c>
      <c r="AT66" s="61">
        <f t="shared" si="52"/>
        <v>0.23869935483870966</v>
      </c>
      <c r="AU66" s="63">
        <f t="shared" si="53"/>
        <v>0.3845140574020714</v>
      </c>
      <c r="AV66" s="63">
        <f t="shared" si="92"/>
        <v>0.1182057966921486</v>
      </c>
      <c r="AW66" s="63">
        <f t="shared" si="93"/>
        <v>2.9760000000000003E-3</v>
      </c>
      <c r="AX66" s="63">
        <f t="shared" si="94"/>
        <v>4.1360000000000001E-2</v>
      </c>
      <c r="AY66" s="63">
        <f t="shared" si="95"/>
        <v>4.4336E-2</v>
      </c>
      <c r="AZ66" s="63">
        <f t="shared" si="96"/>
        <v>2.5424692017826396</v>
      </c>
      <c r="BA66" s="64">
        <f t="shared" si="97"/>
        <v>21.6</v>
      </c>
      <c r="BB66" s="76">
        <f t="shared" si="54"/>
        <v>0.89468893258047899</v>
      </c>
      <c r="BC66" s="64">
        <f t="shared" si="55"/>
        <v>89.468893258047899</v>
      </c>
      <c r="BD66" s="63">
        <f t="shared" si="98"/>
        <v>1.153051715005202</v>
      </c>
      <c r="BE66" s="63">
        <f t="shared" si="56"/>
        <v>1.1444371323612934</v>
      </c>
      <c r="BF66" s="63">
        <f t="shared" si="99"/>
        <v>0.75992307495922207</v>
      </c>
      <c r="BG66" s="63">
        <f t="shared" si="100"/>
        <v>0.3845140574020714</v>
      </c>
      <c r="BH66" s="63">
        <f t="shared" si="101"/>
        <v>0.1182057966921486</v>
      </c>
      <c r="BI66" s="63">
        <f t="shared" si="57"/>
        <v>4.4336E-2</v>
      </c>
      <c r="BJ66" s="63">
        <f t="shared" si="58"/>
        <v>4.1487231165653225E-3</v>
      </c>
      <c r="BK66" s="63">
        <f t="shared" si="59"/>
        <v>7.8289834607430123E-2</v>
      </c>
      <c r="BL66" s="63">
        <f t="shared" si="60"/>
        <v>2.5424692017826396</v>
      </c>
      <c r="BQ66" s="77"/>
      <c r="BR66" s="78"/>
    </row>
    <row r="67" spans="3:70" x14ac:dyDescent="0.25">
      <c r="C67" s="61">
        <v>55</v>
      </c>
      <c r="D67" s="61">
        <f t="shared" si="61"/>
        <v>105</v>
      </c>
      <c r="E67" s="61">
        <f t="shared" si="62"/>
        <v>105</v>
      </c>
      <c r="F67" s="61">
        <f t="shared" si="63"/>
        <v>105</v>
      </c>
      <c r="G67" s="73">
        <f t="shared" si="64"/>
        <v>24</v>
      </c>
      <c r="H67" s="64">
        <f t="shared" si="65"/>
        <v>1</v>
      </c>
      <c r="I67" s="63">
        <f t="shared" si="102"/>
        <v>5.5</v>
      </c>
      <c r="J67" s="65">
        <f t="shared" si="66"/>
        <v>8.6117892021752077E-4</v>
      </c>
      <c r="K67" s="65">
        <f t="shared" si="67"/>
        <v>8.6117892021752077E-4</v>
      </c>
      <c r="L67" s="65">
        <f t="shared" si="68"/>
        <v>5.1791610661465239E-3</v>
      </c>
      <c r="M67" s="65">
        <f t="shared" si="69"/>
        <v>4.0000000000000001E-3</v>
      </c>
      <c r="N67" s="63">
        <f t="shared" si="70"/>
        <v>0.16896757791354178</v>
      </c>
      <c r="O67" s="64">
        <f t="shared" si="71"/>
        <v>2.1678830683311356</v>
      </c>
      <c r="P67" s="64">
        <f t="shared" si="72"/>
        <v>6.583941534165568</v>
      </c>
      <c r="Q67" s="64">
        <f t="shared" si="73"/>
        <v>4.416058465834432</v>
      </c>
      <c r="R67" s="64">
        <f t="shared" si="74"/>
        <v>0</v>
      </c>
      <c r="S67" s="64">
        <f t="shared" si="75"/>
        <v>5.5354894167691322</v>
      </c>
      <c r="T67" s="63">
        <f t="shared" si="42"/>
        <v>0.15869800485907609</v>
      </c>
      <c r="U67" s="63">
        <f t="shared" si="76"/>
        <v>1</v>
      </c>
      <c r="V67" s="63">
        <f t="shared" si="43"/>
        <v>1.158698004859076</v>
      </c>
      <c r="W67" s="64">
        <f t="shared" si="44"/>
        <v>0.62581393653630657</v>
      </c>
      <c r="X67" s="63">
        <f t="shared" si="77"/>
        <v>7.8328616632613673E-2</v>
      </c>
      <c r="Y67" s="63">
        <f t="shared" si="45"/>
        <v>7.8328616632613673E-2</v>
      </c>
      <c r="Z67" s="64">
        <f t="shared" si="78"/>
        <v>2.0742767429283058</v>
      </c>
      <c r="AA67" s="74">
        <f t="shared" si="79"/>
        <v>4.3026240062532606E-3</v>
      </c>
      <c r="AB67" s="75">
        <f t="shared" si="46"/>
        <v>4.3026240062532606E-3</v>
      </c>
      <c r="AC67" s="63">
        <f t="shared" si="80"/>
        <v>2.2753997923559046</v>
      </c>
      <c r="AD67" s="63">
        <f t="shared" si="47"/>
        <v>4.4587058186060452E-3</v>
      </c>
      <c r="AE67" s="63">
        <f t="shared" si="81"/>
        <v>5.8920068203831217E-3</v>
      </c>
      <c r="AF67" s="63">
        <f t="shared" si="82"/>
        <v>0.49835361051140925</v>
      </c>
      <c r="AG67" s="63">
        <f t="shared" si="83"/>
        <v>4.0608000000000005E-2</v>
      </c>
      <c r="AH67" s="63">
        <f t="shared" si="84"/>
        <v>0</v>
      </c>
      <c r="AI67" s="63">
        <f t="shared" si="48"/>
        <v>0.22378064516129031</v>
      </c>
      <c r="AJ67" s="63">
        <f t="shared" si="49"/>
        <v>0.76863426249308264</v>
      </c>
      <c r="AK67" s="63">
        <f t="shared" si="85"/>
        <v>5.0462063838204019</v>
      </c>
      <c r="AL67" s="63">
        <f t="shared" si="86"/>
        <v>2.1929231285442993E-2</v>
      </c>
      <c r="AM67" s="63">
        <f t="shared" si="87"/>
        <v>2.9104870661974026E-2</v>
      </c>
      <c r="AN67" s="63">
        <f t="shared" si="88"/>
        <v>0.12000437983153747</v>
      </c>
      <c r="AO67" s="63">
        <f t="shared" si="89"/>
        <v>666.62432996419068</v>
      </c>
      <c r="AP67" s="63">
        <f t="shared" si="50"/>
        <v>0.12000437983153747</v>
      </c>
      <c r="AQ67" s="61">
        <f t="shared" si="90"/>
        <v>0.46248</v>
      </c>
      <c r="AR67" s="61">
        <f t="shared" si="91"/>
        <v>50128320000</v>
      </c>
      <c r="AS67" s="61">
        <f t="shared" si="51"/>
        <v>0.46248</v>
      </c>
      <c r="AT67" s="61">
        <f t="shared" si="52"/>
        <v>0.23869935483870966</v>
      </c>
      <c r="AU67" s="63">
        <f t="shared" si="53"/>
        <v>0.38780860533222117</v>
      </c>
      <c r="AV67" s="63">
        <f t="shared" si="92"/>
        <v>0.12256657233265228</v>
      </c>
      <c r="AW67" s="63">
        <f t="shared" si="93"/>
        <v>2.9760000000000003E-3</v>
      </c>
      <c r="AX67" s="63">
        <f t="shared" si="94"/>
        <v>4.1360000000000001E-2</v>
      </c>
      <c r="AY67" s="63">
        <f t="shared" si="95"/>
        <v>4.4336E-2</v>
      </c>
      <c r="AZ67" s="63">
        <f t="shared" si="96"/>
        <v>2.5646746856558988</v>
      </c>
      <c r="BA67" s="64">
        <f t="shared" si="97"/>
        <v>22</v>
      </c>
      <c r="BB67" s="76">
        <f t="shared" si="54"/>
        <v>0.89559500711998052</v>
      </c>
      <c r="BC67" s="64">
        <f t="shared" si="55"/>
        <v>89.559500711998055</v>
      </c>
      <c r="BD67" s="63">
        <f t="shared" si="98"/>
        <v>1.158698004859076</v>
      </c>
      <c r="BE67" s="63">
        <f t="shared" si="56"/>
        <v>1.1564428678253038</v>
      </c>
      <c r="BF67" s="63">
        <f t="shared" si="99"/>
        <v>0.76863426249308264</v>
      </c>
      <c r="BG67" s="63">
        <f t="shared" si="100"/>
        <v>0.38780860533222117</v>
      </c>
      <c r="BH67" s="63">
        <f t="shared" si="101"/>
        <v>0.12256657233265228</v>
      </c>
      <c r="BI67" s="63">
        <f t="shared" si="57"/>
        <v>4.4336E-2</v>
      </c>
      <c r="BJ67" s="63">
        <f t="shared" si="58"/>
        <v>4.3026240062532606E-3</v>
      </c>
      <c r="BK67" s="63">
        <f t="shared" si="59"/>
        <v>7.8328616632613673E-2</v>
      </c>
      <c r="BL67" s="63">
        <f t="shared" si="60"/>
        <v>2.5646746856558993</v>
      </c>
      <c r="BQ67" s="77"/>
      <c r="BR67" s="78"/>
    </row>
    <row r="68" spans="3:70" x14ac:dyDescent="0.25">
      <c r="C68" s="61">
        <v>56</v>
      </c>
      <c r="D68" s="61">
        <f t="shared" si="61"/>
        <v>105</v>
      </c>
      <c r="E68" s="61">
        <f t="shared" si="62"/>
        <v>105</v>
      </c>
      <c r="F68" s="61">
        <f t="shared" si="63"/>
        <v>105</v>
      </c>
      <c r="G68" s="73">
        <f t="shared" si="64"/>
        <v>24</v>
      </c>
      <c r="H68" s="64">
        <f t="shared" si="65"/>
        <v>1</v>
      </c>
      <c r="I68" s="63">
        <f t="shared" si="102"/>
        <v>5.6</v>
      </c>
      <c r="J68" s="65">
        <f t="shared" si="66"/>
        <v>8.6117892021752077E-4</v>
      </c>
      <c r="K68" s="65">
        <f t="shared" si="67"/>
        <v>8.6117892021752077E-4</v>
      </c>
      <c r="L68" s="65">
        <f t="shared" si="68"/>
        <v>5.1791610661465239E-3</v>
      </c>
      <c r="M68" s="65">
        <f t="shared" si="69"/>
        <v>4.0000000000000001E-3</v>
      </c>
      <c r="N68" s="63">
        <f t="shared" si="70"/>
        <v>0.16900941266348493</v>
      </c>
      <c r="O68" s="64">
        <f t="shared" si="71"/>
        <v>2.1684198153638476</v>
      </c>
      <c r="P68" s="64">
        <f t="shared" si="72"/>
        <v>6.6842099076819235</v>
      </c>
      <c r="Q68" s="64">
        <f t="shared" si="73"/>
        <v>4.5157900923180758</v>
      </c>
      <c r="R68" s="64">
        <f t="shared" si="74"/>
        <v>0</v>
      </c>
      <c r="S68" s="64">
        <f t="shared" si="75"/>
        <v>5.6348768434904777</v>
      </c>
      <c r="T68" s="63">
        <f t="shared" si="42"/>
        <v>0.16444787818295697</v>
      </c>
      <c r="U68" s="63">
        <f t="shared" si="76"/>
        <v>1</v>
      </c>
      <c r="V68" s="63">
        <f t="shared" si="43"/>
        <v>1.164447878182957</v>
      </c>
      <c r="W68" s="64">
        <f t="shared" si="44"/>
        <v>0.6259688820582181</v>
      </c>
      <c r="X68" s="63">
        <f t="shared" si="77"/>
        <v>7.8367408261043076E-2</v>
      </c>
      <c r="Y68" s="63">
        <f t="shared" si="45"/>
        <v>7.8367408261043076E-2</v>
      </c>
      <c r="Z68" s="64">
        <f t="shared" si="78"/>
        <v>2.1117277501953478</v>
      </c>
      <c r="AA68" s="74">
        <f t="shared" si="79"/>
        <v>4.4593940909451058E-3</v>
      </c>
      <c r="AB68" s="75">
        <f t="shared" si="46"/>
        <v>4.4593940909451058E-3</v>
      </c>
      <c r="AC68" s="63">
        <f t="shared" si="80"/>
        <v>2.3165403793885568</v>
      </c>
      <c r="AD68" s="63">
        <f t="shared" si="47"/>
        <v>4.621395532738241E-3</v>
      </c>
      <c r="AE68" s="63">
        <f t="shared" si="81"/>
        <v>6.1072416500756732E-3</v>
      </c>
      <c r="AF68" s="63">
        <f t="shared" si="82"/>
        <v>0.50685353517664489</v>
      </c>
      <c r="AG68" s="63">
        <f t="shared" si="83"/>
        <v>4.0608000000000005E-2</v>
      </c>
      <c r="AH68" s="63">
        <f t="shared" si="84"/>
        <v>0</v>
      </c>
      <c r="AI68" s="63">
        <f t="shared" si="48"/>
        <v>0.22378064516129031</v>
      </c>
      <c r="AJ68" s="63">
        <f t="shared" si="49"/>
        <v>0.77734942198801082</v>
      </c>
      <c r="AK68" s="63">
        <f t="shared" si="85"/>
        <v>5.1366796388296914</v>
      </c>
      <c r="AL68" s="63">
        <f t="shared" si="86"/>
        <v>2.2722617205415657E-2</v>
      </c>
      <c r="AM68" s="63">
        <f t="shared" si="87"/>
        <v>3.0163834223257333E-2</v>
      </c>
      <c r="AN68" s="63">
        <f t="shared" si="88"/>
        <v>0.12225937074711599</v>
      </c>
      <c r="AO68" s="63">
        <f t="shared" si="89"/>
        <v>679.15080450022924</v>
      </c>
      <c r="AP68" s="63">
        <f t="shared" si="50"/>
        <v>0.12225937074711599</v>
      </c>
      <c r="AQ68" s="61">
        <f t="shared" si="90"/>
        <v>0.46248</v>
      </c>
      <c r="AR68" s="61">
        <f t="shared" si="91"/>
        <v>50128320000</v>
      </c>
      <c r="AS68" s="61">
        <f t="shared" si="51"/>
        <v>0.46248</v>
      </c>
      <c r="AT68" s="61">
        <f t="shared" si="52"/>
        <v>0.23869935483870966</v>
      </c>
      <c r="AU68" s="63">
        <f t="shared" si="53"/>
        <v>0.39112255980908295</v>
      </c>
      <c r="AV68" s="63">
        <f t="shared" si="92"/>
        <v>0.12700734816522083</v>
      </c>
      <c r="AW68" s="63">
        <f t="shared" si="93"/>
        <v>2.9760000000000003E-3</v>
      </c>
      <c r="AX68" s="63">
        <f t="shared" si="94"/>
        <v>4.1360000000000001E-2</v>
      </c>
      <c r="AY68" s="63">
        <f t="shared" si="95"/>
        <v>4.4336E-2</v>
      </c>
      <c r="AZ68" s="63">
        <f t="shared" si="96"/>
        <v>2.5870900104972598</v>
      </c>
      <c r="BA68" s="64">
        <f t="shared" si="97"/>
        <v>22.4</v>
      </c>
      <c r="BB68" s="76">
        <f t="shared" si="54"/>
        <v>0.89646293308222746</v>
      </c>
      <c r="BC68" s="64">
        <f t="shared" si="55"/>
        <v>89.646293308222752</v>
      </c>
      <c r="BD68" s="63">
        <f t="shared" si="98"/>
        <v>1.164447878182957</v>
      </c>
      <c r="BE68" s="63">
        <f t="shared" si="56"/>
        <v>1.1684719817970937</v>
      </c>
      <c r="BF68" s="63">
        <f t="shared" si="99"/>
        <v>0.77734942198801082</v>
      </c>
      <c r="BG68" s="63">
        <f t="shared" si="100"/>
        <v>0.39112255980908295</v>
      </c>
      <c r="BH68" s="63">
        <f t="shared" si="101"/>
        <v>0.12700734816522083</v>
      </c>
      <c r="BI68" s="63">
        <f t="shared" si="57"/>
        <v>4.4336E-2</v>
      </c>
      <c r="BJ68" s="63">
        <f t="shared" si="58"/>
        <v>4.4593940909451058E-3</v>
      </c>
      <c r="BK68" s="63">
        <f t="shared" si="59"/>
        <v>7.8367408261043076E-2</v>
      </c>
      <c r="BL68" s="63">
        <f t="shared" si="60"/>
        <v>2.5870900104972598</v>
      </c>
      <c r="BQ68" s="77"/>
      <c r="BR68" s="78"/>
    </row>
    <row r="69" spans="3:70" x14ac:dyDescent="0.25">
      <c r="C69" s="61">
        <v>57</v>
      </c>
      <c r="D69" s="61">
        <f t="shared" si="61"/>
        <v>105</v>
      </c>
      <c r="E69" s="61">
        <f t="shared" si="62"/>
        <v>105</v>
      </c>
      <c r="F69" s="61">
        <f t="shared" si="63"/>
        <v>105</v>
      </c>
      <c r="G69" s="73">
        <f t="shared" si="64"/>
        <v>24</v>
      </c>
      <c r="H69" s="64">
        <f t="shared" si="65"/>
        <v>1</v>
      </c>
      <c r="I69" s="63">
        <f t="shared" si="102"/>
        <v>5.7</v>
      </c>
      <c r="J69" s="65">
        <f t="shared" si="66"/>
        <v>8.6117892021752077E-4</v>
      </c>
      <c r="K69" s="65">
        <f t="shared" si="67"/>
        <v>8.6117892021752077E-4</v>
      </c>
      <c r="L69" s="65">
        <f t="shared" si="68"/>
        <v>5.1791610661465239E-3</v>
      </c>
      <c r="M69" s="65">
        <f t="shared" si="69"/>
        <v>4.0000000000000001E-3</v>
      </c>
      <c r="N69" s="63">
        <f t="shared" si="70"/>
        <v>0.16905124741342814</v>
      </c>
      <c r="O69" s="64">
        <f t="shared" si="71"/>
        <v>2.1689565623965605</v>
      </c>
      <c r="P69" s="64">
        <f t="shared" si="72"/>
        <v>6.7844782811982807</v>
      </c>
      <c r="Q69" s="64">
        <f t="shared" si="73"/>
        <v>4.6155217188017197</v>
      </c>
      <c r="R69" s="64">
        <f t="shared" si="74"/>
        <v>0</v>
      </c>
      <c r="S69" s="64">
        <f t="shared" si="75"/>
        <v>5.7342855742859191</v>
      </c>
      <c r="T69" s="63">
        <f t="shared" si="42"/>
        <v>0.17030133497684463</v>
      </c>
      <c r="U69" s="63">
        <f t="shared" si="76"/>
        <v>1</v>
      </c>
      <c r="V69" s="63">
        <f t="shared" si="43"/>
        <v>1.1703013349768447</v>
      </c>
      <c r="W69" s="64">
        <f t="shared" si="44"/>
        <v>0.62612382758012985</v>
      </c>
      <c r="X69" s="63">
        <f t="shared" si="77"/>
        <v>7.840620949271844E-2</v>
      </c>
      <c r="Y69" s="63">
        <f t="shared" si="45"/>
        <v>7.840620949271844E-2</v>
      </c>
      <c r="Z69" s="64">
        <f t="shared" si="78"/>
        <v>2.1491940398020977</v>
      </c>
      <c r="AA69" s="74">
        <f t="shared" si="79"/>
        <v>4.6190350207208613E-3</v>
      </c>
      <c r="AB69" s="75">
        <f t="shared" si="46"/>
        <v>4.6190350207208613E-3</v>
      </c>
      <c r="AC69" s="63">
        <f t="shared" si="80"/>
        <v>2.3576998040592008</v>
      </c>
      <c r="AD69" s="63">
        <f t="shared" si="47"/>
        <v>4.7870769156451425E-3</v>
      </c>
      <c r="AE69" s="63">
        <f t="shared" si="81"/>
        <v>6.3264522616193119E-3</v>
      </c>
      <c r="AF69" s="63">
        <f t="shared" si="82"/>
        <v>0.51535345984188041</v>
      </c>
      <c r="AG69" s="63">
        <f t="shared" si="83"/>
        <v>4.0608000000000005E-2</v>
      </c>
      <c r="AH69" s="63">
        <f t="shared" si="84"/>
        <v>0</v>
      </c>
      <c r="AI69" s="63">
        <f t="shared" si="48"/>
        <v>0.22378064516129031</v>
      </c>
      <c r="AJ69" s="63">
        <f t="shared" si="49"/>
        <v>0.78606855726479008</v>
      </c>
      <c r="AK69" s="63">
        <f t="shared" si="85"/>
        <v>5.2271677494990341</v>
      </c>
      <c r="AL69" s="63">
        <f t="shared" si="86"/>
        <v>2.3530235076368547E-2</v>
      </c>
      <c r="AM69" s="63">
        <f t="shared" si="87"/>
        <v>3.124222424725643E-2</v>
      </c>
      <c r="AN69" s="63">
        <f t="shared" si="88"/>
        <v>0.12451436166269449</v>
      </c>
      <c r="AO69" s="63">
        <f t="shared" si="89"/>
        <v>691.67727903626781</v>
      </c>
      <c r="AP69" s="63">
        <f t="shared" si="50"/>
        <v>0.12451436166269449</v>
      </c>
      <c r="AQ69" s="61">
        <f t="shared" si="90"/>
        <v>0.46248</v>
      </c>
      <c r="AR69" s="61">
        <f t="shared" si="91"/>
        <v>50128320000</v>
      </c>
      <c r="AS69" s="61">
        <f t="shared" si="51"/>
        <v>0.46248</v>
      </c>
      <c r="AT69" s="61">
        <f t="shared" si="52"/>
        <v>0.23869935483870966</v>
      </c>
      <c r="AU69" s="63">
        <f t="shared" si="53"/>
        <v>0.39445594074866058</v>
      </c>
      <c r="AV69" s="63">
        <f t="shared" si="92"/>
        <v>0.13152812418985438</v>
      </c>
      <c r="AW69" s="63">
        <f t="shared" si="93"/>
        <v>2.9760000000000003E-3</v>
      </c>
      <c r="AX69" s="63">
        <f t="shared" si="94"/>
        <v>4.1360000000000001E-2</v>
      </c>
      <c r="AY69" s="63">
        <f t="shared" si="95"/>
        <v>4.4336E-2</v>
      </c>
      <c r="AZ69" s="63">
        <f t="shared" si="96"/>
        <v>2.6097152016935889</v>
      </c>
      <c r="BA69" s="64">
        <f t="shared" si="97"/>
        <v>22.8</v>
      </c>
      <c r="BB69" s="76">
        <f t="shared" si="54"/>
        <v>0.89729459063281247</v>
      </c>
      <c r="BC69" s="64">
        <f t="shared" si="55"/>
        <v>89.72945906328124</v>
      </c>
      <c r="BD69" s="63">
        <f t="shared" si="98"/>
        <v>1.1703013349768447</v>
      </c>
      <c r="BE69" s="63">
        <f t="shared" si="56"/>
        <v>1.1805244980134506</v>
      </c>
      <c r="BF69" s="63">
        <f t="shared" si="99"/>
        <v>0.78606855726479008</v>
      </c>
      <c r="BG69" s="63">
        <f t="shared" si="100"/>
        <v>0.39445594074866058</v>
      </c>
      <c r="BH69" s="63">
        <f t="shared" si="101"/>
        <v>0.13152812418985438</v>
      </c>
      <c r="BI69" s="63">
        <f t="shared" si="57"/>
        <v>4.4336E-2</v>
      </c>
      <c r="BJ69" s="63">
        <f t="shared" si="58"/>
        <v>4.6190350207208613E-3</v>
      </c>
      <c r="BK69" s="63">
        <f t="shared" si="59"/>
        <v>7.840620949271844E-2</v>
      </c>
      <c r="BL69" s="63">
        <f t="shared" si="60"/>
        <v>2.6097152016935889</v>
      </c>
      <c r="BQ69" s="77"/>
      <c r="BR69" s="78"/>
    </row>
    <row r="70" spans="3:70" x14ac:dyDescent="0.25">
      <c r="C70" s="61">
        <v>58</v>
      </c>
      <c r="D70" s="61">
        <f t="shared" si="61"/>
        <v>105</v>
      </c>
      <c r="E70" s="61">
        <f t="shared" si="62"/>
        <v>105</v>
      </c>
      <c r="F70" s="61">
        <f t="shared" si="63"/>
        <v>105</v>
      </c>
      <c r="G70" s="73">
        <f t="shared" si="64"/>
        <v>24</v>
      </c>
      <c r="H70" s="64">
        <f t="shared" si="65"/>
        <v>1</v>
      </c>
      <c r="I70" s="63">
        <f t="shared" si="102"/>
        <v>5.8</v>
      </c>
      <c r="J70" s="65">
        <f t="shared" si="66"/>
        <v>8.6117892021752077E-4</v>
      </c>
      <c r="K70" s="65">
        <f t="shared" si="67"/>
        <v>8.6117892021752077E-4</v>
      </c>
      <c r="L70" s="65">
        <f t="shared" si="68"/>
        <v>5.1791610661465239E-3</v>
      </c>
      <c r="M70" s="65">
        <f t="shared" si="69"/>
        <v>4.0000000000000001E-3</v>
      </c>
      <c r="N70" s="63">
        <f t="shared" si="70"/>
        <v>0.16909308216337129</v>
      </c>
      <c r="O70" s="64">
        <f t="shared" si="71"/>
        <v>2.1694933094292725</v>
      </c>
      <c r="P70" s="64">
        <f t="shared" si="72"/>
        <v>6.8847466547146361</v>
      </c>
      <c r="Q70" s="64">
        <f t="shared" si="73"/>
        <v>4.7152533452853636</v>
      </c>
      <c r="R70" s="64">
        <f t="shared" si="74"/>
        <v>0</v>
      </c>
      <c r="S70" s="64">
        <f t="shared" si="75"/>
        <v>5.8337145200667981</v>
      </c>
      <c r="T70" s="63">
        <f t="shared" si="42"/>
        <v>0.17625837524073895</v>
      </c>
      <c r="U70" s="63">
        <f t="shared" si="76"/>
        <v>1</v>
      </c>
      <c r="V70" s="63">
        <f t="shared" si="43"/>
        <v>1.176258375240739</v>
      </c>
      <c r="W70" s="64">
        <f t="shared" si="44"/>
        <v>0.62627877310204128</v>
      </c>
      <c r="X70" s="63">
        <f t="shared" si="77"/>
        <v>7.8445020327639628E-2</v>
      </c>
      <c r="Y70" s="63">
        <f t="shared" si="45"/>
        <v>7.8445020327639628E-2</v>
      </c>
      <c r="Z70" s="64">
        <f t="shared" si="78"/>
        <v>2.1866752034173911</v>
      </c>
      <c r="AA70" s="74">
        <f t="shared" si="79"/>
        <v>4.7815484452404886E-3</v>
      </c>
      <c r="AB70" s="75">
        <f t="shared" si="46"/>
        <v>4.7815484452404886E-3</v>
      </c>
      <c r="AC70" s="63">
        <f t="shared" si="80"/>
        <v>2.3988776199117896</v>
      </c>
      <c r="AD70" s="63">
        <f t="shared" si="47"/>
        <v>4.9557521289642177E-3</v>
      </c>
      <c r="AE70" s="63">
        <f t="shared" si="81"/>
        <v>6.5496424946074466E-3</v>
      </c>
      <c r="AF70" s="63">
        <f t="shared" si="82"/>
        <v>0.52385338450711605</v>
      </c>
      <c r="AG70" s="63">
        <f t="shared" si="83"/>
        <v>4.0608000000000005E-2</v>
      </c>
      <c r="AH70" s="63">
        <f t="shared" si="84"/>
        <v>0</v>
      </c>
      <c r="AI70" s="63">
        <f t="shared" si="48"/>
        <v>0.22378064516129031</v>
      </c>
      <c r="AJ70" s="63">
        <f t="shared" si="49"/>
        <v>0.79479167216301372</v>
      </c>
      <c r="AK70" s="63">
        <f t="shared" si="85"/>
        <v>5.3176697214404482</v>
      </c>
      <c r="AL70" s="63">
        <f t="shared" si="86"/>
        <v>2.4352082736664161E-2</v>
      </c>
      <c r="AM70" s="63">
        <f t="shared" si="87"/>
        <v>3.2340061077477431E-2</v>
      </c>
      <c r="AN70" s="63">
        <f t="shared" si="88"/>
        <v>0.12676935257827299</v>
      </c>
      <c r="AO70" s="63">
        <f t="shared" si="89"/>
        <v>704.20375357230637</v>
      </c>
      <c r="AP70" s="63">
        <f t="shared" si="50"/>
        <v>0.12676935257827299</v>
      </c>
      <c r="AQ70" s="61">
        <f t="shared" si="90"/>
        <v>0.46248</v>
      </c>
      <c r="AR70" s="61">
        <f t="shared" si="91"/>
        <v>50128320000</v>
      </c>
      <c r="AS70" s="61">
        <f t="shared" si="51"/>
        <v>0.46248</v>
      </c>
      <c r="AT70" s="61">
        <f t="shared" si="52"/>
        <v>0.23869935483870966</v>
      </c>
      <c r="AU70" s="63">
        <f t="shared" si="53"/>
        <v>0.39780876849446012</v>
      </c>
      <c r="AV70" s="63">
        <f t="shared" si="92"/>
        <v>0.13612890040655276</v>
      </c>
      <c r="AW70" s="63">
        <f t="shared" si="93"/>
        <v>2.9760000000000003E-3</v>
      </c>
      <c r="AX70" s="63">
        <f t="shared" si="94"/>
        <v>4.1360000000000001E-2</v>
      </c>
      <c r="AY70" s="63">
        <f t="shared" si="95"/>
        <v>4.4336E-2</v>
      </c>
      <c r="AZ70" s="63">
        <f t="shared" si="96"/>
        <v>2.6325502850776457</v>
      </c>
      <c r="BA70" s="64">
        <f t="shared" si="97"/>
        <v>23.2</v>
      </c>
      <c r="BB70" s="76">
        <f t="shared" si="54"/>
        <v>0.8980917386775259</v>
      </c>
      <c r="BC70" s="64">
        <f t="shared" si="55"/>
        <v>89.809173867752591</v>
      </c>
      <c r="BD70" s="63">
        <f t="shared" si="98"/>
        <v>1.176258375240739</v>
      </c>
      <c r="BE70" s="63">
        <f t="shared" si="56"/>
        <v>1.1926004406574737</v>
      </c>
      <c r="BF70" s="63">
        <f t="shared" si="99"/>
        <v>0.79479167216301372</v>
      </c>
      <c r="BG70" s="63">
        <f t="shared" si="100"/>
        <v>0.39780876849446012</v>
      </c>
      <c r="BH70" s="63">
        <f t="shared" si="101"/>
        <v>0.13612890040655276</v>
      </c>
      <c r="BI70" s="63">
        <f t="shared" si="57"/>
        <v>4.4336E-2</v>
      </c>
      <c r="BJ70" s="63">
        <f t="shared" si="58"/>
        <v>4.7815484452404886E-3</v>
      </c>
      <c r="BK70" s="63">
        <f t="shared" si="59"/>
        <v>7.8445020327639628E-2</v>
      </c>
      <c r="BL70" s="63">
        <f t="shared" si="60"/>
        <v>2.6325502850776457</v>
      </c>
      <c r="BQ70" s="77"/>
      <c r="BR70" s="78"/>
    </row>
    <row r="71" spans="3:70" x14ac:dyDescent="0.25">
      <c r="C71" s="61">
        <v>59</v>
      </c>
      <c r="D71" s="61">
        <f t="shared" si="61"/>
        <v>105</v>
      </c>
      <c r="E71" s="61">
        <f t="shared" si="62"/>
        <v>105</v>
      </c>
      <c r="F71" s="61">
        <f t="shared" si="63"/>
        <v>105</v>
      </c>
      <c r="G71" s="73">
        <f t="shared" si="64"/>
        <v>24</v>
      </c>
      <c r="H71" s="64">
        <f t="shared" si="65"/>
        <v>1</v>
      </c>
      <c r="I71" s="63">
        <f t="shared" si="102"/>
        <v>5.9</v>
      </c>
      <c r="J71" s="65">
        <f t="shared" si="66"/>
        <v>8.6117892021752077E-4</v>
      </c>
      <c r="K71" s="65">
        <f t="shared" si="67"/>
        <v>8.6117892021752077E-4</v>
      </c>
      <c r="L71" s="65">
        <f t="shared" si="68"/>
        <v>5.1791610661465239E-3</v>
      </c>
      <c r="M71" s="65">
        <f t="shared" si="69"/>
        <v>4.0000000000000001E-3</v>
      </c>
      <c r="N71" s="63">
        <f t="shared" si="70"/>
        <v>0.1691349169133145</v>
      </c>
      <c r="O71" s="64">
        <f t="shared" si="71"/>
        <v>2.170030056461985</v>
      </c>
      <c r="P71" s="64">
        <f t="shared" si="72"/>
        <v>6.9850150282309933</v>
      </c>
      <c r="Q71" s="64">
        <f t="shared" si="73"/>
        <v>4.8149849717690074</v>
      </c>
      <c r="R71" s="64">
        <f t="shared" si="74"/>
        <v>0</v>
      </c>
      <c r="S71" s="64">
        <f t="shared" si="75"/>
        <v>5.9331626645347448</v>
      </c>
      <c r="T71" s="63">
        <f t="shared" si="42"/>
        <v>0.18231899897464002</v>
      </c>
      <c r="U71" s="63">
        <f t="shared" si="76"/>
        <v>1</v>
      </c>
      <c r="V71" s="63">
        <f t="shared" si="43"/>
        <v>1.1823189989746401</v>
      </c>
      <c r="W71" s="64">
        <f t="shared" si="44"/>
        <v>0.62643371862395292</v>
      </c>
      <c r="X71" s="63">
        <f t="shared" si="77"/>
        <v>7.8483840765806778E-2</v>
      </c>
      <c r="Y71" s="63">
        <f t="shared" si="45"/>
        <v>7.8483840765806778E-2</v>
      </c>
      <c r="Z71" s="64">
        <f t="shared" si="78"/>
        <v>2.2241708598360703</v>
      </c>
      <c r="AA71" s="74">
        <f t="shared" si="79"/>
        <v>4.9469360137439243E-3</v>
      </c>
      <c r="AB71" s="75">
        <f t="shared" si="46"/>
        <v>4.9469360137439243E-3</v>
      </c>
      <c r="AC71" s="63">
        <f t="shared" si="80"/>
        <v>2.440073410204556</v>
      </c>
      <c r="AD71" s="63">
        <f t="shared" si="47"/>
        <v>5.1274233343329544E-3</v>
      </c>
      <c r="AE71" s="63">
        <f t="shared" si="81"/>
        <v>6.7768162074970922E-3</v>
      </c>
      <c r="AF71" s="63">
        <f t="shared" si="82"/>
        <v>0.5323533091723518</v>
      </c>
      <c r="AG71" s="63">
        <f t="shared" si="83"/>
        <v>4.0608000000000005E-2</v>
      </c>
      <c r="AH71" s="63">
        <f t="shared" si="84"/>
        <v>0</v>
      </c>
      <c r="AI71" s="63">
        <f t="shared" si="48"/>
        <v>0.22378064516129031</v>
      </c>
      <c r="AJ71" s="63">
        <f t="shared" si="49"/>
        <v>0.80351877054113907</v>
      </c>
      <c r="AK71" s="63">
        <f t="shared" si="85"/>
        <v>5.4081846267154878</v>
      </c>
      <c r="AL71" s="63">
        <f t="shared" si="86"/>
        <v>2.5188158024665046E-2</v>
      </c>
      <c r="AM71" s="63">
        <f t="shared" si="87"/>
        <v>3.3457365485977407E-2</v>
      </c>
      <c r="AN71" s="63">
        <f t="shared" si="88"/>
        <v>0.1290243434938515</v>
      </c>
      <c r="AO71" s="63">
        <f t="shared" si="89"/>
        <v>716.73022810834505</v>
      </c>
      <c r="AP71" s="63">
        <f t="shared" si="50"/>
        <v>0.1290243434938515</v>
      </c>
      <c r="AQ71" s="61">
        <f t="shared" si="90"/>
        <v>0.46248</v>
      </c>
      <c r="AR71" s="61">
        <f t="shared" si="91"/>
        <v>50128320000</v>
      </c>
      <c r="AS71" s="61">
        <f t="shared" si="51"/>
        <v>0.46248</v>
      </c>
      <c r="AT71" s="61">
        <f t="shared" si="52"/>
        <v>0.23869935483870966</v>
      </c>
      <c r="AU71" s="63">
        <f t="shared" si="53"/>
        <v>0.40118106381853857</v>
      </c>
      <c r="AV71" s="63">
        <f t="shared" si="92"/>
        <v>0.14080967681531611</v>
      </c>
      <c r="AW71" s="63">
        <f t="shared" si="93"/>
        <v>2.9760000000000003E-3</v>
      </c>
      <c r="AX71" s="63">
        <f t="shared" si="94"/>
        <v>4.1360000000000001E-2</v>
      </c>
      <c r="AY71" s="63">
        <f t="shared" si="95"/>
        <v>4.4336E-2</v>
      </c>
      <c r="AZ71" s="63">
        <f t="shared" si="96"/>
        <v>2.6555952869291848</v>
      </c>
      <c r="BA71" s="64">
        <f t="shared" si="97"/>
        <v>23.6</v>
      </c>
      <c r="BB71" s="76">
        <f t="shared" si="54"/>
        <v>0.89885602448133339</v>
      </c>
      <c r="BC71" s="64">
        <f t="shared" si="55"/>
        <v>89.885602448133341</v>
      </c>
      <c r="BD71" s="63">
        <f t="shared" si="98"/>
        <v>1.1823189989746401</v>
      </c>
      <c r="BE71" s="63">
        <f t="shared" si="56"/>
        <v>1.2046998343596775</v>
      </c>
      <c r="BF71" s="63">
        <f t="shared" si="99"/>
        <v>0.80351877054113907</v>
      </c>
      <c r="BG71" s="63">
        <f t="shared" si="100"/>
        <v>0.40118106381853857</v>
      </c>
      <c r="BH71" s="63">
        <f t="shared" si="101"/>
        <v>0.14080967681531611</v>
      </c>
      <c r="BI71" s="63">
        <f t="shared" si="57"/>
        <v>4.4336E-2</v>
      </c>
      <c r="BJ71" s="63">
        <f t="shared" si="58"/>
        <v>4.9469360137439243E-3</v>
      </c>
      <c r="BK71" s="63">
        <f t="shared" si="59"/>
        <v>7.8483840765806778E-2</v>
      </c>
      <c r="BL71" s="63">
        <f t="shared" si="60"/>
        <v>2.6555952869291843</v>
      </c>
      <c r="BQ71" s="77"/>
      <c r="BR71" s="78"/>
    </row>
    <row r="72" spans="3:70" s="81" customFormat="1" x14ac:dyDescent="0.25">
      <c r="C72" s="81">
        <v>60</v>
      </c>
      <c r="D72" s="61">
        <f t="shared" si="61"/>
        <v>105</v>
      </c>
      <c r="E72" s="61">
        <f t="shared" si="62"/>
        <v>105</v>
      </c>
      <c r="F72" s="61">
        <f t="shared" si="63"/>
        <v>105</v>
      </c>
      <c r="G72" s="89">
        <f t="shared" si="64"/>
        <v>24</v>
      </c>
      <c r="H72" s="85">
        <f t="shared" si="65"/>
        <v>1</v>
      </c>
      <c r="I72" s="86">
        <f t="shared" si="102"/>
        <v>6</v>
      </c>
      <c r="J72" s="90">
        <f t="shared" si="66"/>
        <v>8.6117892021752077E-4</v>
      </c>
      <c r="K72" s="90">
        <f t="shared" si="67"/>
        <v>8.6117892021752077E-4</v>
      </c>
      <c r="L72" s="90">
        <f t="shared" si="68"/>
        <v>5.1791610661465239E-3</v>
      </c>
      <c r="M72" s="90">
        <f t="shared" si="69"/>
        <v>4.0000000000000001E-3</v>
      </c>
      <c r="N72" s="86">
        <f t="shared" si="70"/>
        <v>0.16917675166325766</v>
      </c>
      <c r="O72" s="85">
        <f t="shared" si="71"/>
        <v>2.1705668034946974</v>
      </c>
      <c r="P72" s="85">
        <f t="shared" si="72"/>
        <v>7.0852834017473487</v>
      </c>
      <c r="Q72" s="85">
        <f t="shared" si="73"/>
        <v>4.9147165982526513</v>
      </c>
      <c r="R72" s="85">
        <f t="shared" si="74"/>
        <v>0</v>
      </c>
      <c r="S72" s="85">
        <f t="shared" si="75"/>
        <v>6.0326290582163349</v>
      </c>
      <c r="T72" s="86">
        <f t="shared" si="42"/>
        <v>0.18848320617854783</v>
      </c>
      <c r="U72" s="86">
        <f t="shared" si="76"/>
        <v>1</v>
      </c>
      <c r="V72" s="86">
        <f t="shared" si="43"/>
        <v>1.1884832061785477</v>
      </c>
      <c r="W72" s="85">
        <f t="shared" si="44"/>
        <v>0.62658866414586456</v>
      </c>
      <c r="X72" s="86">
        <f t="shared" si="77"/>
        <v>7.8522670807219808E-2</v>
      </c>
      <c r="Y72" s="86">
        <f t="shared" si="45"/>
        <v>7.8522670807219808E-2</v>
      </c>
      <c r="Z72" s="85">
        <f t="shared" si="78"/>
        <v>2.2616806527560551</v>
      </c>
      <c r="AA72" s="88">
        <f t="shared" si="79"/>
        <v>5.1151993750510553E-3</v>
      </c>
      <c r="AB72" s="87">
        <f t="shared" si="46"/>
        <v>5.1151993750510553E-3</v>
      </c>
      <c r="AC72" s="86">
        <f t="shared" si="80"/>
        <v>2.4812867854749721</v>
      </c>
      <c r="AD72" s="86">
        <f t="shared" si="47"/>
        <v>5.302092693388819E-3</v>
      </c>
      <c r="AE72" s="86">
        <f t="shared" si="81"/>
        <v>7.0079772776628357E-3</v>
      </c>
      <c r="AF72" s="86">
        <f t="shared" si="82"/>
        <v>0.54085323383758732</v>
      </c>
      <c r="AG72" s="86">
        <f t="shared" si="83"/>
        <v>4.0608000000000005E-2</v>
      </c>
      <c r="AH72" s="86">
        <f t="shared" si="84"/>
        <v>0</v>
      </c>
      <c r="AI72" s="63">
        <f t="shared" si="48"/>
        <v>0.22378064516129031</v>
      </c>
      <c r="AJ72" s="63">
        <f t="shared" si="49"/>
        <v>0.81224985627654034</v>
      </c>
      <c r="AK72" s="86">
        <f t="shared" si="85"/>
        <v>5.4987115983895158</v>
      </c>
      <c r="AL72" s="86">
        <f t="shared" si="86"/>
        <v>2.603845877873372E-2</v>
      </c>
      <c r="AM72" s="86">
        <f t="shared" si="87"/>
        <v>3.4594158674436576E-2</v>
      </c>
      <c r="AN72" s="86">
        <f t="shared" si="88"/>
        <v>0.13127933440942999</v>
      </c>
      <c r="AO72" s="86">
        <f t="shared" si="89"/>
        <v>729.25670264438349</v>
      </c>
      <c r="AP72" s="86">
        <f t="shared" si="50"/>
        <v>0.13127933440942999</v>
      </c>
      <c r="AQ72" s="81">
        <f t="shared" si="90"/>
        <v>0.46248</v>
      </c>
      <c r="AR72" s="81">
        <f t="shared" si="91"/>
        <v>50128320000</v>
      </c>
      <c r="AS72" s="81">
        <f t="shared" si="51"/>
        <v>0.46248</v>
      </c>
      <c r="AT72" s="61">
        <f t="shared" si="52"/>
        <v>0.23869935483870966</v>
      </c>
      <c r="AU72" s="63">
        <f t="shared" si="53"/>
        <v>0.4045728479225762</v>
      </c>
      <c r="AV72" s="86">
        <f t="shared" si="92"/>
        <v>0.14557045341614441</v>
      </c>
      <c r="AW72" s="86">
        <f t="shared" si="93"/>
        <v>2.9760000000000003E-3</v>
      </c>
      <c r="AX72" s="86">
        <f t="shared" si="94"/>
        <v>4.1360000000000001E-2</v>
      </c>
      <c r="AY72" s="86">
        <f t="shared" si="95"/>
        <v>4.4336E-2</v>
      </c>
      <c r="AZ72" s="86">
        <f t="shared" si="96"/>
        <v>2.6788502339760796</v>
      </c>
      <c r="BA72" s="85">
        <f t="shared" si="97"/>
        <v>24</v>
      </c>
      <c r="BB72" s="91">
        <f t="shared" si="54"/>
        <v>0.89958899238601719</v>
      </c>
      <c r="BC72" s="85">
        <f t="shared" si="55"/>
        <v>89.958899238601717</v>
      </c>
      <c r="BD72" s="86">
        <f t="shared" si="98"/>
        <v>1.1884832061785477</v>
      </c>
      <c r="BE72" s="86">
        <f t="shared" si="56"/>
        <v>1.2168227041991164</v>
      </c>
      <c r="BF72" s="86">
        <f t="shared" si="99"/>
        <v>0.81224985627654034</v>
      </c>
      <c r="BG72" s="86">
        <f t="shared" si="100"/>
        <v>0.4045728479225762</v>
      </c>
      <c r="BH72" s="86">
        <f t="shared" si="101"/>
        <v>0.14557045341614441</v>
      </c>
      <c r="BI72" s="86">
        <f t="shared" si="57"/>
        <v>4.4336E-2</v>
      </c>
      <c r="BJ72" s="86">
        <f t="shared" si="58"/>
        <v>5.1151993750510553E-3</v>
      </c>
      <c r="BK72" s="86">
        <f t="shared" si="59"/>
        <v>7.8522670807219808E-2</v>
      </c>
      <c r="BL72" s="86">
        <f t="shared" si="60"/>
        <v>2.6788502339760796</v>
      </c>
      <c r="BQ72" s="92"/>
      <c r="BR72" s="93"/>
    </row>
    <row r="73" spans="3:70" x14ac:dyDescent="0.25">
      <c r="C73" s="61">
        <v>61</v>
      </c>
      <c r="D73" s="61">
        <f t="shared" si="61"/>
        <v>105</v>
      </c>
      <c r="E73" s="61">
        <f t="shared" si="62"/>
        <v>105</v>
      </c>
      <c r="F73" s="61">
        <f t="shared" si="63"/>
        <v>105</v>
      </c>
      <c r="G73" s="73">
        <f t="shared" si="64"/>
        <v>24</v>
      </c>
      <c r="H73" s="64">
        <f t="shared" si="65"/>
        <v>1</v>
      </c>
      <c r="I73" s="63">
        <f t="shared" si="102"/>
        <v>6.1</v>
      </c>
      <c r="J73" s="65">
        <f t="shared" si="66"/>
        <v>8.6117892021752077E-4</v>
      </c>
      <c r="K73" s="65">
        <f t="shared" si="67"/>
        <v>8.6117892021752077E-4</v>
      </c>
      <c r="L73" s="65">
        <f t="shared" si="68"/>
        <v>5.1791610661465239E-3</v>
      </c>
      <c r="M73" s="65">
        <f t="shared" si="69"/>
        <v>4.0000000000000001E-3</v>
      </c>
      <c r="N73" s="63">
        <f t="shared" si="70"/>
        <v>0.16921858641320087</v>
      </c>
      <c r="O73" s="64">
        <f t="shared" si="71"/>
        <v>2.1711035505274099</v>
      </c>
      <c r="P73" s="64">
        <f t="shared" si="72"/>
        <v>7.1855517752637041</v>
      </c>
      <c r="Q73" s="64">
        <f t="shared" si="73"/>
        <v>5.0144482247362951</v>
      </c>
      <c r="R73" s="64">
        <f t="shared" si="74"/>
        <v>0</v>
      </c>
      <c r="S73" s="64">
        <f t="shared" si="75"/>
        <v>6.1321128130734337</v>
      </c>
      <c r="T73" s="63">
        <f t="shared" si="42"/>
        <v>0.19475099685246225</v>
      </c>
      <c r="U73" s="63">
        <f t="shared" si="76"/>
        <v>1</v>
      </c>
      <c r="V73" s="63">
        <f t="shared" si="43"/>
        <v>1.1947509968524623</v>
      </c>
      <c r="W73" s="64">
        <f t="shared" si="44"/>
        <v>0.6267436096677762</v>
      </c>
      <c r="X73" s="63">
        <f t="shared" si="77"/>
        <v>7.8561510451878758E-2</v>
      </c>
      <c r="Y73" s="63">
        <f t="shared" si="45"/>
        <v>7.8561510451878758E-2</v>
      </c>
      <c r="Z73" s="64">
        <f t="shared" si="78"/>
        <v>2.2992042487699393</v>
      </c>
      <c r="AA73" s="74">
        <f t="shared" si="79"/>
        <v>5.2863401775617418E-3</v>
      </c>
      <c r="AB73" s="75">
        <f t="shared" si="46"/>
        <v>5.2863401775617418E-3</v>
      </c>
      <c r="AC73" s="63">
        <f t="shared" si="80"/>
        <v>2.5225173813397137</v>
      </c>
      <c r="AD73" s="63">
        <f t="shared" si="47"/>
        <v>5.4797623677692925E-3</v>
      </c>
      <c r="AE73" s="63">
        <f t="shared" si="81"/>
        <v>7.2431296014511641E-3</v>
      </c>
      <c r="AF73" s="63">
        <f t="shared" si="82"/>
        <v>0.54935315850282296</v>
      </c>
      <c r="AG73" s="63">
        <f t="shared" si="83"/>
        <v>4.0608000000000005E-2</v>
      </c>
      <c r="AH73" s="63">
        <f t="shared" si="84"/>
        <v>0</v>
      </c>
      <c r="AI73" s="63">
        <f t="shared" si="48"/>
        <v>0.22378064516129031</v>
      </c>
      <c r="AJ73" s="63">
        <f t="shared" si="49"/>
        <v>0.82098493326556432</v>
      </c>
      <c r="AK73" s="63">
        <f t="shared" si="85"/>
        <v>5.5892498256115202</v>
      </c>
      <c r="AL73" s="63">
        <f t="shared" si="86"/>
        <v>2.6902982837232671E-2</v>
      </c>
      <c r="AM73" s="63">
        <f t="shared" si="87"/>
        <v>3.5750462275254677E-2</v>
      </c>
      <c r="AN73" s="63">
        <f t="shared" si="88"/>
        <v>0.13353432532500847</v>
      </c>
      <c r="AO73" s="63">
        <f t="shared" si="89"/>
        <v>741.78317718042194</v>
      </c>
      <c r="AP73" s="63">
        <f t="shared" si="50"/>
        <v>0.13353432532500847</v>
      </c>
      <c r="AQ73" s="61">
        <f t="shared" si="90"/>
        <v>0.46248</v>
      </c>
      <c r="AR73" s="61">
        <f t="shared" si="91"/>
        <v>50128320000</v>
      </c>
      <c r="AS73" s="61">
        <f t="shared" si="51"/>
        <v>0.46248</v>
      </c>
      <c r="AT73" s="61">
        <f t="shared" si="52"/>
        <v>0.23869935483870966</v>
      </c>
      <c r="AU73" s="63">
        <f t="shared" si="53"/>
        <v>0.40798414243897285</v>
      </c>
      <c r="AV73" s="63">
        <f t="shared" si="92"/>
        <v>0.15041123020903752</v>
      </c>
      <c r="AW73" s="63">
        <f t="shared" si="93"/>
        <v>2.9760000000000003E-3</v>
      </c>
      <c r="AX73" s="63">
        <f t="shared" si="94"/>
        <v>4.1360000000000001E-2</v>
      </c>
      <c r="AY73" s="63">
        <f t="shared" si="95"/>
        <v>4.4336E-2</v>
      </c>
      <c r="AZ73" s="63">
        <f t="shared" si="96"/>
        <v>2.7023151533954777</v>
      </c>
      <c r="BA73" s="64">
        <f t="shared" si="97"/>
        <v>24.4</v>
      </c>
      <c r="BB73" s="76">
        <f t="shared" si="54"/>
        <v>0.90029209172350277</v>
      </c>
      <c r="BC73" s="64">
        <f t="shared" si="55"/>
        <v>90.029209172350278</v>
      </c>
      <c r="BD73" s="63">
        <f t="shared" si="98"/>
        <v>1.1947509968524623</v>
      </c>
      <c r="BE73" s="63">
        <f t="shared" si="56"/>
        <v>1.2289690757045371</v>
      </c>
      <c r="BF73" s="63">
        <f t="shared" si="99"/>
        <v>0.82098493326556432</v>
      </c>
      <c r="BG73" s="63">
        <f t="shared" si="100"/>
        <v>0.40798414243897285</v>
      </c>
      <c r="BH73" s="63">
        <f t="shared" si="101"/>
        <v>0.15041123020903752</v>
      </c>
      <c r="BI73" s="63">
        <f t="shared" si="57"/>
        <v>4.4336E-2</v>
      </c>
      <c r="BJ73" s="63">
        <f t="shared" si="58"/>
        <v>5.2863401775617418E-3</v>
      </c>
      <c r="BK73" s="63">
        <f t="shared" si="59"/>
        <v>7.8561510451878758E-2</v>
      </c>
      <c r="BL73" s="63">
        <f t="shared" si="60"/>
        <v>2.7023151533954772</v>
      </c>
      <c r="BQ73" s="77"/>
      <c r="BR73" s="78"/>
    </row>
    <row r="74" spans="3:70" x14ac:dyDescent="0.25">
      <c r="C74" s="61">
        <v>62</v>
      </c>
      <c r="D74" s="61">
        <f t="shared" si="61"/>
        <v>105</v>
      </c>
      <c r="E74" s="61">
        <f t="shared" si="62"/>
        <v>105</v>
      </c>
      <c r="F74" s="61">
        <f t="shared" si="63"/>
        <v>105</v>
      </c>
      <c r="G74" s="73">
        <f t="shared" si="64"/>
        <v>24</v>
      </c>
      <c r="H74" s="64">
        <f t="shared" si="65"/>
        <v>1</v>
      </c>
      <c r="I74" s="63">
        <f t="shared" si="102"/>
        <v>6.2</v>
      </c>
      <c r="J74" s="65">
        <f t="shared" si="66"/>
        <v>8.6117892021752077E-4</v>
      </c>
      <c r="K74" s="65">
        <f t="shared" si="67"/>
        <v>8.6117892021752077E-4</v>
      </c>
      <c r="L74" s="65">
        <f t="shared" si="68"/>
        <v>5.1791610661465239E-3</v>
      </c>
      <c r="M74" s="65">
        <f t="shared" si="69"/>
        <v>4.0000000000000001E-3</v>
      </c>
      <c r="N74" s="63">
        <f t="shared" si="70"/>
        <v>0.16926042116314402</v>
      </c>
      <c r="O74" s="64">
        <f t="shared" si="71"/>
        <v>2.1716402975601219</v>
      </c>
      <c r="P74" s="64">
        <f t="shared" si="72"/>
        <v>7.2858201487800613</v>
      </c>
      <c r="Q74" s="64">
        <f t="shared" si="73"/>
        <v>5.114179851219939</v>
      </c>
      <c r="R74" s="64">
        <f t="shared" si="74"/>
        <v>0</v>
      </c>
      <c r="S74" s="64">
        <f t="shared" si="75"/>
        <v>6.2316130976255995</v>
      </c>
      <c r="T74" s="63">
        <f t="shared" si="42"/>
        <v>0.20112237099638355</v>
      </c>
      <c r="U74" s="63">
        <f t="shared" si="76"/>
        <v>1</v>
      </c>
      <c r="V74" s="63">
        <f t="shared" si="43"/>
        <v>1.2011223709963836</v>
      </c>
      <c r="W74" s="64">
        <f t="shared" si="44"/>
        <v>0.62689855518968773</v>
      </c>
      <c r="X74" s="63">
        <f t="shared" si="77"/>
        <v>7.8600359699783601E-2</v>
      </c>
      <c r="Y74" s="63">
        <f t="shared" si="45"/>
        <v>7.8600359699783601E-2</v>
      </c>
      <c r="Z74" s="64">
        <f t="shared" si="78"/>
        <v>2.3367413355473912</v>
      </c>
      <c r="AA74" s="74">
        <f t="shared" si="79"/>
        <v>5.4603600692558051E-3</v>
      </c>
      <c r="AB74" s="75">
        <f t="shared" si="46"/>
        <v>5.4603600692558051E-3</v>
      </c>
      <c r="AC74" s="63">
        <f t="shared" si="80"/>
        <v>2.5637648565036257</v>
      </c>
      <c r="AD74" s="63">
        <f t="shared" si="47"/>
        <v>5.6604345191118531E-3</v>
      </c>
      <c r="AE74" s="63">
        <f t="shared" si="81"/>
        <v>7.4822770942349973E-3</v>
      </c>
      <c r="AF74" s="63">
        <f t="shared" si="82"/>
        <v>0.55785308316805859</v>
      </c>
      <c r="AG74" s="63">
        <f t="shared" si="83"/>
        <v>4.0608000000000005E-2</v>
      </c>
      <c r="AH74" s="63">
        <f t="shared" si="84"/>
        <v>0</v>
      </c>
      <c r="AI74" s="63">
        <f t="shared" si="48"/>
        <v>0.22378064516129031</v>
      </c>
      <c r="AJ74" s="63">
        <f t="shared" si="49"/>
        <v>0.82972400542358393</v>
      </c>
      <c r="AK74" s="63">
        <f t="shared" si="85"/>
        <v>5.6797985491613927</v>
      </c>
      <c r="AL74" s="63">
        <f t="shared" si="86"/>
        <v>2.7781728038524491E-2</v>
      </c>
      <c r="AM74" s="63">
        <f t="shared" si="87"/>
        <v>3.6926298352671555E-2</v>
      </c>
      <c r="AN74" s="63">
        <f t="shared" si="88"/>
        <v>0.13578931624058699</v>
      </c>
      <c r="AO74" s="63">
        <f t="shared" si="89"/>
        <v>754.30965171646073</v>
      </c>
      <c r="AP74" s="63">
        <f t="shared" si="50"/>
        <v>0.13578931624058699</v>
      </c>
      <c r="AQ74" s="61">
        <f t="shared" si="90"/>
        <v>0.46248</v>
      </c>
      <c r="AR74" s="61">
        <f t="shared" si="91"/>
        <v>50128320000</v>
      </c>
      <c r="AS74" s="61">
        <f t="shared" si="51"/>
        <v>0.46248</v>
      </c>
      <c r="AT74" s="61">
        <f t="shared" si="52"/>
        <v>0.23869935483870966</v>
      </c>
      <c r="AU74" s="63">
        <f t="shared" si="53"/>
        <v>0.4114149694319682</v>
      </c>
      <c r="AV74" s="63">
        <f t="shared" si="92"/>
        <v>0.15533200719399567</v>
      </c>
      <c r="AW74" s="63">
        <f t="shared" si="93"/>
        <v>2.9760000000000003E-3</v>
      </c>
      <c r="AX74" s="63">
        <f t="shared" si="94"/>
        <v>4.1360000000000001E-2</v>
      </c>
      <c r="AY74" s="63">
        <f t="shared" si="95"/>
        <v>4.4336E-2</v>
      </c>
      <c r="AZ74" s="63">
        <f t="shared" si="96"/>
        <v>2.7259900728149704</v>
      </c>
      <c r="BA74" s="64">
        <f t="shared" si="97"/>
        <v>24.8</v>
      </c>
      <c r="BB74" s="76">
        <f t="shared" si="54"/>
        <v>0.90096668401013513</v>
      </c>
      <c r="BC74" s="64">
        <f t="shared" si="55"/>
        <v>90.096668401013517</v>
      </c>
      <c r="BD74" s="63">
        <f t="shared" si="98"/>
        <v>1.2011223709963836</v>
      </c>
      <c r="BE74" s="63">
        <f t="shared" si="56"/>
        <v>1.2411389748555521</v>
      </c>
      <c r="BF74" s="63">
        <f t="shared" si="99"/>
        <v>0.82972400542358393</v>
      </c>
      <c r="BG74" s="63">
        <f t="shared" si="100"/>
        <v>0.4114149694319682</v>
      </c>
      <c r="BH74" s="63">
        <f t="shared" si="101"/>
        <v>0.15533200719399567</v>
      </c>
      <c r="BI74" s="63">
        <f t="shared" si="57"/>
        <v>4.4336E-2</v>
      </c>
      <c r="BJ74" s="63">
        <f t="shared" si="58"/>
        <v>5.4603600692558051E-3</v>
      </c>
      <c r="BK74" s="63">
        <f t="shared" si="59"/>
        <v>7.8600359699783601E-2</v>
      </c>
      <c r="BL74" s="63">
        <f t="shared" si="60"/>
        <v>2.7259900728149709</v>
      </c>
      <c r="BQ74" s="77"/>
      <c r="BR74" s="78"/>
    </row>
    <row r="75" spans="3:70" x14ac:dyDescent="0.25">
      <c r="C75" s="61">
        <v>63</v>
      </c>
      <c r="D75" s="61">
        <f t="shared" si="61"/>
        <v>105</v>
      </c>
      <c r="E75" s="61">
        <f t="shared" si="62"/>
        <v>105</v>
      </c>
      <c r="F75" s="61">
        <f t="shared" si="63"/>
        <v>105</v>
      </c>
      <c r="G75" s="73">
        <f t="shared" si="64"/>
        <v>24</v>
      </c>
      <c r="H75" s="64">
        <f t="shared" si="65"/>
        <v>1</v>
      </c>
      <c r="I75" s="63">
        <f t="shared" si="102"/>
        <v>6.3</v>
      </c>
      <c r="J75" s="65">
        <f t="shared" si="66"/>
        <v>8.6117892021752077E-4</v>
      </c>
      <c r="K75" s="65">
        <f t="shared" si="67"/>
        <v>8.6117892021752077E-4</v>
      </c>
      <c r="L75" s="65">
        <f t="shared" si="68"/>
        <v>5.1791610661465239E-3</v>
      </c>
      <c r="M75" s="65">
        <f t="shared" si="69"/>
        <v>4.0000000000000001E-3</v>
      </c>
      <c r="N75" s="63">
        <f t="shared" si="70"/>
        <v>0.16930225591308723</v>
      </c>
      <c r="O75" s="64">
        <f t="shared" si="71"/>
        <v>2.1721770445928348</v>
      </c>
      <c r="P75" s="64">
        <f t="shared" si="72"/>
        <v>7.3860885222964168</v>
      </c>
      <c r="Q75" s="64">
        <f t="shared" si="73"/>
        <v>5.2139114777035829</v>
      </c>
      <c r="R75" s="64">
        <f t="shared" si="74"/>
        <v>0</v>
      </c>
      <c r="S75" s="64">
        <f t="shared" si="75"/>
        <v>6.3311291325287833</v>
      </c>
      <c r="T75" s="63">
        <f t="shared" si="42"/>
        <v>0.20759732861031141</v>
      </c>
      <c r="U75" s="63">
        <f t="shared" si="76"/>
        <v>1</v>
      </c>
      <c r="V75" s="63">
        <f t="shared" si="43"/>
        <v>1.2075973286103114</v>
      </c>
      <c r="W75" s="64">
        <f t="shared" si="44"/>
        <v>0.62705350071159949</v>
      </c>
      <c r="X75" s="63">
        <f t="shared" si="77"/>
        <v>7.8639218550934378E-2</v>
      </c>
      <c r="Y75" s="63">
        <f t="shared" si="45"/>
        <v>7.8639218550934378E-2</v>
      </c>
      <c r="Z75" s="64">
        <f t="shared" si="78"/>
        <v>2.3742916201875937</v>
      </c>
      <c r="AA75" s="74">
        <f t="shared" si="79"/>
        <v>5.6372606976930282E-3</v>
      </c>
      <c r="AB75" s="75">
        <f t="shared" si="46"/>
        <v>5.6372606976930282E-3</v>
      </c>
      <c r="AC75" s="63">
        <f t="shared" si="80"/>
        <v>2.6050288909549559</v>
      </c>
      <c r="AD75" s="63">
        <f t="shared" si="47"/>
        <v>5.8441113090539742E-3</v>
      </c>
      <c r="AE75" s="63">
        <f t="shared" si="81"/>
        <v>7.7254236904685082E-3</v>
      </c>
      <c r="AF75" s="63">
        <f t="shared" si="82"/>
        <v>0.56635300783329412</v>
      </c>
      <c r="AG75" s="63">
        <f t="shared" si="83"/>
        <v>4.0608000000000005E-2</v>
      </c>
      <c r="AH75" s="63">
        <f t="shared" si="84"/>
        <v>0</v>
      </c>
      <c r="AI75" s="63">
        <f t="shared" si="48"/>
        <v>0.22378064516129031</v>
      </c>
      <c r="AJ75" s="63">
        <f t="shared" si="49"/>
        <v>0.83846707668505283</v>
      </c>
      <c r="AK75" s="63">
        <f t="shared" si="85"/>
        <v>5.770357057413749</v>
      </c>
      <c r="AL75" s="63">
        <f t="shared" si="86"/>
        <v>2.8674692220971638E-2</v>
      </c>
      <c r="AM75" s="63">
        <f t="shared" si="87"/>
        <v>3.8121689403911523E-2</v>
      </c>
      <c r="AN75" s="63">
        <f t="shared" si="88"/>
        <v>0.13804430715616547</v>
      </c>
      <c r="AO75" s="63">
        <f t="shared" si="89"/>
        <v>766.8361262524993</v>
      </c>
      <c r="AP75" s="63">
        <f t="shared" si="50"/>
        <v>0.13804430715616547</v>
      </c>
      <c r="AQ75" s="61">
        <f t="shared" si="90"/>
        <v>0.46248</v>
      </c>
      <c r="AR75" s="61">
        <f t="shared" si="91"/>
        <v>50128320000</v>
      </c>
      <c r="AS75" s="61">
        <f t="shared" si="51"/>
        <v>0.46248</v>
      </c>
      <c r="AT75" s="61">
        <f t="shared" si="52"/>
        <v>0.23869935483870966</v>
      </c>
      <c r="AU75" s="63">
        <f t="shared" si="53"/>
        <v>0.41486535139878666</v>
      </c>
      <c r="AV75" s="63">
        <f t="shared" si="92"/>
        <v>0.16033278437101864</v>
      </c>
      <c r="AW75" s="63">
        <f t="shared" si="93"/>
        <v>2.9760000000000003E-3</v>
      </c>
      <c r="AX75" s="63">
        <f t="shared" si="94"/>
        <v>4.1360000000000001E-2</v>
      </c>
      <c r="AY75" s="63">
        <f t="shared" si="95"/>
        <v>4.4336E-2</v>
      </c>
      <c r="AZ75" s="63">
        <f t="shared" si="96"/>
        <v>2.7498750203137972</v>
      </c>
      <c r="BA75" s="64">
        <f t="shared" si="97"/>
        <v>25.2</v>
      </c>
      <c r="BB75" s="76">
        <f t="shared" si="54"/>
        <v>0.90161404949699397</v>
      </c>
      <c r="BC75" s="64">
        <f t="shared" si="55"/>
        <v>90.161404949699403</v>
      </c>
      <c r="BD75" s="63">
        <f t="shared" si="98"/>
        <v>1.2075973286103114</v>
      </c>
      <c r="BE75" s="63">
        <f t="shared" si="56"/>
        <v>1.2533324280838394</v>
      </c>
      <c r="BF75" s="63">
        <f t="shared" si="99"/>
        <v>0.83846707668505283</v>
      </c>
      <c r="BG75" s="63">
        <f t="shared" si="100"/>
        <v>0.41486535139878666</v>
      </c>
      <c r="BH75" s="63">
        <f t="shared" si="101"/>
        <v>0.16033278437101864</v>
      </c>
      <c r="BI75" s="63">
        <f t="shared" si="57"/>
        <v>4.4336E-2</v>
      </c>
      <c r="BJ75" s="63">
        <f t="shared" si="58"/>
        <v>5.6372606976930282E-3</v>
      </c>
      <c r="BK75" s="63">
        <f t="shared" si="59"/>
        <v>7.8639218550934378E-2</v>
      </c>
      <c r="BL75" s="63">
        <f t="shared" si="60"/>
        <v>2.7498750203137972</v>
      </c>
      <c r="BQ75" s="77"/>
      <c r="BR75" s="78"/>
    </row>
    <row r="76" spans="3:70" x14ac:dyDescent="0.25">
      <c r="C76" s="61">
        <v>64</v>
      </c>
      <c r="D76" s="61">
        <f t="shared" ref="D76:D112" si="103">T.amb+I76*$D$9</f>
        <v>105</v>
      </c>
      <c r="E76" s="61">
        <f t="shared" ref="E76:E112" si="104">T.amb+I76*$E$9</f>
        <v>105</v>
      </c>
      <c r="F76" s="61">
        <f t="shared" ref="F76:F112" si="105">T.amb+I76*$F$9</f>
        <v>105</v>
      </c>
      <c r="G76" s="73">
        <f t="shared" ref="G76:G112" si="106">V.supply_typ</f>
        <v>24</v>
      </c>
      <c r="H76" s="64">
        <f t="shared" ref="H76:H112" si="107">FPWM</f>
        <v>1</v>
      </c>
      <c r="I76" s="63">
        <f t="shared" si="102"/>
        <v>6.4</v>
      </c>
      <c r="J76" s="65">
        <f t="shared" ref="J76:J112" si="108">R.hs25*((D76+275)/300)^2.3</f>
        <v>8.6117892021752077E-4</v>
      </c>
      <c r="K76" s="65">
        <f t="shared" ref="K76:K112" si="109">R.ls25*((E76+275)/300)^2.3</f>
        <v>8.6117892021752077E-4</v>
      </c>
      <c r="L76" s="65">
        <f t="shared" ref="L76:L112" si="110">R.dcr25*((F76+275)/300)^1.2</f>
        <v>5.1791610661465239E-3</v>
      </c>
      <c r="M76" s="65">
        <f t="shared" ref="M76:M112" si="111">R.s</f>
        <v>4.0000000000000001E-3</v>
      </c>
      <c r="N76" s="63">
        <f t="shared" ref="N76:N107" si="112">(V.load+I76*(K76+L76+M76))/(V.supply_typ+I76*(K76-J76))</f>
        <v>0.16934409066303044</v>
      </c>
      <c r="O76" s="64">
        <f t="shared" ref="O76:O107" si="113">(V.supply_typ-I.load*(J76+L76+M76)-V.load)*N76/(f.sw*L.out)</f>
        <v>2.1727137916255472</v>
      </c>
      <c r="P76" s="64">
        <f t="shared" ref="P76:P107" si="114">I76+O76/2</f>
        <v>7.486356895812774</v>
      </c>
      <c r="Q76" s="64">
        <f t="shared" ref="Q76:Q112" si="115">I76-O76/2</f>
        <v>5.3136431041872267</v>
      </c>
      <c r="R76" s="64">
        <f t="shared" ref="R76:R107" si="116">IF(MIN(V.supply_typ, -Q76/(C.oss_hs+C.oss_ls)*0.00000002)&lt;0, 0, MIN(V.supply_typ, -Q76/(C.oss_hs+C.oss_ls)*0.00000002))</f>
        <v>0</v>
      </c>
      <c r="S76" s="64">
        <f t="shared" ref="S76:S112" si="117">SQRT(I76^2+(O76^2)/12)</f>
        <v>6.4306601865614592</v>
      </c>
      <c r="T76" s="63">
        <f t="shared" si="42"/>
        <v>0.21417586969424615</v>
      </c>
      <c r="U76" s="63">
        <f t="shared" ref="U76:U112" si="118">IF(FPWM=1,P.core,MIN(P.core,P.core*(O76+Q76)/O76))</f>
        <v>1</v>
      </c>
      <c r="V76" s="63">
        <f t="shared" si="43"/>
        <v>1.2141758696942462</v>
      </c>
      <c r="W76" s="64">
        <f t="shared" si="44"/>
        <v>0.62720844623351113</v>
      </c>
      <c r="X76" s="63">
        <f t="shared" ref="X76:X107" si="119">R.esrb*W76^2</f>
        <v>7.8678087005331049E-2</v>
      </c>
      <c r="Y76" s="63">
        <f t="shared" si="45"/>
        <v>7.8678087005331049E-2</v>
      </c>
      <c r="Z76" s="64">
        <f t="shared" ref="Z76:Z112" si="120">SQRT(N76*(1-N76))*SQRT(I76^2+(O76^2)/12)</f>
        <v>2.4118548277235026</v>
      </c>
      <c r="AA76" s="74">
        <f t="shared" ref="AA76:AA107" si="121">R.esr_cin*Z76^2</f>
        <v>5.8170437100131664E-3</v>
      </c>
      <c r="AB76" s="75">
        <f t="shared" si="46"/>
        <v>5.8170437100131664E-3</v>
      </c>
      <c r="AC76" s="63">
        <f t="shared" ref="AC76:AC112" si="122">SQRT(N76)*SQRT(I76^2+(O76^2)/12)</f>
        <v>2.6463091843268902</v>
      </c>
      <c r="AD76" s="63">
        <f t="shared" si="47"/>
        <v>6.0307948992331393E-3</v>
      </c>
      <c r="AE76" s="63">
        <f t="shared" ref="AE76:AE107" si="123">AD76*(1+TC_rdson_hs*(T.amb-25))/(1-AD76*TC_rdson_hs*theta.ja_hs)</f>
        <v>7.9725733437422345E-3</v>
      </c>
      <c r="AF76" s="63">
        <f t="shared" ref="AF76:AF112" si="124">(V.supply_typ*P76/2)*f.sw*T.rise+(V.supply_typ*MAX(Q76,0)/2)*f.sw*T.fall</f>
        <v>0.57485293249852987</v>
      </c>
      <c r="AG76" s="63">
        <f t="shared" ref="AG76:AG112" si="125">0.5*(C.oss_hs+C.oss_ls)*(V.supply_typ-R76)^2*f.sw</f>
        <v>4.0608000000000005E-2</v>
      </c>
      <c r="AH76" s="63">
        <f t="shared" ref="AH76:AH112" si="126">IF(I76&gt;O76/2,0,ABS(Q76)*V.bd_hs*t.d_loff_hon*f.sw)</f>
        <v>0</v>
      </c>
      <c r="AI76" s="63">
        <f t="shared" si="48"/>
        <v>0.22378064516129031</v>
      </c>
      <c r="AJ76" s="63">
        <f t="shared" si="49"/>
        <v>0.84721415100356245</v>
      </c>
      <c r="AK76" s="63">
        <f t="shared" ref="AK76:AK112" si="127">SQRT((1-N76))*SQRT(I76^2+(O76^2)/12)</f>
        <v>5.8609246826737005</v>
      </c>
      <c r="AL76" s="63">
        <f t="shared" ref="AL76:AL107" si="128">K76*AK76^2</f>
        <v>2.9581873222936678E-2</v>
      </c>
      <c r="AM76" s="63">
        <f t="shared" ref="AM76:AM107" si="129">AL76*(1+TC_rdson_ls*(T.amb-25))/(1-AL76*TC_rdson_ls*theta.ja_ls)</f>
        <v>3.9336658360352633E-2</v>
      </c>
      <c r="AN76" s="63">
        <f t="shared" ref="AN76:AN112" si="130">IF(I76&gt;O76/2, Q76*V.bd_ls*t.d_loff_hon*f.sw + P76*V.bd_ls*t.d_hoff_lon*f.sw,P76*V.bd_ls*t.d_hoff_lon*f.sw)</f>
        <v>0.14029929807174399</v>
      </c>
      <c r="AO76" s="63">
        <f t="shared" ref="AO76:AO112" si="131">IF(I76&gt;O76/2, Q76*V.fwd_sch*t.d_loff_hon*f.sw + P76*V.fwd_sch*t.d_hoff_lon*f.sw,P76*V.fwd_sch*t.d_hoff_lon*f.sw)</f>
        <v>779.36260078853797</v>
      </c>
      <c r="AP76" s="63">
        <f t="shared" si="50"/>
        <v>0.14029929807174399</v>
      </c>
      <c r="AQ76" s="61">
        <f t="shared" ref="AQ76:AQ112" si="132">Q.rr_ls*V.supply_typ*f.sw</f>
        <v>0.46248</v>
      </c>
      <c r="AR76" s="61">
        <f t="shared" ref="AR76:AR112" si="133">Q.rr_sch*V.supply_typ*f.sw</f>
        <v>50128320000</v>
      </c>
      <c r="AS76" s="61">
        <f t="shared" si="51"/>
        <v>0.46248</v>
      </c>
      <c r="AT76" s="61">
        <f t="shared" si="52"/>
        <v>0.23869935483870966</v>
      </c>
      <c r="AU76" s="63">
        <f t="shared" si="53"/>
        <v>0.41833531127080625</v>
      </c>
      <c r="AV76" s="63">
        <f t="shared" ref="AV76:AV112" si="134">R.s*S76^2</f>
        <v>0.16541356174010666</v>
      </c>
      <c r="AW76" s="63">
        <f t="shared" ref="AW76:AW112" si="135">I.q_IC*V.supply_typ</f>
        <v>2.9760000000000003E-3</v>
      </c>
      <c r="AX76" s="63">
        <f t="shared" ref="AX76:AX112" si="136">IF(ExtVCC=1,  (Q.g_hs+Q.g_ls)*f.sw*V.load, (Q.g_hs+Q.g_ls)*f.sw*V.supply_typ)</f>
        <v>4.1360000000000001E-2</v>
      </c>
      <c r="AY76" s="63">
        <f t="shared" ref="AY76:AY107" si="137">SUM(AW76:AX76)</f>
        <v>4.4336E-2</v>
      </c>
      <c r="AZ76" s="63">
        <f t="shared" ref="AZ76:AZ107" si="138">V76+Y76+AB76+AJ76+AU76+AV76+AY76</f>
        <v>2.7739700244240657</v>
      </c>
      <c r="BA76" s="64">
        <f t="shared" ref="BA76:BA112" si="139">V.load*I76</f>
        <v>25.6</v>
      </c>
      <c r="BB76" s="76">
        <f t="shared" si="54"/>
        <v>0.90223539314250856</v>
      </c>
      <c r="BC76" s="64">
        <f t="shared" si="55"/>
        <v>90.223539314250857</v>
      </c>
      <c r="BD76" s="63">
        <f t="shared" ref="BD76:BD112" si="140">V76</f>
        <v>1.2141758696942462</v>
      </c>
      <c r="BE76" s="63">
        <f t="shared" si="56"/>
        <v>1.2655494622743686</v>
      </c>
      <c r="BF76" s="63">
        <f t="shared" ref="BF76:BF112" si="141">AJ76</f>
        <v>0.84721415100356245</v>
      </c>
      <c r="BG76" s="63">
        <f t="shared" ref="BG76:BG112" si="142">AU76</f>
        <v>0.41833531127080625</v>
      </c>
      <c r="BH76" s="63">
        <f t="shared" ref="BH76:BH112" si="143">AV76</f>
        <v>0.16541356174010666</v>
      </c>
      <c r="BI76" s="63">
        <f t="shared" si="57"/>
        <v>4.4336E-2</v>
      </c>
      <c r="BJ76" s="63">
        <f t="shared" si="58"/>
        <v>5.8170437100131664E-3</v>
      </c>
      <c r="BK76" s="63">
        <f t="shared" si="59"/>
        <v>7.8678087005331049E-2</v>
      </c>
      <c r="BL76" s="63">
        <f t="shared" si="60"/>
        <v>2.7739700244240657</v>
      </c>
      <c r="BQ76" s="77"/>
      <c r="BR76" s="78"/>
    </row>
    <row r="77" spans="3:70" x14ac:dyDescent="0.25">
      <c r="C77" s="61">
        <v>65</v>
      </c>
      <c r="D77" s="61">
        <f t="shared" si="103"/>
        <v>105</v>
      </c>
      <c r="E77" s="61">
        <f t="shared" si="104"/>
        <v>105</v>
      </c>
      <c r="F77" s="61">
        <f t="shared" si="105"/>
        <v>105</v>
      </c>
      <c r="G77" s="73">
        <f t="shared" si="106"/>
        <v>24</v>
      </c>
      <c r="H77" s="64">
        <f t="shared" si="107"/>
        <v>1</v>
      </c>
      <c r="I77" s="63">
        <f t="shared" ref="I77:I112" si="144">I.load*C77/100</f>
        <v>6.5</v>
      </c>
      <c r="J77" s="65">
        <f t="shared" si="108"/>
        <v>8.6117892021752077E-4</v>
      </c>
      <c r="K77" s="65">
        <f t="shared" si="109"/>
        <v>8.6117892021752077E-4</v>
      </c>
      <c r="L77" s="65">
        <f t="shared" si="110"/>
        <v>5.1791610661465239E-3</v>
      </c>
      <c r="M77" s="65">
        <f t="shared" si="111"/>
        <v>4.0000000000000001E-3</v>
      </c>
      <c r="N77" s="63">
        <f t="shared" si="112"/>
        <v>0.16938592541297359</v>
      </c>
      <c r="O77" s="64">
        <f t="shared" si="113"/>
        <v>2.1732505386582592</v>
      </c>
      <c r="P77" s="64">
        <f t="shared" si="114"/>
        <v>7.5866252693291294</v>
      </c>
      <c r="Q77" s="64">
        <f t="shared" si="115"/>
        <v>5.4133747306708706</v>
      </c>
      <c r="R77" s="64">
        <f t="shared" si="116"/>
        <v>0</v>
      </c>
      <c r="S77" s="64">
        <f t="shared" si="117"/>
        <v>6.5302055729750856</v>
      </c>
      <c r="T77" s="63">
        <f t="shared" ref="T77:T112" si="145">S77^2*L77</f>
        <v>0.22085799424818747</v>
      </c>
      <c r="U77" s="63">
        <f t="shared" si="118"/>
        <v>1</v>
      </c>
      <c r="V77" s="63">
        <f t="shared" ref="V77:V112" si="146">U77+T77</f>
        <v>1.2208579942481874</v>
      </c>
      <c r="W77" s="64">
        <f t="shared" ref="W77:W112" si="147">O77/SQRT(12)</f>
        <v>0.62736339175542266</v>
      </c>
      <c r="X77" s="63">
        <f t="shared" si="119"/>
        <v>7.8716965062973598E-2</v>
      </c>
      <c r="Y77" s="63">
        <f t="shared" ref="Y77:Y112" si="148">X77</f>
        <v>7.8716965062973598E-2</v>
      </c>
      <c r="Z77" s="64">
        <f t="shared" si="120"/>
        <v>2.4494306997618698</v>
      </c>
      <c r="AA77" s="74">
        <f t="shared" si="121"/>
        <v>5.9997107529359229E-3</v>
      </c>
      <c r="AB77" s="75">
        <f t="shared" ref="AB77:AB112" si="149">AA77</f>
        <v>5.9997107529359229E-3</v>
      </c>
      <c r="AC77" s="63">
        <f t="shared" si="122"/>
        <v>2.6876054544078074</v>
      </c>
      <c r="AD77" s="63">
        <f t="shared" ref="AD77:AD112" si="150">J77*AC77^2</f>
        <v>6.2204874512868137E-3</v>
      </c>
      <c r="AE77" s="63">
        <f t="shared" si="123"/>
        <v>8.223730026838405E-3</v>
      </c>
      <c r="AF77" s="63">
        <f t="shared" si="124"/>
        <v>0.58335285716376539</v>
      </c>
      <c r="AG77" s="63">
        <f t="shared" si="125"/>
        <v>4.0608000000000005E-2</v>
      </c>
      <c r="AH77" s="63">
        <f t="shared" si="126"/>
        <v>0</v>
      </c>
      <c r="AI77" s="63">
        <f t="shared" ref="AI77:AI112" si="151">AS77*$AJ$6</f>
        <v>0.22378064516129031</v>
      </c>
      <c r="AJ77" s="63">
        <f t="shared" ref="AJ77:AJ112" si="152">(AH77+AG77+AF77+AE77+AI77)</f>
        <v>0.85596523235189403</v>
      </c>
      <c r="AK77" s="63">
        <f t="shared" si="127"/>
        <v>5.9515007978452186</v>
      </c>
      <c r="AL77" s="63">
        <f t="shared" si="128"/>
        <v>3.0503268882782097E-2</v>
      </c>
      <c r="AM77" s="63">
        <f t="shared" si="129"/>
        <v>4.0571228588719907E-2</v>
      </c>
      <c r="AN77" s="63">
        <f t="shared" si="130"/>
        <v>0.14255428898732248</v>
      </c>
      <c r="AO77" s="63">
        <f t="shared" si="131"/>
        <v>791.88907532457642</v>
      </c>
      <c r="AP77" s="63">
        <f t="shared" ref="AP77:AP112" si="153">MIN(AN77:AO77)</f>
        <v>0.14255428898732248</v>
      </c>
      <c r="AQ77" s="61">
        <f t="shared" si="132"/>
        <v>0.46248</v>
      </c>
      <c r="AR77" s="61">
        <f t="shared" si="133"/>
        <v>50128320000</v>
      </c>
      <c r="AS77" s="61">
        <f t="shared" ref="AS77:AS112" si="154">MIN(AQ77:AR77)</f>
        <v>0.46248</v>
      </c>
      <c r="AT77" s="61">
        <f t="shared" ref="AT77:AT112" si="155">AS77*$AJ$7</f>
        <v>0.23869935483870966</v>
      </c>
      <c r="AU77" s="63">
        <f t="shared" ref="AU77:AU112" si="156">AM77+AP77+AT77</f>
        <v>0.42182487241475208</v>
      </c>
      <c r="AV77" s="63">
        <f t="shared" si="134"/>
        <v>0.17057433930125948</v>
      </c>
      <c r="AW77" s="63">
        <f t="shared" si="135"/>
        <v>2.9760000000000003E-3</v>
      </c>
      <c r="AX77" s="63">
        <f t="shared" si="136"/>
        <v>4.1360000000000001E-2</v>
      </c>
      <c r="AY77" s="63">
        <f t="shared" si="137"/>
        <v>4.4336E-2</v>
      </c>
      <c r="AZ77" s="63">
        <f t="shared" si="138"/>
        <v>2.7982751141320024</v>
      </c>
      <c r="BA77" s="64">
        <f t="shared" si="139"/>
        <v>26</v>
      </c>
      <c r="BB77" s="76">
        <f t="shared" ref="BB77:BB112" si="157">BA77/(BA77+AZ77)</f>
        <v>0.9028318500659499</v>
      </c>
      <c r="BC77" s="64">
        <f t="shared" ref="BC77:BC112" si="158">BB77*100</f>
        <v>90.283185006594991</v>
      </c>
      <c r="BD77" s="63">
        <f t="shared" si="140"/>
        <v>1.2208579942481874</v>
      </c>
      <c r="BE77" s="63">
        <f t="shared" ref="BE77:BE112" si="159">BF77+BG77</f>
        <v>1.277790104766646</v>
      </c>
      <c r="BF77" s="63">
        <f t="shared" si="141"/>
        <v>0.85596523235189403</v>
      </c>
      <c r="BG77" s="63">
        <f t="shared" si="142"/>
        <v>0.42182487241475208</v>
      </c>
      <c r="BH77" s="63">
        <f t="shared" si="143"/>
        <v>0.17057433930125948</v>
      </c>
      <c r="BI77" s="63">
        <f t="shared" ref="BI77:BI112" si="160">AY77</f>
        <v>4.4336E-2</v>
      </c>
      <c r="BJ77" s="63">
        <f t="shared" ref="BJ77:BJ112" si="161">AB77</f>
        <v>5.9997107529359229E-3</v>
      </c>
      <c r="BK77" s="63">
        <f t="shared" ref="BK77:BK112" si="162">Y77</f>
        <v>7.8716965062973598E-2</v>
      </c>
      <c r="BL77" s="63">
        <f t="shared" ref="BL77:BL112" si="163">BD77+BF77+BG77+BH77+BI77+BJ77+BK77</f>
        <v>2.7982751141320019</v>
      </c>
      <c r="BQ77" s="77"/>
      <c r="BR77" s="78"/>
    </row>
    <row r="78" spans="3:70" x14ac:dyDescent="0.25">
      <c r="C78" s="61">
        <v>66</v>
      </c>
      <c r="D78" s="61">
        <f t="shared" si="103"/>
        <v>105</v>
      </c>
      <c r="E78" s="61">
        <f t="shared" si="104"/>
        <v>105</v>
      </c>
      <c r="F78" s="61">
        <f t="shared" si="105"/>
        <v>105</v>
      </c>
      <c r="G78" s="73">
        <f t="shared" si="106"/>
        <v>24</v>
      </c>
      <c r="H78" s="64">
        <f t="shared" si="107"/>
        <v>1</v>
      </c>
      <c r="I78" s="63">
        <f t="shared" si="144"/>
        <v>6.6</v>
      </c>
      <c r="J78" s="65">
        <f t="shared" si="108"/>
        <v>8.6117892021752077E-4</v>
      </c>
      <c r="K78" s="65">
        <f t="shared" si="109"/>
        <v>8.6117892021752077E-4</v>
      </c>
      <c r="L78" s="65">
        <f t="shared" si="110"/>
        <v>5.1791610661465239E-3</v>
      </c>
      <c r="M78" s="65">
        <f t="shared" si="111"/>
        <v>4.0000000000000001E-3</v>
      </c>
      <c r="N78" s="63">
        <f t="shared" si="112"/>
        <v>0.1694277601629168</v>
      </c>
      <c r="O78" s="64">
        <f t="shared" si="113"/>
        <v>2.1737872856909721</v>
      </c>
      <c r="P78" s="64">
        <f t="shared" si="114"/>
        <v>7.6868936428454857</v>
      </c>
      <c r="Q78" s="64">
        <f t="shared" si="115"/>
        <v>5.5131063571545136</v>
      </c>
      <c r="R78" s="64">
        <f t="shared" si="116"/>
        <v>0</v>
      </c>
      <c r="S78" s="64">
        <f t="shared" si="117"/>
        <v>6.6297646461710311</v>
      </c>
      <c r="T78" s="63">
        <f t="shared" si="145"/>
        <v>0.22764370227213548</v>
      </c>
      <c r="U78" s="63">
        <f t="shared" si="118"/>
        <v>1</v>
      </c>
      <c r="V78" s="63">
        <f t="shared" si="146"/>
        <v>1.2276437022721356</v>
      </c>
      <c r="W78" s="64">
        <f t="shared" si="147"/>
        <v>0.62751833727733441</v>
      </c>
      <c r="X78" s="63">
        <f t="shared" si="119"/>
        <v>7.8755852723862096E-2</v>
      </c>
      <c r="Y78" s="63">
        <f t="shared" si="148"/>
        <v>7.8755852723862096E-2</v>
      </c>
      <c r="Z78" s="64">
        <f t="shared" si="120"/>
        <v>2.4870189932449209</v>
      </c>
      <c r="AA78" s="74">
        <f t="shared" si="121"/>
        <v>6.1852634727609795E-3</v>
      </c>
      <c r="AB78" s="75">
        <f t="shared" si="149"/>
        <v>6.1852634727609795E-3</v>
      </c>
      <c r="AC78" s="63">
        <f t="shared" si="122"/>
        <v>2.7289174357847981</v>
      </c>
      <c r="AD78" s="63">
        <f t="shared" si="150"/>
        <v>6.413191126852482E-3</v>
      </c>
      <c r="AE78" s="63">
        <f t="shared" si="123"/>
        <v>8.4788977317866252E-3</v>
      </c>
      <c r="AF78" s="63">
        <f t="shared" si="124"/>
        <v>0.59185278182900103</v>
      </c>
      <c r="AG78" s="63">
        <f t="shared" si="125"/>
        <v>4.0608000000000005E-2</v>
      </c>
      <c r="AH78" s="63">
        <f t="shared" si="126"/>
        <v>0</v>
      </c>
      <c r="AI78" s="63">
        <f t="shared" si="151"/>
        <v>0.22378064516129031</v>
      </c>
      <c r="AJ78" s="63">
        <f t="shared" si="152"/>
        <v>0.86472032472207805</v>
      </c>
      <c r="AK78" s="63">
        <f t="shared" si="127"/>
        <v>6.0420848133975262</v>
      </c>
      <c r="AL78" s="63">
        <f t="shared" si="128"/>
        <v>3.1438877038870439E-2</v>
      </c>
      <c r="AM78" s="63">
        <f t="shared" si="129"/>
        <v>4.1825423892303475E-2</v>
      </c>
      <c r="AN78" s="63">
        <f t="shared" si="130"/>
        <v>0.14480927990290099</v>
      </c>
      <c r="AO78" s="63">
        <f t="shared" si="131"/>
        <v>804.41554986061499</v>
      </c>
      <c r="AP78" s="63">
        <f t="shared" si="153"/>
        <v>0.14480927990290099</v>
      </c>
      <c r="AQ78" s="61">
        <f t="shared" si="132"/>
        <v>0.46248</v>
      </c>
      <c r="AR78" s="61">
        <f t="shared" si="133"/>
        <v>50128320000</v>
      </c>
      <c r="AS78" s="61">
        <f t="shared" si="154"/>
        <v>0.46248</v>
      </c>
      <c r="AT78" s="61">
        <f t="shared" si="155"/>
        <v>0.23869935483870966</v>
      </c>
      <c r="AU78" s="63">
        <f t="shared" si="156"/>
        <v>0.42533405863391416</v>
      </c>
      <c r="AV78" s="63">
        <f t="shared" si="134"/>
        <v>0.17581511705447719</v>
      </c>
      <c r="AW78" s="63">
        <f t="shared" si="135"/>
        <v>2.9760000000000003E-3</v>
      </c>
      <c r="AX78" s="63">
        <f t="shared" si="136"/>
        <v>4.1360000000000001E-2</v>
      </c>
      <c r="AY78" s="63">
        <f t="shared" si="137"/>
        <v>4.4336E-2</v>
      </c>
      <c r="AZ78" s="63">
        <f t="shared" si="138"/>
        <v>2.8227903188792278</v>
      </c>
      <c r="BA78" s="64">
        <f t="shared" si="139"/>
        <v>26.4</v>
      </c>
      <c r="BB78" s="76">
        <f t="shared" si="157"/>
        <v>0.90340449053369209</v>
      </c>
      <c r="BC78" s="64">
        <f t="shared" si="158"/>
        <v>90.340449053369213</v>
      </c>
      <c r="BD78" s="63">
        <f t="shared" si="140"/>
        <v>1.2276437022721356</v>
      </c>
      <c r="BE78" s="63">
        <f t="shared" si="159"/>
        <v>1.2900543833559923</v>
      </c>
      <c r="BF78" s="63">
        <f t="shared" si="141"/>
        <v>0.86472032472207805</v>
      </c>
      <c r="BG78" s="63">
        <f t="shared" si="142"/>
        <v>0.42533405863391416</v>
      </c>
      <c r="BH78" s="63">
        <f t="shared" si="143"/>
        <v>0.17581511705447719</v>
      </c>
      <c r="BI78" s="63">
        <f t="shared" si="160"/>
        <v>4.4336E-2</v>
      </c>
      <c r="BJ78" s="63">
        <f t="shared" si="161"/>
        <v>6.1852634727609795E-3</v>
      </c>
      <c r="BK78" s="63">
        <f t="shared" si="162"/>
        <v>7.8755852723862096E-2</v>
      </c>
      <c r="BL78" s="63">
        <f t="shared" si="163"/>
        <v>2.8227903188792283</v>
      </c>
      <c r="BQ78" s="77"/>
      <c r="BR78" s="78"/>
    </row>
    <row r="79" spans="3:70" x14ac:dyDescent="0.25">
      <c r="C79" s="61">
        <v>67</v>
      </c>
      <c r="D79" s="61">
        <f t="shared" si="103"/>
        <v>105</v>
      </c>
      <c r="E79" s="61">
        <f t="shared" si="104"/>
        <v>105</v>
      </c>
      <c r="F79" s="61">
        <f t="shared" si="105"/>
        <v>105</v>
      </c>
      <c r="G79" s="73">
        <f t="shared" si="106"/>
        <v>24</v>
      </c>
      <c r="H79" s="64">
        <f t="shared" si="107"/>
        <v>1</v>
      </c>
      <c r="I79" s="63">
        <f t="shared" si="144"/>
        <v>6.7</v>
      </c>
      <c r="J79" s="65">
        <f t="shared" si="108"/>
        <v>8.6117892021752077E-4</v>
      </c>
      <c r="K79" s="65">
        <f t="shared" si="109"/>
        <v>8.6117892021752077E-4</v>
      </c>
      <c r="L79" s="65">
        <f t="shared" si="110"/>
        <v>5.1791610661465239E-3</v>
      </c>
      <c r="M79" s="65">
        <f t="shared" si="111"/>
        <v>4.0000000000000001E-3</v>
      </c>
      <c r="N79" s="63">
        <f t="shared" si="112"/>
        <v>0.16946959491285996</v>
      </c>
      <c r="O79" s="64">
        <f t="shared" si="113"/>
        <v>2.1743240327236841</v>
      </c>
      <c r="P79" s="64">
        <f t="shared" si="114"/>
        <v>7.787162016361842</v>
      </c>
      <c r="Q79" s="64">
        <f t="shared" si="115"/>
        <v>5.6128379836381583</v>
      </c>
      <c r="R79" s="64">
        <f t="shared" si="116"/>
        <v>0</v>
      </c>
      <c r="S79" s="64">
        <f t="shared" si="117"/>
        <v>6.7293367986704293</v>
      </c>
      <c r="T79" s="63">
        <f t="shared" si="145"/>
        <v>0.23453299376609035</v>
      </c>
      <c r="U79" s="63">
        <f t="shared" si="118"/>
        <v>1</v>
      </c>
      <c r="V79" s="63">
        <f t="shared" si="146"/>
        <v>1.2345329937660903</v>
      </c>
      <c r="W79" s="64">
        <f t="shared" si="147"/>
        <v>0.62767328279924584</v>
      </c>
      <c r="X79" s="63">
        <f t="shared" si="119"/>
        <v>7.8794749987996404E-2</v>
      </c>
      <c r="Y79" s="63">
        <f t="shared" si="148"/>
        <v>7.8794749987996404E-2</v>
      </c>
      <c r="Z79" s="64">
        <f t="shared" si="120"/>
        <v>2.5246194793211862</v>
      </c>
      <c r="AA79" s="74">
        <f t="shared" si="121"/>
        <v>6.373703515367978E-3</v>
      </c>
      <c r="AB79" s="75">
        <f t="shared" si="149"/>
        <v>6.373703515367978E-3</v>
      </c>
      <c r="AC79" s="63">
        <f t="shared" si="122"/>
        <v>2.7702448786067477</v>
      </c>
      <c r="AD79" s="63">
        <f t="shared" si="150"/>
        <v>6.6089080875676217E-3</v>
      </c>
      <c r="AE79" s="63">
        <f t="shared" si="123"/>
        <v>8.7380804699197547E-3</v>
      </c>
      <c r="AF79" s="63">
        <f t="shared" si="124"/>
        <v>0.60035270649423667</v>
      </c>
      <c r="AG79" s="63">
        <f t="shared" si="125"/>
        <v>4.0608000000000005E-2</v>
      </c>
      <c r="AH79" s="63">
        <f t="shared" si="126"/>
        <v>0</v>
      </c>
      <c r="AI79" s="63">
        <f t="shared" si="151"/>
        <v>0.22378064516129031</v>
      </c>
      <c r="AJ79" s="63">
        <f t="shared" si="152"/>
        <v>0.87347943212544665</v>
      </c>
      <c r="AK79" s="63">
        <f t="shared" si="127"/>
        <v>6.132676174598906</v>
      </c>
      <c r="AL79" s="63">
        <f t="shared" si="128"/>
        <v>3.2388695529564249E-2</v>
      </c>
      <c r="AM79" s="63">
        <f t="shared" si="129"/>
        <v>4.3099268512201187E-2</v>
      </c>
      <c r="AN79" s="63">
        <f t="shared" si="130"/>
        <v>0.1470642708184795</v>
      </c>
      <c r="AO79" s="63">
        <f t="shared" si="131"/>
        <v>816.94202439665355</v>
      </c>
      <c r="AP79" s="63">
        <f t="shared" si="153"/>
        <v>0.1470642708184795</v>
      </c>
      <c r="AQ79" s="61">
        <f t="shared" si="132"/>
        <v>0.46248</v>
      </c>
      <c r="AR79" s="61">
        <f t="shared" si="133"/>
        <v>50128320000</v>
      </c>
      <c r="AS79" s="61">
        <f t="shared" si="154"/>
        <v>0.46248</v>
      </c>
      <c r="AT79" s="61">
        <f t="shared" si="155"/>
        <v>0.23869935483870966</v>
      </c>
      <c r="AU79" s="63">
        <f t="shared" si="156"/>
        <v>0.42886289416939039</v>
      </c>
      <c r="AV79" s="63">
        <f t="shared" si="134"/>
        <v>0.18113589499975993</v>
      </c>
      <c r="AW79" s="63">
        <f t="shared" si="135"/>
        <v>2.9760000000000003E-3</v>
      </c>
      <c r="AX79" s="63">
        <f t="shared" si="136"/>
        <v>4.1360000000000001E-2</v>
      </c>
      <c r="AY79" s="63">
        <f t="shared" si="137"/>
        <v>4.4336E-2</v>
      </c>
      <c r="AZ79" s="63">
        <f t="shared" si="138"/>
        <v>2.8475156685640512</v>
      </c>
      <c r="BA79" s="64">
        <f t="shared" si="139"/>
        <v>26.8</v>
      </c>
      <c r="BB79" s="76">
        <f t="shared" si="157"/>
        <v>0.90395432452428592</v>
      </c>
      <c r="BC79" s="64">
        <f t="shared" si="158"/>
        <v>90.395432452428594</v>
      </c>
      <c r="BD79" s="63">
        <f t="shared" si="140"/>
        <v>1.2345329937660903</v>
      </c>
      <c r="BE79" s="63">
        <f t="shared" si="159"/>
        <v>1.302342326294837</v>
      </c>
      <c r="BF79" s="63">
        <f t="shared" si="141"/>
        <v>0.87347943212544665</v>
      </c>
      <c r="BG79" s="63">
        <f t="shared" si="142"/>
        <v>0.42886289416939039</v>
      </c>
      <c r="BH79" s="63">
        <f t="shared" si="143"/>
        <v>0.18113589499975993</v>
      </c>
      <c r="BI79" s="63">
        <f t="shared" si="160"/>
        <v>4.4336E-2</v>
      </c>
      <c r="BJ79" s="63">
        <f t="shared" si="161"/>
        <v>6.373703515367978E-3</v>
      </c>
      <c r="BK79" s="63">
        <f t="shared" si="162"/>
        <v>7.8794749987996404E-2</v>
      </c>
      <c r="BL79" s="63">
        <f t="shared" si="163"/>
        <v>2.8475156685640517</v>
      </c>
      <c r="BQ79" s="77"/>
      <c r="BR79" s="78"/>
    </row>
    <row r="80" spans="3:70" x14ac:dyDescent="0.25">
      <c r="C80" s="61">
        <v>68</v>
      </c>
      <c r="D80" s="61">
        <f t="shared" si="103"/>
        <v>105</v>
      </c>
      <c r="E80" s="61">
        <f t="shared" si="104"/>
        <v>105</v>
      </c>
      <c r="F80" s="61">
        <f t="shared" si="105"/>
        <v>105</v>
      </c>
      <c r="G80" s="73">
        <f t="shared" si="106"/>
        <v>24</v>
      </c>
      <c r="H80" s="64">
        <f t="shared" si="107"/>
        <v>1</v>
      </c>
      <c r="I80" s="63">
        <f t="shared" si="144"/>
        <v>6.8</v>
      </c>
      <c r="J80" s="65">
        <f t="shared" si="108"/>
        <v>8.6117892021752077E-4</v>
      </c>
      <c r="K80" s="65">
        <f t="shared" si="109"/>
        <v>8.6117892021752077E-4</v>
      </c>
      <c r="L80" s="65">
        <f t="shared" si="110"/>
        <v>5.1791610661465239E-3</v>
      </c>
      <c r="M80" s="65">
        <f t="shared" si="111"/>
        <v>4.0000000000000001E-3</v>
      </c>
      <c r="N80" s="63">
        <f t="shared" si="112"/>
        <v>0.16951142966280316</v>
      </c>
      <c r="O80" s="64">
        <f t="shared" si="113"/>
        <v>2.1748607797563966</v>
      </c>
      <c r="P80" s="64">
        <f t="shared" si="114"/>
        <v>7.8874303898781983</v>
      </c>
      <c r="Q80" s="64">
        <f t="shared" si="115"/>
        <v>5.7125696101218013</v>
      </c>
      <c r="R80" s="64">
        <f t="shared" si="116"/>
        <v>0</v>
      </c>
      <c r="S80" s="64">
        <f t="shared" si="117"/>
        <v>6.8289214583473488</v>
      </c>
      <c r="T80" s="63">
        <f t="shared" si="145"/>
        <v>0.24152586873005186</v>
      </c>
      <c r="U80" s="63">
        <f t="shared" si="118"/>
        <v>1</v>
      </c>
      <c r="V80" s="63">
        <f t="shared" si="146"/>
        <v>1.2415258687300519</v>
      </c>
      <c r="W80" s="64">
        <f t="shared" si="147"/>
        <v>0.62782822832115748</v>
      </c>
      <c r="X80" s="63">
        <f t="shared" si="119"/>
        <v>7.8833656855376688E-2</v>
      </c>
      <c r="Y80" s="63">
        <f t="shared" si="148"/>
        <v>7.8833656855376688E-2</v>
      </c>
      <c r="Z80" s="64">
        <f t="shared" si="120"/>
        <v>2.5622319423144577</v>
      </c>
      <c r="AA80" s="74">
        <f t="shared" si="121"/>
        <v>6.5650325262165193E-3</v>
      </c>
      <c r="AB80" s="75">
        <f t="shared" si="149"/>
        <v>6.5650325262165193E-3</v>
      </c>
      <c r="AC80" s="63">
        <f t="shared" si="122"/>
        <v>2.8115875474549119</v>
      </c>
      <c r="AD80" s="63">
        <f t="shared" si="150"/>
        <v>6.8076404950697033E-3</v>
      </c>
      <c r="AE80" s="63">
        <f t="shared" si="123"/>
        <v>9.0012822719300924E-3</v>
      </c>
      <c r="AF80" s="63">
        <f t="shared" si="124"/>
        <v>0.6088526311594723</v>
      </c>
      <c r="AG80" s="63">
        <f t="shared" si="125"/>
        <v>4.0608000000000005E-2</v>
      </c>
      <c r="AH80" s="63">
        <f t="shared" si="126"/>
        <v>0</v>
      </c>
      <c r="AI80" s="63">
        <f t="shared" si="151"/>
        <v>0.22378064516129031</v>
      </c>
      <c r="AJ80" s="63">
        <f t="shared" si="152"/>
        <v>0.88224255859269274</v>
      </c>
      <c r="AK80" s="63">
        <f t="shared" si="127"/>
        <v>6.2232743589908806</v>
      </c>
      <c r="AL80" s="63">
        <f t="shared" si="128"/>
        <v>3.3352722193226013E-2</v>
      </c>
      <c r="AM80" s="63">
        <f t="shared" si="129"/>
        <v>4.4392787128586061E-2</v>
      </c>
      <c r="AN80" s="63">
        <f t="shared" si="130"/>
        <v>0.14931926173405799</v>
      </c>
      <c r="AO80" s="63">
        <f t="shared" si="131"/>
        <v>829.46849893269211</v>
      </c>
      <c r="AP80" s="63">
        <f t="shared" si="153"/>
        <v>0.14931926173405799</v>
      </c>
      <c r="AQ80" s="61">
        <f t="shared" si="132"/>
        <v>0.46248</v>
      </c>
      <c r="AR80" s="61">
        <f t="shared" si="133"/>
        <v>50128320000</v>
      </c>
      <c r="AS80" s="61">
        <f t="shared" si="154"/>
        <v>0.46248</v>
      </c>
      <c r="AT80" s="61">
        <f t="shared" si="155"/>
        <v>0.23869935483870966</v>
      </c>
      <c r="AU80" s="63">
        <f t="shared" si="156"/>
        <v>0.43241140370135367</v>
      </c>
      <c r="AV80" s="63">
        <f t="shared" si="134"/>
        <v>0.18653667313710753</v>
      </c>
      <c r="AW80" s="63">
        <f t="shared" si="135"/>
        <v>2.9760000000000003E-3</v>
      </c>
      <c r="AX80" s="63">
        <f t="shared" si="136"/>
        <v>4.1360000000000001E-2</v>
      </c>
      <c r="AY80" s="63">
        <f t="shared" si="137"/>
        <v>4.4336E-2</v>
      </c>
      <c r="AZ80" s="63">
        <f t="shared" si="138"/>
        <v>2.872451193542799</v>
      </c>
      <c r="BA80" s="64">
        <f t="shared" si="139"/>
        <v>27.2</v>
      </c>
      <c r="BB80" s="76">
        <f t="shared" si="157"/>
        <v>0.90448230591327472</v>
      </c>
      <c r="BC80" s="64">
        <f t="shared" si="158"/>
        <v>90.448230591327473</v>
      </c>
      <c r="BD80" s="63">
        <f t="shared" si="140"/>
        <v>1.2415258687300519</v>
      </c>
      <c r="BE80" s="63">
        <f t="shared" si="159"/>
        <v>1.3146539622940465</v>
      </c>
      <c r="BF80" s="63">
        <f t="shared" si="141"/>
        <v>0.88224255859269274</v>
      </c>
      <c r="BG80" s="63">
        <f t="shared" si="142"/>
        <v>0.43241140370135367</v>
      </c>
      <c r="BH80" s="63">
        <f t="shared" si="143"/>
        <v>0.18653667313710753</v>
      </c>
      <c r="BI80" s="63">
        <f t="shared" si="160"/>
        <v>4.4336E-2</v>
      </c>
      <c r="BJ80" s="63">
        <f t="shared" si="161"/>
        <v>6.5650325262165193E-3</v>
      </c>
      <c r="BK80" s="63">
        <f t="shared" si="162"/>
        <v>7.8833656855376688E-2</v>
      </c>
      <c r="BL80" s="63">
        <f t="shared" si="163"/>
        <v>2.872451193542799</v>
      </c>
      <c r="BQ80" s="77"/>
      <c r="BR80" s="78"/>
    </row>
    <row r="81" spans="3:70" x14ac:dyDescent="0.25">
      <c r="C81" s="61">
        <v>69</v>
      </c>
      <c r="D81" s="61">
        <f t="shared" si="103"/>
        <v>105</v>
      </c>
      <c r="E81" s="61">
        <f t="shared" si="104"/>
        <v>105</v>
      </c>
      <c r="F81" s="61">
        <f t="shared" si="105"/>
        <v>105</v>
      </c>
      <c r="G81" s="73">
        <f t="shared" si="106"/>
        <v>24</v>
      </c>
      <c r="H81" s="64">
        <f t="shared" si="107"/>
        <v>1</v>
      </c>
      <c r="I81" s="63">
        <f t="shared" si="144"/>
        <v>6.9</v>
      </c>
      <c r="J81" s="65">
        <f t="shared" si="108"/>
        <v>8.6117892021752077E-4</v>
      </c>
      <c r="K81" s="65">
        <f t="shared" si="109"/>
        <v>8.6117892021752077E-4</v>
      </c>
      <c r="L81" s="65">
        <f t="shared" si="110"/>
        <v>5.1791610661465239E-3</v>
      </c>
      <c r="M81" s="65">
        <f t="shared" si="111"/>
        <v>4.0000000000000001E-3</v>
      </c>
      <c r="N81" s="63">
        <f t="shared" si="112"/>
        <v>0.16955326441274632</v>
      </c>
      <c r="O81" s="64">
        <f t="shared" si="113"/>
        <v>2.175397526789109</v>
      </c>
      <c r="P81" s="64">
        <f t="shared" si="114"/>
        <v>7.9876987633945546</v>
      </c>
      <c r="Q81" s="64">
        <f t="shared" si="115"/>
        <v>5.8123012366054461</v>
      </c>
      <c r="R81" s="64">
        <f t="shared" si="116"/>
        <v>0</v>
      </c>
      <c r="S81" s="64">
        <f t="shared" si="117"/>
        <v>6.9285180858990341</v>
      </c>
      <c r="T81" s="63">
        <f t="shared" si="145"/>
        <v>0.24862232716402013</v>
      </c>
      <c r="U81" s="63">
        <f t="shared" si="118"/>
        <v>1</v>
      </c>
      <c r="V81" s="63">
        <f t="shared" si="146"/>
        <v>1.2486223271640202</v>
      </c>
      <c r="W81" s="64">
        <f t="shared" si="147"/>
        <v>0.62798317384306912</v>
      </c>
      <c r="X81" s="63">
        <f t="shared" si="119"/>
        <v>7.8872573326002879E-2</v>
      </c>
      <c r="Y81" s="63">
        <f t="shared" si="148"/>
        <v>7.8872573326002879E-2</v>
      </c>
      <c r="Z81" s="64">
        <f t="shared" si="120"/>
        <v>2.5998561787810828</v>
      </c>
      <c r="AA81" s="74">
        <f t="shared" si="121"/>
        <v>6.7592521503461742E-3</v>
      </c>
      <c r="AB81" s="75">
        <f t="shared" si="149"/>
        <v>6.7592521503461742E-3</v>
      </c>
      <c r="AC81" s="63">
        <f t="shared" si="122"/>
        <v>2.8529452203102568</v>
      </c>
      <c r="AD81" s="63">
        <f t="shared" si="150"/>
        <v>7.0093905109962088E-3</v>
      </c>
      <c r="AE81" s="63">
        <f t="shared" si="123"/>
        <v>9.2685071879258663E-3</v>
      </c>
      <c r="AF81" s="63">
        <f t="shared" si="124"/>
        <v>0.61735255582470794</v>
      </c>
      <c r="AG81" s="63">
        <f t="shared" si="125"/>
        <v>4.0608000000000005E-2</v>
      </c>
      <c r="AH81" s="63">
        <f t="shared" si="126"/>
        <v>0</v>
      </c>
      <c r="AI81" s="63">
        <f t="shared" si="151"/>
        <v>0.22378064516129031</v>
      </c>
      <c r="AJ81" s="63">
        <f t="shared" si="152"/>
        <v>0.89100970817392411</v>
      </c>
      <c r="AK81" s="63">
        <f t="shared" si="127"/>
        <v>6.3138788740788234</v>
      </c>
      <c r="AL81" s="63">
        <f t="shared" si="128"/>
        <v>3.4330954868218272E-2</v>
      </c>
      <c r="AM81" s="63">
        <f t="shared" si="129"/>
        <v>4.5706004861998835E-2</v>
      </c>
      <c r="AN81" s="63">
        <f t="shared" si="130"/>
        <v>0.1515742526496365</v>
      </c>
      <c r="AO81" s="63">
        <f t="shared" si="131"/>
        <v>841.99497346873079</v>
      </c>
      <c r="AP81" s="63">
        <f t="shared" si="153"/>
        <v>0.1515742526496365</v>
      </c>
      <c r="AQ81" s="61">
        <f t="shared" si="132"/>
        <v>0.46248</v>
      </c>
      <c r="AR81" s="61">
        <f t="shared" si="133"/>
        <v>50128320000</v>
      </c>
      <c r="AS81" s="61">
        <f t="shared" si="154"/>
        <v>0.46248</v>
      </c>
      <c r="AT81" s="61">
        <f t="shared" si="155"/>
        <v>0.23869935483870966</v>
      </c>
      <c r="AU81" s="63">
        <f t="shared" si="156"/>
        <v>0.43597961235034499</v>
      </c>
      <c r="AV81" s="63">
        <f t="shared" si="134"/>
        <v>0.19201745146652008</v>
      </c>
      <c r="AW81" s="63">
        <f t="shared" si="135"/>
        <v>2.9760000000000003E-3</v>
      </c>
      <c r="AX81" s="63">
        <f t="shared" si="136"/>
        <v>4.1360000000000001E-2</v>
      </c>
      <c r="AY81" s="63">
        <f t="shared" si="137"/>
        <v>4.4336E-2</v>
      </c>
      <c r="AZ81" s="63">
        <f t="shared" si="138"/>
        <v>2.8975969246311588</v>
      </c>
      <c r="BA81" s="64">
        <f t="shared" si="139"/>
        <v>27.6</v>
      </c>
      <c r="BB81" s="76">
        <f t="shared" si="157"/>
        <v>0.90498933631420198</v>
      </c>
      <c r="BC81" s="64">
        <f t="shared" si="158"/>
        <v>90.498933631420201</v>
      </c>
      <c r="BD81" s="63">
        <f t="shared" si="140"/>
        <v>1.2486223271640202</v>
      </c>
      <c r="BE81" s="63">
        <f t="shared" si="159"/>
        <v>1.3269893205242691</v>
      </c>
      <c r="BF81" s="63">
        <f t="shared" si="141"/>
        <v>0.89100970817392411</v>
      </c>
      <c r="BG81" s="63">
        <f t="shared" si="142"/>
        <v>0.43597961235034499</v>
      </c>
      <c r="BH81" s="63">
        <f t="shared" si="143"/>
        <v>0.19201745146652008</v>
      </c>
      <c r="BI81" s="63">
        <f t="shared" si="160"/>
        <v>4.4336E-2</v>
      </c>
      <c r="BJ81" s="63">
        <f t="shared" si="161"/>
        <v>6.7592521503461742E-3</v>
      </c>
      <c r="BK81" s="63">
        <f t="shared" si="162"/>
        <v>7.8872573326002879E-2</v>
      </c>
      <c r="BL81" s="63">
        <f t="shared" si="163"/>
        <v>2.8975969246311579</v>
      </c>
      <c r="BQ81" s="77"/>
      <c r="BR81" s="78"/>
    </row>
    <row r="82" spans="3:70" x14ac:dyDescent="0.25">
      <c r="C82" s="61">
        <v>70</v>
      </c>
      <c r="D82" s="61">
        <f t="shared" si="103"/>
        <v>105</v>
      </c>
      <c r="E82" s="61">
        <f t="shared" si="104"/>
        <v>105</v>
      </c>
      <c r="F82" s="61">
        <f t="shared" si="105"/>
        <v>105</v>
      </c>
      <c r="G82" s="73">
        <f t="shared" si="106"/>
        <v>24</v>
      </c>
      <c r="H82" s="64">
        <f t="shared" si="107"/>
        <v>1</v>
      </c>
      <c r="I82" s="63">
        <f t="shared" si="144"/>
        <v>7</v>
      </c>
      <c r="J82" s="65">
        <f t="shared" si="108"/>
        <v>8.6117892021752077E-4</v>
      </c>
      <c r="K82" s="65">
        <f t="shared" si="109"/>
        <v>8.6117892021752077E-4</v>
      </c>
      <c r="L82" s="65">
        <f t="shared" si="110"/>
        <v>5.1791610661465239E-3</v>
      </c>
      <c r="M82" s="65">
        <f t="shared" si="111"/>
        <v>4.0000000000000001E-3</v>
      </c>
      <c r="N82" s="63">
        <f t="shared" si="112"/>
        <v>0.16959509916268953</v>
      </c>
      <c r="O82" s="64">
        <f t="shared" si="113"/>
        <v>2.1759342738218215</v>
      </c>
      <c r="P82" s="64">
        <f t="shared" si="114"/>
        <v>8.0879671369109101</v>
      </c>
      <c r="Q82" s="64">
        <f t="shared" si="115"/>
        <v>5.912032863089089</v>
      </c>
      <c r="R82" s="64">
        <f t="shared" si="116"/>
        <v>0</v>
      </c>
      <c r="S82" s="64">
        <f t="shared" si="117"/>
        <v>7.0281261725298707</v>
      </c>
      <c r="T82" s="63">
        <f t="shared" si="145"/>
        <v>0.25582236906799505</v>
      </c>
      <c r="U82" s="63">
        <f t="shared" si="118"/>
        <v>1</v>
      </c>
      <c r="V82" s="63">
        <f t="shared" si="146"/>
        <v>1.255822369067995</v>
      </c>
      <c r="W82" s="64">
        <f t="shared" si="147"/>
        <v>0.62813811936498076</v>
      </c>
      <c r="X82" s="63">
        <f t="shared" si="119"/>
        <v>7.8911499399874963E-2</v>
      </c>
      <c r="Y82" s="63">
        <f t="shared" si="148"/>
        <v>7.8911499399874963E-2</v>
      </c>
      <c r="Z82" s="64">
        <f t="shared" si="120"/>
        <v>2.6374919966469044</v>
      </c>
      <c r="AA82" s="74">
        <f t="shared" si="121"/>
        <v>6.9563640323764744E-3</v>
      </c>
      <c r="AB82" s="75">
        <f t="shared" si="149"/>
        <v>6.9563640323764744E-3</v>
      </c>
      <c r="AC82" s="63">
        <f t="shared" si="122"/>
        <v>2.8943176876080443</v>
      </c>
      <c r="AD82" s="63">
        <f t="shared" si="150"/>
        <v>7.214160296984613E-3</v>
      </c>
      <c r="AE82" s="63">
        <f t="shared" si="123"/>
        <v>9.5397592874879467E-3</v>
      </c>
      <c r="AF82" s="63">
        <f t="shared" si="124"/>
        <v>0.62585248048994346</v>
      </c>
      <c r="AG82" s="63">
        <f t="shared" si="125"/>
        <v>4.0608000000000005E-2</v>
      </c>
      <c r="AH82" s="63">
        <f t="shared" si="126"/>
        <v>0</v>
      </c>
      <c r="AI82" s="63">
        <f t="shared" si="151"/>
        <v>0.22378064516129031</v>
      </c>
      <c r="AJ82" s="63">
        <f t="shared" si="152"/>
        <v>0.89978088493872166</v>
      </c>
      <c r="AK82" s="63">
        <f t="shared" si="127"/>
        <v>6.4044892552176709</v>
      </c>
      <c r="AL82" s="63">
        <f t="shared" si="128"/>
        <v>3.5323391392903553E-2</v>
      </c>
      <c r="AM82" s="63">
        <f t="shared" si="129"/>
        <v>4.7038947274665399E-2</v>
      </c>
      <c r="AN82" s="63">
        <f t="shared" si="130"/>
        <v>0.15382924356521499</v>
      </c>
      <c r="AO82" s="63">
        <f t="shared" si="131"/>
        <v>854.52144800476913</v>
      </c>
      <c r="AP82" s="63">
        <f t="shared" si="153"/>
        <v>0.15382924356521499</v>
      </c>
      <c r="AQ82" s="61">
        <f t="shared" si="132"/>
        <v>0.46248</v>
      </c>
      <c r="AR82" s="61">
        <f t="shared" si="133"/>
        <v>50128320000</v>
      </c>
      <c r="AS82" s="61">
        <f t="shared" si="154"/>
        <v>0.46248</v>
      </c>
      <c r="AT82" s="61">
        <f t="shared" si="155"/>
        <v>0.23869935483870966</v>
      </c>
      <c r="AU82" s="63">
        <f t="shared" si="156"/>
        <v>0.43956754567859002</v>
      </c>
      <c r="AV82" s="63">
        <f t="shared" si="134"/>
        <v>0.19757822998799748</v>
      </c>
      <c r="AW82" s="63">
        <f t="shared" si="135"/>
        <v>2.9760000000000003E-3</v>
      </c>
      <c r="AX82" s="63">
        <f t="shared" si="136"/>
        <v>4.1360000000000001E-2</v>
      </c>
      <c r="AY82" s="63">
        <f t="shared" si="137"/>
        <v>4.4336E-2</v>
      </c>
      <c r="AZ82" s="63">
        <f t="shared" si="138"/>
        <v>2.9229528931055557</v>
      </c>
      <c r="BA82" s="64">
        <f t="shared" si="139"/>
        <v>28</v>
      </c>
      <c r="BB82" s="76">
        <f t="shared" si="157"/>
        <v>0.90547626860831765</v>
      </c>
      <c r="BC82" s="64">
        <f t="shared" si="158"/>
        <v>90.54762686083177</v>
      </c>
      <c r="BD82" s="63">
        <f t="shared" si="140"/>
        <v>1.255822369067995</v>
      </c>
      <c r="BE82" s="63">
        <f t="shared" si="159"/>
        <v>1.3393484306173118</v>
      </c>
      <c r="BF82" s="63">
        <f t="shared" si="141"/>
        <v>0.89978088493872166</v>
      </c>
      <c r="BG82" s="63">
        <f t="shared" si="142"/>
        <v>0.43956754567859002</v>
      </c>
      <c r="BH82" s="63">
        <f t="shared" si="143"/>
        <v>0.19757822998799748</v>
      </c>
      <c r="BI82" s="63">
        <f t="shared" si="160"/>
        <v>4.4336E-2</v>
      </c>
      <c r="BJ82" s="63">
        <f t="shared" si="161"/>
        <v>6.9563640323764744E-3</v>
      </c>
      <c r="BK82" s="63">
        <f t="shared" si="162"/>
        <v>7.8911499399874963E-2</v>
      </c>
      <c r="BL82" s="63">
        <f t="shared" si="163"/>
        <v>2.9229528931055557</v>
      </c>
      <c r="BQ82" s="77"/>
      <c r="BR82" s="78"/>
    </row>
    <row r="83" spans="3:70" x14ac:dyDescent="0.25">
      <c r="C83" s="61">
        <v>71</v>
      </c>
      <c r="D83" s="61">
        <f t="shared" si="103"/>
        <v>105</v>
      </c>
      <c r="E83" s="61">
        <f t="shared" si="104"/>
        <v>105</v>
      </c>
      <c r="F83" s="61">
        <f t="shared" si="105"/>
        <v>105</v>
      </c>
      <c r="G83" s="73">
        <f t="shared" si="106"/>
        <v>24</v>
      </c>
      <c r="H83" s="64">
        <f t="shared" si="107"/>
        <v>1</v>
      </c>
      <c r="I83" s="63">
        <f t="shared" si="144"/>
        <v>7.1</v>
      </c>
      <c r="J83" s="65">
        <f t="shared" si="108"/>
        <v>8.6117892021752077E-4</v>
      </c>
      <c r="K83" s="65">
        <f t="shared" si="109"/>
        <v>8.6117892021752077E-4</v>
      </c>
      <c r="L83" s="65">
        <f t="shared" si="110"/>
        <v>5.1791610661465239E-3</v>
      </c>
      <c r="M83" s="65">
        <f t="shared" si="111"/>
        <v>4.0000000000000001E-3</v>
      </c>
      <c r="N83" s="63">
        <f t="shared" si="112"/>
        <v>0.16963693391263268</v>
      </c>
      <c r="O83" s="64">
        <f t="shared" si="113"/>
        <v>2.1764710208545335</v>
      </c>
      <c r="P83" s="64">
        <f t="shared" si="114"/>
        <v>8.1882355104272655</v>
      </c>
      <c r="Q83" s="64">
        <f t="shared" si="115"/>
        <v>6.0117644895727329</v>
      </c>
      <c r="R83" s="64">
        <f t="shared" si="116"/>
        <v>0</v>
      </c>
      <c r="S83" s="64">
        <f t="shared" si="117"/>
        <v>7.1277452378283668</v>
      </c>
      <c r="T83" s="63">
        <f t="shared" si="145"/>
        <v>0.26312599444197671</v>
      </c>
      <c r="U83" s="63">
        <f t="shared" si="118"/>
        <v>1</v>
      </c>
      <c r="V83" s="63">
        <f t="shared" si="146"/>
        <v>1.2631259944419768</v>
      </c>
      <c r="W83" s="64">
        <f t="shared" si="147"/>
        <v>0.62829306488689229</v>
      </c>
      <c r="X83" s="63">
        <f t="shared" si="119"/>
        <v>7.8950435076992939E-2</v>
      </c>
      <c r="Y83" s="63">
        <f t="shared" si="148"/>
        <v>7.8950435076992939E-2</v>
      </c>
      <c r="Z83" s="64">
        <f t="shared" si="120"/>
        <v>2.6751392144161237</v>
      </c>
      <c r="AA83" s="74">
        <f t="shared" si="121"/>
        <v>7.1563698165069151E-3</v>
      </c>
      <c r="AB83" s="75">
        <f t="shared" si="149"/>
        <v>7.1563698165069151E-3</v>
      </c>
      <c r="AC83" s="63">
        <f t="shared" si="122"/>
        <v>2.9357047513712033</v>
      </c>
      <c r="AD83" s="63">
        <f t="shared" si="150"/>
        <v>7.4219520146723925E-3</v>
      </c>
      <c r="AE83" s="63">
        <f t="shared" si="123"/>
        <v>9.815042659726889E-3</v>
      </c>
      <c r="AF83" s="63">
        <f t="shared" si="124"/>
        <v>0.6343524051551791</v>
      </c>
      <c r="AG83" s="63">
        <f t="shared" si="125"/>
        <v>4.0608000000000005E-2</v>
      </c>
      <c r="AH83" s="63">
        <f t="shared" si="126"/>
        <v>0</v>
      </c>
      <c r="AI83" s="63">
        <f t="shared" si="151"/>
        <v>0.22378064516129031</v>
      </c>
      <c r="AJ83" s="63">
        <f t="shared" si="152"/>
        <v>0.90855609297619622</v>
      </c>
      <c r="AK83" s="63">
        <f t="shared" si="127"/>
        <v>6.4951050636738357</v>
      </c>
      <c r="AL83" s="63">
        <f t="shared" si="128"/>
        <v>3.6330029605644361E-2</v>
      </c>
      <c r="AM83" s="63">
        <f t="shared" si="129"/>
        <v>4.8391640371839462E-2</v>
      </c>
      <c r="AN83" s="63">
        <f t="shared" si="130"/>
        <v>0.1560842344807935</v>
      </c>
      <c r="AO83" s="63">
        <f t="shared" si="131"/>
        <v>867.0479225408078</v>
      </c>
      <c r="AP83" s="63">
        <f t="shared" si="153"/>
        <v>0.1560842344807935</v>
      </c>
      <c r="AQ83" s="61">
        <f t="shared" si="132"/>
        <v>0.46248</v>
      </c>
      <c r="AR83" s="61">
        <f t="shared" si="133"/>
        <v>50128320000</v>
      </c>
      <c r="AS83" s="61">
        <f t="shared" si="154"/>
        <v>0.46248</v>
      </c>
      <c r="AT83" s="61">
        <f t="shared" si="155"/>
        <v>0.23869935483870966</v>
      </c>
      <c r="AU83" s="63">
        <f t="shared" si="156"/>
        <v>0.4431752296913426</v>
      </c>
      <c r="AV83" s="63">
        <f t="shared" si="134"/>
        <v>0.20321900870153986</v>
      </c>
      <c r="AW83" s="63">
        <f t="shared" si="135"/>
        <v>2.9760000000000003E-3</v>
      </c>
      <c r="AX83" s="63">
        <f t="shared" si="136"/>
        <v>4.1360000000000001E-2</v>
      </c>
      <c r="AY83" s="63">
        <f t="shared" si="137"/>
        <v>4.4336E-2</v>
      </c>
      <c r="AZ83" s="63">
        <f t="shared" si="138"/>
        <v>2.9485191307045553</v>
      </c>
      <c r="BA83" s="64">
        <f t="shared" si="139"/>
        <v>28.4</v>
      </c>
      <c r="BB83" s="76">
        <f t="shared" si="157"/>
        <v>0.90594391019202547</v>
      </c>
      <c r="BC83" s="64">
        <f t="shared" si="158"/>
        <v>90.594391019202547</v>
      </c>
      <c r="BD83" s="63">
        <f t="shared" si="140"/>
        <v>1.2631259944419768</v>
      </c>
      <c r="BE83" s="63">
        <f t="shared" si="159"/>
        <v>1.3517313226675389</v>
      </c>
      <c r="BF83" s="63">
        <f t="shared" si="141"/>
        <v>0.90855609297619622</v>
      </c>
      <c r="BG83" s="63">
        <f t="shared" si="142"/>
        <v>0.4431752296913426</v>
      </c>
      <c r="BH83" s="63">
        <f t="shared" si="143"/>
        <v>0.20321900870153986</v>
      </c>
      <c r="BI83" s="63">
        <f t="shared" si="160"/>
        <v>4.4336E-2</v>
      </c>
      <c r="BJ83" s="63">
        <f t="shared" si="161"/>
        <v>7.1563698165069151E-3</v>
      </c>
      <c r="BK83" s="63">
        <f t="shared" si="162"/>
        <v>7.8950435076992939E-2</v>
      </c>
      <c r="BL83" s="63">
        <f t="shared" si="163"/>
        <v>2.9485191307045548</v>
      </c>
      <c r="BQ83" s="77"/>
      <c r="BR83" s="78"/>
    </row>
    <row r="84" spans="3:70" x14ac:dyDescent="0.25">
      <c r="C84" s="61">
        <v>72</v>
      </c>
      <c r="D84" s="61">
        <f t="shared" si="103"/>
        <v>105</v>
      </c>
      <c r="E84" s="61">
        <f t="shared" si="104"/>
        <v>105</v>
      </c>
      <c r="F84" s="61">
        <f t="shared" si="105"/>
        <v>105</v>
      </c>
      <c r="G84" s="73">
        <f t="shared" si="106"/>
        <v>24</v>
      </c>
      <c r="H84" s="64">
        <f t="shared" si="107"/>
        <v>1</v>
      </c>
      <c r="I84" s="63">
        <f t="shared" si="144"/>
        <v>7.2</v>
      </c>
      <c r="J84" s="65">
        <f t="shared" si="108"/>
        <v>8.6117892021752077E-4</v>
      </c>
      <c r="K84" s="65">
        <f t="shared" si="109"/>
        <v>8.6117892021752077E-4</v>
      </c>
      <c r="L84" s="65">
        <f t="shared" si="110"/>
        <v>5.1791610661465239E-3</v>
      </c>
      <c r="M84" s="65">
        <f t="shared" si="111"/>
        <v>4.0000000000000001E-3</v>
      </c>
      <c r="N84" s="63">
        <f t="shared" si="112"/>
        <v>0.16967876866257589</v>
      </c>
      <c r="O84" s="64">
        <f t="shared" si="113"/>
        <v>2.1770077678872464</v>
      </c>
      <c r="P84" s="64">
        <f t="shared" si="114"/>
        <v>8.2885038839436227</v>
      </c>
      <c r="Q84" s="64">
        <f t="shared" si="115"/>
        <v>6.1114961160563768</v>
      </c>
      <c r="R84" s="64">
        <f t="shared" si="116"/>
        <v>0</v>
      </c>
      <c r="S84" s="64">
        <f t="shared" si="117"/>
        <v>7.2273748278186583</v>
      </c>
      <c r="T84" s="63">
        <f t="shared" si="145"/>
        <v>0.27053320328596508</v>
      </c>
      <c r="U84" s="63">
        <f t="shared" si="118"/>
        <v>1</v>
      </c>
      <c r="V84" s="63">
        <f t="shared" si="146"/>
        <v>1.2705332032859651</v>
      </c>
      <c r="W84" s="64">
        <f t="shared" si="147"/>
        <v>0.62844801040880405</v>
      </c>
      <c r="X84" s="63">
        <f t="shared" si="119"/>
        <v>7.8989380357356864E-2</v>
      </c>
      <c r="Y84" s="63">
        <f t="shared" si="148"/>
        <v>7.8989380357356864E-2</v>
      </c>
      <c r="Z84" s="64">
        <f t="shared" si="120"/>
        <v>2.7127976604452013</v>
      </c>
      <c r="AA84" s="74">
        <f t="shared" si="121"/>
        <v>7.359271146516958E-3</v>
      </c>
      <c r="AB84" s="75">
        <f t="shared" si="149"/>
        <v>7.359271146516958E-3</v>
      </c>
      <c r="AC84" s="63">
        <f t="shared" si="122"/>
        <v>2.9771062244149458</v>
      </c>
      <c r="AD84" s="63">
        <f t="shared" si="150"/>
        <v>7.6327678256970276E-3</v>
      </c>
      <c r="AE84" s="63">
        <f t="shared" si="123"/>
        <v>1.0094361413340219E-2</v>
      </c>
      <c r="AF84" s="63">
        <f t="shared" si="124"/>
        <v>0.64285232982041474</v>
      </c>
      <c r="AG84" s="63">
        <f t="shared" si="125"/>
        <v>4.0608000000000005E-2</v>
      </c>
      <c r="AH84" s="63">
        <f t="shared" si="126"/>
        <v>0</v>
      </c>
      <c r="AI84" s="63">
        <f t="shared" si="151"/>
        <v>0.22378064516129031</v>
      </c>
      <c r="AJ84" s="63">
        <f t="shared" si="152"/>
        <v>0.91733533639504516</v>
      </c>
      <c r="AK84" s="63">
        <f t="shared" si="127"/>
        <v>6.5857258848464504</v>
      </c>
      <c r="AL84" s="63">
        <f t="shared" si="128"/>
        <v>3.7350867344803237E-2</v>
      </c>
      <c r="AM84" s="63">
        <f t="shared" si="129"/>
        <v>4.9764110603170715E-2</v>
      </c>
      <c r="AN84" s="63">
        <f t="shared" si="130"/>
        <v>0.15833922539637202</v>
      </c>
      <c r="AO84" s="63">
        <f t="shared" si="131"/>
        <v>879.57439707684648</v>
      </c>
      <c r="AP84" s="63">
        <f t="shared" si="153"/>
        <v>0.15833922539637202</v>
      </c>
      <c r="AQ84" s="61">
        <f t="shared" si="132"/>
        <v>0.46248</v>
      </c>
      <c r="AR84" s="61">
        <f t="shared" si="133"/>
        <v>50128320000</v>
      </c>
      <c r="AS84" s="61">
        <f t="shared" si="154"/>
        <v>0.46248</v>
      </c>
      <c r="AT84" s="61">
        <f t="shared" si="155"/>
        <v>0.23869935483870966</v>
      </c>
      <c r="AU84" s="63">
        <f t="shared" si="156"/>
        <v>0.44680269083825241</v>
      </c>
      <c r="AV84" s="63">
        <f t="shared" si="134"/>
        <v>0.20893978760714713</v>
      </c>
      <c r="AW84" s="63">
        <f t="shared" si="135"/>
        <v>2.9760000000000003E-3</v>
      </c>
      <c r="AX84" s="63">
        <f t="shared" si="136"/>
        <v>4.1360000000000001E-2</v>
      </c>
      <c r="AY84" s="63">
        <f t="shared" si="137"/>
        <v>4.4336E-2</v>
      </c>
      <c r="AZ84" s="63">
        <f t="shared" si="138"/>
        <v>2.9742956696302834</v>
      </c>
      <c r="BA84" s="64">
        <f t="shared" si="139"/>
        <v>28.8</v>
      </c>
      <c r="BB84" s="76">
        <f t="shared" si="157"/>
        <v>0.90639302596805948</v>
      </c>
      <c r="BC84" s="64">
        <f t="shared" si="158"/>
        <v>90.639302596805948</v>
      </c>
      <c r="BD84" s="63">
        <f t="shared" si="140"/>
        <v>1.2705332032859651</v>
      </c>
      <c r="BE84" s="63">
        <f t="shared" si="159"/>
        <v>1.3641380272332975</v>
      </c>
      <c r="BF84" s="63">
        <f t="shared" si="141"/>
        <v>0.91733533639504516</v>
      </c>
      <c r="BG84" s="63">
        <f t="shared" si="142"/>
        <v>0.44680269083825241</v>
      </c>
      <c r="BH84" s="63">
        <f t="shared" si="143"/>
        <v>0.20893978760714713</v>
      </c>
      <c r="BI84" s="63">
        <f t="shared" si="160"/>
        <v>4.4336E-2</v>
      </c>
      <c r="BJ84" s="63">
        <f t="shared" si="161"/>
        <v>7.359271146516958E-3</v>
      </c>
      <c r="BK84" s="63">
        <f t="shared" si="162"/>
        <v>7.8989380357356864E-2</v>
      </c>
      <c r="BL84" s="63">
        <f t="shared" si="163"/>
        <v>2.9742956696302829</v>
      </c>
      <c r="BQ84" s="77"/>
      <c r="BR84" s="78"/>
    </row>
    <row r="85" spans="3:70" x14ac:dyDescent="0.25">
      <c r="C85" s="61">
        <v>73</v>
      </c>
      <c r="D85" s="61">
        <f t="shared" si="103"/>
        <v>105</v>
      </c>
      <c r="E85" s="61">
        <f t="shared" si="104"/>
        <v>105</v>
      </c>
      <c r="F85" s="61">
        <f t="shared" si="105"/>
        <v>105</v>
      </c>
      <c r="G85" s="73">
        <f t="shared" si="106"/>
        <v>24</v>
      </c>
      <c r="H85" s="64">
        <f t="shared" si="107"/>
        <v>1</v>
      </c>
      <c r="I85" s="63">
        <f t="shared" si="144"/>
        <v>7.3</v>
      </c>
      <c r="J85" s="65">
        <f t="shared" si="108"/>
        <v>8.6117892021752077E-4</v>
      </c>
      <c r="K85" s="65">
        <f t="shared" si="109"/>
        <v>8.6117892021752077E-4</v>
      </c>
      <c r="L85" s="65">
        <f t="shared" si="110"/>
        <v>5.1791610661465239E-3</v>
      </c>
      <c r="M85" s="65">
        <f t="shared" si="111"/>
        <v>4.0000000000000001E-3</v>
      </c>
      <c r="N85" s="63">
        <f t="shared" si="112"/>
        <v>0.16972060341251907</v>
      </c>
      <c r="O85" s="64">
        <f t="shared" si="113"/>
        <v>2.1775445149199588</v>
      </c>
      <c r="P85" s="64">
        <f t="shared" si="114"/>
        <v>8.3887722574599799</v>
      </c>
      <c r="Q85" s="64">
        <f t="shared" si="115"/>
        <v>6.2112277425400206</v>
      </c>
      <c r="R85" s="64">
        <f t="shared" si="116"/>
        <v>0</v>
      </c>
      <c r="S85" s="64">
        <f t="shared" si="117"/>
        <v>7.3270145131700701</v>
      </c>
      <c r="T85" s="63">
        <f t="shared" si="145"/>
        <v>0.27804399559996024</v>
      </c>
      <c r="U85" s="63">
        <f t="shared" si="118"/>
        <v>1</v>
      </c>
      <c r="V85" s="63">
        <f t="shared" si="146"/>
        <v>1.2780439955999603</v>
      </c>
      <c r="W85" s="64">
        <f t="shared" si="147"/>
        <v>0.62860295593071569</v>
      </c>
      <c r="X85" s="63">
        <f t="shared" si="119"/>
        <v>7.9028335240966668E-2</v>
      </c>
      <c r="Y85" s="63">
        <f t="shared" si="148"/>
        <v>7.9028335240966668E-2</v>
      </c>
      <c r="Z85" s="64">
        <f t="shared" si="120"/>
        <v>2.7504671722756528</v>
      </c>
      <c r="AA85" s="74">
        <f t="shared" si="121"/>
        <v>7.5650696657660254E-3</v>
      </c>
      <c r="AB85" s="75">
        <f t="shared" si="149"/>
        <v>7.5650696657660254E-3</v>
      </c>
      <c r="AC85" s="63">
        <f t="shared" si="122"/>
        <v>3.0185219296158943</v>
      </c>
      <c r="AD85" s="63">
        <f t="shared" si="150"/>
        <v>7.8466098916959923E-3</v>
      </c>
      <c r="AE85" s="63">
        <f t="shared" si="123"/>
        <v>1.0377719676670024E-2</v>
      </c>
      <c r="AF85" s="63">
        <f t="shared" si="124"/>
        <v>0.65135225448565037</v>
      </c>
      <c r="AG85" s="63">
        <f t="shared" si="125"/>
        <v>4.0608000000000005E-2</v>
      </c>
      <c r="AH85" s="63">
        <f t="shared" si="126"/>
        <v>0</v>
      </c>
      <c r="AI85" s="63">
        <f t="shared" si="151"/>
        <v>0.22378064516129031</v>
      </c>
      <c r="AJ85" s="63">
        <f t="shared" si="152"/>
        <v>0.92611861932361061</v>
      </c>
      <c r="AK85" s="63">
        <f t="shared" si="127"/>
        <v>6.6763513266328927</v>
      </c>
      <c r="AL85" s="63">
        <f t="shared" si="128"/>
        <v>3.8385902448742723E-2</v>
      </c>
      <c r="AM85" s="63">
        <f t="shared" si="129"/>
        <v>5.115638486409825E-2</v>
      </c>
      <c r="AN85" s="63">
        <f t="shared" si="130"/>
        <v>0.16059421631195051</v>
      </c>
      <c r="AO85" s="63">
        <f t="shared" si="131"/>
        <v>892.10087161288504</v>
      </c>
      <c r="AP85" s="63">
        <f t="shared" si="153"/>
        <v>0.16059421631195051</v>
      </c>
      <c r="AQ85" s="61">
        <f t="shared" si="132"/>
        <v>0.46248</v>
      </c>
      <c r="AR85" s="61">
        <f t="shared" si="133"/>
        <v>50128320000</v>
      </c>
      <c r="AS85" s="61">
        <f t="shared" si="154"/>
        <v>0.46248</v>
      </c>
      <c r="AT85" s="61">
        <f t="shared" si="155"/>
        <v>0.23869935483870966</v>
      </c>
      <c r="AU85" s="63">
        <f t="shared" si="156"/>
        <v>0.45044995601475846</v>
      </c>
      <c r="AV85" s="63">
        <f t="shared" si="134"/>
        <v>0.21474056670481936</v>
      </c>
      <c r="AW85" s="63">
        <f t="shared" si="135"/>
        <v>2.9760000000000003E-3</v>
      </c>
      <c r="AX85" s="63">
        <f t="shared" si="136"/>
        <v>4.1360000000000001E-2</v>
      </c>
      <c r="AY85" s="63">
        <f t="shared" si="137"/>
        <v>4.4336E-2</v>
      </c>
      <c r="AZ85" s="63">
        <f t="shared" si="138"/>
        <v>3.0002825425498814</v>
      </c>
      <c r="BA85" s="64">
        <f t="shared" si="139"/>
        <v>29.2</v>
      </c>
      <c r="BB85" s="76">
        <f t="shared" si="157"/>
        <v>0.90682434110367616</v>
      </c>
      <c r="BC85" s="64">
        <f t="shared" si="158"/>
        <v>90.682434110367609</v>
      </c>
      <c r="BD85" s="63">
        <f t="shared" si="140"/>
        <v>1.2780439955999603</v>
      </c>
      <c r="BE85" s="63">
        <f t="shared" si="159"/>
        <v>1.3765685753383692</v>
      </c>
      <c r="BF85" s="63">
        <f t="shared" si="141"/>
        <v>0.92611861932361061</v>
      </c>
      <c r="BG85" s="63">
        <f t="shared" si="142"/>
        <v>0.45044995601475846</v>
      </c>
      <c r="BH85" s="63">
        <f t="shared" si="143"/>
        <v>0.21474056670481936</v>
      </c>
      <c r="BI85" s="63">
        <f t="shared" si="160"/>
        <v>4.4336E-2</v>
      </c>
      <c r="BJ85" s="63">
        <f t="shared" si="161"/>
        <v>7.5650696657660254E-3</v>
      </c>
      <c r="BK85" s="63">
        <f t="shared" si="162"/>
        <v>7.9028335240966668E-2</v>
      </c>
      <c r="BL85" s="63">
        <f t="shared" si="163"/>
        <v>3.0002825425498814</v>
      </c>
      <c r="BQ85" s="77"/>
      <c r="BR85" s="78"/>
    </row>
    <row r="86" spans="3:70" x14ac:dyDescent="0.25">
      <c r="C86" s="61">
        <v>74</v>
      </c>
      <c r="D86" s="61">
        <f t="shared" si="103"/>
        <v>105</v>
      </c>
      <c r="E86" s="61">
        <f t="shared" si="104"/>
        <v>105</v>
      </c>
      <c r="F86" s="61">
        <f t="shared" si="105"/>
        <v>105</v>
      </c>
      <c r="G86" s="73">
        <f t="shared" si="106"/>
        <v>24</v>
      </c>
      <c r="H86" s="64">
        <f t="shared" si="107"/>
        <v>1</v>
      </c>
      <c r="I86" s="63">
        <f t="shared" si="144"/>
        <v>7.4</v>
      </c>
      <c r="J86" s="65">
        <f t="shared" si="108"/>
        <v>8.6117892021752077E-4</v>
      </c>
      <c r="K86" s="65">
        <f t="shared" si="109"/>
        <v>8.6117892021752077E-4</v>
      </c>
      <c r="L86" s="65">
        <f t="shared" si="110"/>
        <v>5.1791610661465239E-3</v>
      </c>
      <c r="M86" s="65">
        <f t="shared" si="111"/>
        <v>4.0000000000000001E-3</v>
      </c>
      <c r="N86" s="63">
        <f t="shared" si="112"/>
        <v>0.16976243816246225</v>
      </c>
      <c r="O86" s="64">
        <f t="shared" si="113"/>
        <v>2.1780812619526713</v>
      </c>
      <c r="P86" s="64">
        <f t="shared" si="114"/>
        <v>8.4890406309763353</v>
      </c>
      <c r="Q86" s="64">
        <f t="shared" si="115"/>
        <v>6.3109593690236645</v>
      </c>
      <c r="R86" s="64">
        <f t="shared" si="116"/>
        <v>0</v>
      </c>
      <c r="S86" s="64">
        <f t="shared" si="117"/>
        <v>7.4266638875499886</v>
      </c>
      <c r="T86" s="63">
        <f t="shared" si="145"/>
        <v>0.285658371383962</v>
      </c>
      <c r="U86" s="63">
        <f t="shared" si="118"/>
        <v>1</v>
      </c>
      <c r="V86" s="63">
        <f t="shared" si="146"/>
        <v>1.285658371383962</v>
      </c>
      <c r="W86" s="64">
        <f t="shared" si="147"/>
        <v>0.62875790145262733</v>
      </c>
      <c r="X86" s="63">
        <f t="shared" si="119"/>
        <v>7.9067299727822365E-2</v>
      </c>
      <c r="Y86" s="63">
        <f t="shared" si="148"/>
        <v>7.9067299727822365E-2</v>
      </c>
      <c r="Z86" s="64">
        <f t="shared" si="120"/>
        <v>2.7881475960202509</v>
      </c>
      <c r="AA86" s="74">
        <f t="shared" si="121"/>
        <v>7.7737670171935036E-3</v>
      </c>
      <c r="AB86" s="75">
        <f t="shared" si="149"/>
        <v>7.7737670171935036E-3</v>
      </c>
      <c r="AC86" s="63">
        <f t="shared" si="122"/>
        <v>3.0599516992397153</v>
      </c>
      <c r="AD86" s="63">
        <f t="shared" si="150"/>
        <v>8.0634803743067605E-3</v>
      </c>
      <c r="AE86" s="63">
        <f t="shared" si="123"/>
        <v>1.0665121597760821E-2</v>
      </c>
      <c r="AF86" s="63">
        <f t="shared" si="124"/>
        <v>0.65985217915088601</v>
      </c>
      <c r="AG86" s="63">
        <f t="shared" si="125"/>
        <v>4.0608000000000005E-2</v>
      </c>
      <c r="AH86" s="63">
        <f t="shared" si="126"/>
        <v>0</v>
      </c>
      <c r="AI86" s="63">
        <f t="shared" si="151"/>
        <v>0.22378064516129031</v>
      </c>
      <c r="AJ86" s="63">
        <f t="shared" si="152"/>
        <v>0.93490594590993714</v>
      </c>
      <c r="AK86" s="63">
        <f t="shared" si="127"/>
        <v>6.7669810179251346</v>
      </c>
      <c r="AL86" s="63">
        <f t="shared" si="128"/>
        <v>3.9435132755825282E-2</v>
      </c>
      <c r="AM86" s="63">
        <f t="shared" si="129"/>
        <v>5.2568490497269603E-2</v>
      </c>
      <c r="AN86" s="63">
        <f t="shared" si="130"/>
        <v>0.16284920722752899</v>
      </c>
      <c r="AO86" s="63">
        <f t="shared" si="131"/>
        <v>904.62734614892361</v>
      </c>
      <c r="AP86" s="63">
        <f t="shared" si="153"/>
        <v>0.16284920722752899</v>
      </c>
      <c r="AQ86" s="61">
        <f t="shared" si="132"/>
        <v>0.46248</v>
      </c>
      <c r="AR86" s="61">
        <f t="shared" si="133"/>
        <v>50128320000</v>
      </c>
      <c r="AS86" s="61">
        <f t="shared" si="154"/>
        <v>0.46248</v>
      </c>
      <c r="AT86" s="61">
        <f t="shared" si="155"/>
        <v>0.23869935483870966</v>
      </c>
      <c r="AU86" s="63">
        <f t="shared" si="156"/>
        <v>0.45411705256350826</v>
      </c>
      <c r="AV86" s="63">
        <f t="shared" si="134"/>
        <v>0.22062134599455643</v>
      </c>
      <c r="AW86" s="63">
        <f t="shared" si="135"/>
        <v>2.9760000000000003E-3</v>
      </c>
      <c r="AX86" s="63">
        <f t="shared" si="136"/>
        <v>4.1360000000000001E-2</v>
      </c>
      <c r="AY86" s="63">
        <f t="shared" si="137"/>
        <v>4.4336E-2</v>
      </c>
      <c r="AZ86" s="63">
        <f t="shared" si="138"/>
        <v>3.0264797825969798</v>
      </c>
      <c r="BA86" s="64">
        <f t="shared" si="139"/>
        <v>29.6</v>
      </c>
      <c r="BB86" s="76">
        <f t="shared" si="157"/>
        <v>0.90723854357676337</v>
      </c>
      <c r="BC86" s="64">
        <f t="shared" si="158"/>
        <v>90.723854357676331</v>
      </c>
      <c r="BD86" s="63">
        <f t="shared" si="140"/>
        <v>1.285658371383962</v>
      </c>
      <c r="BE86" s="63">
        <f t="shared" si="159"/>
        <v>1.3890229984734455</v>
      </c>
      <c r="BF86" s="63">
        <f t="shared" si="141"/>
        <v>0.93490594590993714</v>
      </c>
      <c r="BG86" s="63">
        <f t="shared" si="142"/>
        <v>0.45411705256350826</v>
      </c>
      <c r="BH86" s="63">
        <f t="shared" si="143"/>
        <v>0.22062134599455643</v>
      </c>
      <c r="BI86" s="63">
        <f t="shared" si="160"/>
        <v>4.4336E-2</v>
      </c>
      <c r="BJ86" s="63">
        <f t="shared" si="161"/>
        <v>7.7737670171935036E-3</v>
      </c>
      <c r="BK86" s="63">
        <f t="shared" si="162"/>
        <v>7.9067299727822365E-2</v>
      </c>
      <c r="BL86" s="63">
        <f t="shared" si="163"/>
        <v>3.0264797825969798</v>
      </c>
      <c r="BQ86" s="77"/>
      <c r="BR86" s="78"/>
    </row>
    <row r="87" spans="3:70" x14ac:dyDescent="0.25">
      <c r="C87" s="61">
        <v>75</v>
      </c>
      <c r="D87" s="61">
        <f t="shared" si="103"/>
        <v>105</v>
      </c>
      <c r="E87" s="61">
        <f t="shared" si="104"/>
        <v>105</v>
      </c>
      <c r="F87" s="61">
        <f t="shared" si="105"/>
        <v>105</v>
      </c>
      <c r="G87" s="73">
        <f t="shared" si="106"/>
        <v>24</v>
      </c>
      <c r="H87" s="64">
        <f t="shared" si="107"/>
        <v>1</v>
      </c>
      <c r="I87" s="63">
        <f t="shared" si="144"/>
        <v>7.5</v>
      </c>
      <c r="J87" s="65">
        <f t="shared" si="108"/>
        <v>8.6117892021752077E-4</v>
      </c>
      <c r="K87" s="65">
        <f t="shared" si="109"/>
        <v>8.6117892021752077E-4</v>
      </c>
      <c r="L87" s="65">
        <f t="shared" si="110"/>
        <v>5.1791610661465239E-3</v>
      </c>
      <c r="M87" s="65">
        <f t="shared" si="111"/>
        <v>4.0000000000000001E-3</v>
      </c>
      <c r="N87" s="63">
        <f t="shared" si="112"/>
        <v>0.16980427291240544</v>
      </c>
      <c r="O87" s="64">
        <f t="shared" si="113"/>
        <v>2.1786180089853837</v>
      </c>
      <c r="P87" s="64">
        <f t="shared" si="114"/>
        <v>8.5893090044926925</v>
      </c>
      <c r="Q87" s="64">
        <f t="shared" si="115"/>
        <v>6.4106909955073084</v>
      </c>
      <c r="R87" s="64">
        <f t="shared" si="116"/>
        <v>0</v>
      </c>
      <c r="S87" s="64">
        <f t="shared" si="117"/>
        <v>7.5263225661068782</v>
      </c>
      <c r="T87" s="63">
        <f t="shared" si="145"/>
        <v>0.29337633063797058</v>
      </c>
      <c r="U87" s="63">
        <f t="shared" si="118"/>
        <v>1</v>
      </c>
      <c r="V87" s="63">
        <f t="shared" si="146"/>
        <v>1.2933763306379706</v>
      </c>
      <c r="W87" s="64">
        <f t="shared" si="147"/>
        <v>0.62891284697453897</v>
      </c>
      <c r="X87" s="63">
        <f t="shared" si="119"/>
        <v>7.9106273817923983E-2</v>
      </c>
      <c r="Y87" s="63">
        <f t="shared" si="148"/>
        <v>7.9106273817923983E-2</v>
      </c>
      <c r="Z87" s="64">
        <f t="shared" si="120"/>
        <v>2.825838785797723</v>
      </c>
      <c r="AA87" s="74">
        <f t="shared" si="121"/>
        <v>7.9853648433187499E-3</v>
      </c>
      <c r="AB87" s="75">
        <f t="shared" si="149"/>
        <v>7.9853648433187499E-3</v>
      </c>
      <c r="AC87" s="63">
        <f t="shared" si="122"/>
        <v>3.1013953743218741</v>
      </c>
      <c r="AD87" s="63">
        <f t="shared" si="150"/>
        <v>8.2833814351668082E-3</v>
      </c>
      <c r="AE87" s="63">
        <f t="shared" si="123"/>
        <v>1.095657134441771E-2</v>
      </c>
      <c r="AF87" s="63">
        <f t="shared" si="124"/>
        <v>0.66835210381612176</v>
      </c>
      <c r="AG87" s="63">
        <f t="shared" si="125"/>
        <v>4.0608000000000005E-2</v>
      </c>
      <c r="AH87" s="63">
        <f t="shared" si="126"/>
        <v>0</v>
      </c>
      <c r="AI87" s="63">
        <f t="shared" si="151"/>
        <v>0.22378064516129031</v>
      </c>
      <c r="AJ87" s="63">
        <f t="shared" si="152"/>
        <v>0.94369732032182974</v>
      </c>
      <c r="AK87" s="63">
        <f t="shared" si="127"/>
        <v>6.8576146072249138</v>
      </c>
      <c r="AL87" s="63">
        <f t="shared" si="128"/>
        <v>4.0498556104413497E-2</v>
      </c>
      <c r="AM87" s="63">
        <f t="shared" si="129"/>
        <v>5.400045529398588E-2</v>
      </c>
      <c r="AN87" s="63">
        <f t="shared" si="130"/>
        <v>0.16510419814310751</v>
      </c>
      <c r="AO87" s="63">
        <f t="shared" si="131"/>
        <v>917.15382068496206</v>
      </c>
      <c r="AP87" s="63">
        <f t="shared" si="153"/>
        <v>0.16510419814310751</v>
      </c>
      <c r="AQ87" s="61">
        <f t="shared" si="132"/>
        <v>0.46248</v>
      </c>
      <c r="AR87" s="61">
        <f t="shared" si="133"/>
        <v>50128320000</v>
      </c>
      <c r="AS87" s="61">
        <f t="shared" si="154"/>
        <v>0.46248</v>
      </c>
      <c r="AT87" s="61">
        <f t="shared" si="155"/>
        <v>0.23869935483870966</v>
      </c>
      <c r="AU87" s="63">
        <f t="shared" si="156"/>
        <v>0.45780400827580303</v>
      </c>
      <c r="AV87" s="63">
        <f t="shared" si="134"/>
        <v>0.2265821254763585</v>
      </c>
      <c r="AW87" s="63">
        <f t="shared" si="135"/>
        <v>2.9760000000000003E-3</v>
      </c>
      <c r="AX87" s="63">
        <f t="shared" si="136"/>
        <v>4.1360000000000001E-2</v>
      </c>
      <c r="AY87" s="63">
        <f t="shared" si="137"/>
        <v>4.4336E-2</v>
      </c>
      <c r="AZ87" s="63">
        <f t="shared" si="138"/>
        <v>3.0528874233732051</v>
      </c>
      <c r="BA87" s="64">
        <f t="shared" si="139"/>
        <v>30</v>
      </c>
      <c r="BB87" s="76">
        <f t="shared" si="157"/>
        <v>0.90763628652865069</v>
      </c>
      <c r="BC87" s="64">
        <f t="shared" si="158"/>
        <v>90.763628652865066</v>
      </c>
      <c r="BD87" s="63">
        <f t="shared" si="140"/>
        <v>1.2933763306379706</v>
      </c>
      <c r="BE87" s="63">
        <f t="shared" si="159"/>
        <v>1.4015013285976328</v>
      </c>
      <c r="BF87" s="63">
        <f t="shared" si="141"/>
        <v>0.94369732032182974</v>
      </c>
      <c r="BG87" s="63">
        <f t="shared" si="142"/>
        <v>0.45780400827580303</v>
      </c>
      <c r="BH87" s="63">
        <f t="shared" si="143"/>
        <v>0.2265821254763585</v>
      </c>
      <c r="BI87" s="63">
        <f t="shared" si="160"/>
        <v>4.4336E-2</v>
      </c>
      <c r="BJ87" s="63">
        <f t="shared" si="161"/>
        <v>7.9853648433187499E-3</v>
      </c>
      <c r="BK87" s="63">
        <f t="shared" si="162"/>
        <v>7.9106273817923983E-2</v>
      </c>
      <c r="BL87" s="63">
        <f t="shared" si="163"/>
        <v>3.0528874233732046</v>
      </c>
      <c r="BQ87" s="77"/>
      <c r="BR87" s="78"/>
    </row>
    <row r="88" spans="3:70" x14ac:dyDescent="0.25">
      <c r="C88" s="61">
        <v>76</v>
      </c>
      <c r="D88" s="61">
        <f t="shared" si="103"/>
        <v>105</v>
      </c>
      <c r="E88" s="61">
        <f t="shared" si="104"/>
        <v>105</v>
      </c>
      <c r="F88" s="61">
        <f t="shared" si="105"/>
        <v>105</v>
      </c>
      <c r="G88" s="73">
        <f t="shared" si="106"/>
        <v>24</v>
      </c>
      <c r="H88" s="64">
        <f t="shared" si="107"/>
        <v>1</v>
      </c>
      <c r="I88" s="63">
        <f t="shared" si="144"/>
        <v>7.6</v>
      </c>
      <c r="J88" s="65">
        <f t="shared" si="108"/>
        <v>8.6117892021752077E-4</v>
      </c>
      <c r="K88" s="65">
        <f t="shared" si="109"/>
        <v>8.6117892021752077E-4</v>
      </c>
      <c r="L88" s="65">
        <f t="shared" si="110"/>
        <v>5.1791610661465239E-3</v>
      </c>
      <c r="M88" s="65">
        <f t="shared" si="111"/>
        <v>4.0000000000000001E-3</v>
      </c>
      <c r="N88" s="63">
        <f t="shared" si="112"/>
        <v>0.16984610766234862</v>
      </c>
      <c r="O88" s="64">
        <f t="shared" si="113"/>
        <v>2.1791547560180962</v>
      </c>
      <c r="P88" s="64">
        <f t="shared" si="114"/>
        <v>8.6895773780090479</v>
      </c>
      <c r="Q88" s="64">
        <f t="shared" si="115"/>
        <v>6.5104226219909513</v>
      </c>
      <c r="R88" s="64">
        <f t="shared" si="116"/>
        <v>0</v>
      </c>
      <c r="S88" s="64">
        <f t="shared" si="117"/>
        <v>7.6259901840715978</v>
      </c>
      <c r="T88" s="63">
        <f t="shared" si="145"/>
        <v>0.30119787336198584</v>
      </c>
      <c r="U88" s="63">
        <f t="shared" si="118"/>
        <v>1</v>
      </c>
      <c r="V88" s="63">
        <f t="shared" si="146"/>
        <v>1.3011978733619858</v>
      </c>
      <c r="W88" s="64">
        <f t="shared" si="147"/>
        <v>0.62906779249645062</v>
      </c>
      <c r="X88" s="63">
        <f t="shared" si="119"/>
        <v>7.9145257511271494E-2</v>
      </c>
      <c r="Y88" s="63">
        <f t="shared" si="148"/>
        <v>7.9145257511271494E-2</v>
      </c>
      <c r="Z88" s="64">
        <f t="shared" si="120"/>
        <v>2.8635406032115331</v>
      </c>
      <c r="AA88" s="74">
        <f t="shared" si="121"/>
        <v>8.1998647862410699E-3</v>
      </c>
      <c r="AB88" s="75">
        <f t="shared" si="149"/>
        <v>8.1998647862410699E-3</v>
      </c>
      <c r="AC88" s="63">
        <f t="shared" si="122"/>
        <v>3.1428528040966817</v>
      </c>
      <c r="AD88" s="63">
        <f t="shared" si="150"/>
        <v>8.5063152359136189E-3</v>
      </c>
      <c r="AE88" s="63">
        <f t="shared" si="123"/>
        <v>1.1252073104264817E-2</v>
      </c>
      <c r="AF88" s="63">
        <f t="shared" si="124"/>
        <v>0.67685202848135728</v>
      </c>
      <c r="AG88" s="63">
        <f t="shared" si="125"/>
        <v>4.0608000000000005E-2</v>
      </c>
      <c r="AH88" s="63">
        <f t="shared" si="126"/>
        <v>0</v>
      </c>
      <c r="AI88" s="63">
        <f t="shared" si="151"/>
        <v>0.22378064516129031</v>
      </c>
      <c r="AJ88" s="63">
        <f t="shared" si="152"/>
        <v>0.95249274674691242</v>
      </c>
      <c r="AK88" s="63">
        <f t="shared" si="127"/>
        <v>6.9482517613668824</v>
      </c>
      <c r="AL88" s="63">
        <f t="shared" si="128"/>
        <v>4.1576170332869852E-2</v>
      </c>
      <c r="AM88" s="63">
        <f t="shared" si="129"/>
        <v>5.5452307495672315E-2</v>
      </c>
      <c r="AN88" s="63">
        <f t="shared" si="130"/>
        <v>0.16735918905868599</v>
      </c>
      <c r="AO88" s="63">
        <f t="shared" si="131"/>
        <v>929.68029522100051</v>
      </c>
      <c r="AP88" s="63">
        <f t="shared" si="153"/>
        <v>0.16735918905868599</v>
      </c>
      <c r="AQ88" s="61">
        <f t="shared" si="132"/>
        <v>0.46248</v>
      </c>
      <c r="AR88" s="61">
        <f t="shared" si="133"/>
        <v>50128320000</v>
      </c>
      <c r="AS88" s="61">
        <f t="shared" si="154"/>
        <v>0.46248</v>
      </c>
      <c r="AT88" s="61">
        <f t="shared" si="155"/>
        <v>0.23869935483870966</v>
      </c>
      <c r="AU88" s="63">
        <f t="shared" si="156"/>
        <v>0.46151085139306797</v>
      </c>
      <c r="AV88" s="63">
        <f t="shared" si="134"/>
        <v>0.23262290515022546</v>
      </c>
      <c r="AW88" s="63">
        <f t="shared" si="135"/>
        <v>2.9760000000000003E-3</v>
      </c>
      <c r="AX88" s="63">
        <f t="shared" si="136"/>
        <v>4.1360000000000001E-2</v>
      </c>
      <c r="AY88" s="63">
        <f t="shared" si="137"/>
        <v>4.4336E-2</v>
      </c>
      <c r="AZ88" s="63">
        <f t="shared" si="138"/>
        <v>3.0795054989497044</v>
      </c>
      <c r="BA88" s="64">
        <f t="shared" si="139"/>
        <v>30.4</v>
      </c>
      <c r="BB88" s="76">
        <f t="shared" si="157"/>
        <v>0.90801819044052745</v>
      </c>
      <c r="BC88" s="64">
        <f t="shared" si="158"/>
        <v>90.801819044052749</v>
      </c>
      <c r="BD88" s="63">
        <f t="shared" si="140"/>
        <v>1.3011978733619858</v>
      </c>
      <c r="BE88" s="63">
        <f t="shared" si="159"/>
        <v>1.4140035981399803</v>
      </c>
      <c r="BF88" s="63">
        <f t="shared" si="141"/>
        <v>0.95249274674691242</v>
      </c>
      <c r="BG88" s="63">
        <f t="shared" si="142"/>
        <v>0.46151085139306797</v>
      </c>
      <c r="BH88" s="63">
        <f t="shared" si="143"/>
        <v>0.23262290515022546</v>
      </c>
      <c r="BI88" s="63">
        <f t="shared" si="160"/>
        <v>4.4336E-2</v>
      </c>
      <c r="BJ88" s="63">
        <f t="shared" si="161"/>
        <v>8.1998647862410699E-3</v>
      </c>
      <c r="BK88" s="63">
        <f t="shared" si="162"/>
        <v>7.9145257511271494E-2</v>
      </c>
      <c r="BL88" s="63">
        <f t="shared" si="163"/>
        <v>3.0795054989497044</v>
      </c>
      <c r="BQ88" s="77"/>
      <c r="BR88" s="78"/>
    </row>
    <row r="89" spans="3:70" x14ac:dyDescent="0.25">
      <c r="C89" s="61">
        <v>77</v>
      </c>
      <c r="D89" s="61">
        <f t="shared" si="103"/>
        <v>105</v>
      </c>
      <c r="E89" s="61">
        <f t="shared" si="104"/>
        <v>105</v>
      </c>
      <c r="F89" s="61">
        <f t="shared" si="105"/>
        <v>105</v>
      </c>
      <c r="G89" s="73">
        <f t="shared" si="106"/>
        <v>24</v>
      </c>
      <c r="H89" s="64">
        <f t="shared" si="107"/>
        <v>1</v>
      </c>
      <c r="I89" s="63">
        <f t="shared" si="144"/>
        <v>7.7</v>
      </c>
      <c r="J89" s="65">
        <f t="shared" si="108"/>
        <v>8.6117892021752077E-4</v>
      </c>
      <c r="K89" s="65">
        <f t="shared" si="109"/>
        <v>8.6117892021752077E-4</v>
      </c>
      <c r="L89" s="65">
        <f t="shared" si="110"/>
        <v>5.1791610661465239E-3</v>
      </c>
      <c r="M89" s="65">
        <f t="shared" si="111"/>
        <v>4.0000000000000001E-3</v>
      </c>
      <c r="N89" s="63">
        <f t="shared" si="112"/>
        <v>0.1698879424122918</v>
      </c>
      <c r="O89" s="64">
        <f t="shared" si="113"/>
        <v>2.1796915030508082</v>
      </c>
      <c r="P89" s="64">
        <f t="shared" si="114"/>
        <v>8.7898457515254051</v>
      </c>
      <c r="Q89" s="64">
        <f t="shared" si="115"/>
        <v>6.6101542484745961</v>
      </c>
      <c r="R89" s="64">
        <f t="shared" si="116"/>
        <v>0</v>
      </c>
      <c r="S89" s="64">
        <f t="shared" si="117"/>
        <v>7.7256663954664342</v>
      </c>
      <c r="T89" s="63">
        <f t="shared" si="145"/>
        <v>0.3091229995560078</v>
      </c>
      <c r="U89" s="63">
        <f t="shared" si="118"/>
        <v>1</v>
      </c>
      <c r="V89" s="63">
        <f t="shared" si="146"/>
        <v>1.3091229995560079</v>
      </c>
      <c r="W89" s="64">
        <f t="shared" si="147"/>
        <v>0.62922273801836204</v>
      </c>
      <c r="X89" s="63">
        <f t="shared" si="119"/>
        <v>7.9184250807864856E-2</v>
      </c>
      <c r="Y89" s="63">
        <f t="shared" si="148"/>
        <v>7.9184250807864856E-2</v>
      </c>
      <c r="Z89" s="64">
        <f t="shared" si="120"/>
        <v>2.9012529168688057</v>
      </c>
      <c r="AA89" s="74">
        <f t="shared" si="121"/>
        <v>8.4172684876397535E-3</v>
      </c>
      <c r="AB89" s="75">
        <f t="shared" si="149"/>
        <v>8.4172684876397535E-3</v>
      </c>
      <c r="AC89" s="63">
        <f t="shared" si="122"/>
        <v>3.1843238454703093</v>
      </c>
      <c r="AD89" s="63">
        <f t="shared" si="150"/>
        <v>8.7322839381846658E-3</v>
      </c>
      <c r="AE89" s="63">
        <f t="shared" si="123"/>
        <v>1.1551631084804014E-2</v>
      </c>
      <c r="AF89" s="63">
        <f t="shared" si="124"/>
        <v>0.68535195314659292</v>
      </c>
      <c r="AG89" s="63">
        <f t="shared" si="125"/>
        <v>4.0608000000000005E-2</v>
      </c>
      <c r="AH89" s="63">
        <f t="shared" si="126"/>
        <v>0</v>
      </c>
      <c r="AI89" s="63">
        <f t="shared" si="151"/>
        <v>0.22378064516129031</v>
      </c>
      <c r="AJ89" s="63">
        <f t="shared" si="152"/>
        <v>0.96129222939268733</v>
      </c>
      <c r="AK89" s="63">
        <f t="shared" si="127"/>
        <v>7.0388921643401039</v>
      </c>
      <c r="AL89" s="63">
        <f t="shared" si="128"/>
        <v>4.2667973279556896E-2</v>
      </c>
      <c r="AM89" s="63">
        <f t="shared" si="129"/>
        <v>5.6924075795375249E-2</v>
      </c>
      <c r="AN89" s="63">
        <f t="shared" si="130"/>
        <v>0.16961417997426453</v>
      </c>
      <c r="AO89" s="63">
        <f t="shared" si="131"/>
        <v>942.20676975703941</v>
      </c>
      <c r="AP89" s="63">
        <f t="shared" si="153"/>
        <v>0.16961417997426453</v>
      </c>
      <c r="AQ89" s="61">
        <f t="shared" si="132"/>
        <v>0.46248</v>
      </c>
      <c r="AR89" s="61">
        <f t="shared" si="133"/>
        <v>50128320000</v>
      </c>
      <c r="AS89" s="61">
        <f t="shared" si="154"/>
        <v>0.46248</v>
      </c>
      <c r="AT89" s="61">
        <f t="shared" si="155"/>
        <v>0.23869935483870966</v>
      </c>
      <c r="AU89" s="63">
        <f t="shared" si="156"/>
        <v>0.46523761060834945</v>
      </c>
      <c r="AV89" s="63">
        <f t="shared" si="134"/>
        <v>0.23874368501615731</v>
      </c>
      <c r="AW89" s="63">
        <f t="shared" si="135"/>
        <v>2.9760000000000003E-3</v>
      </c>
      <c r="AX89" s="63">
        <f t="shared" si="136"/>
        <v>4.1360000000000001E-2</v>
      </c>
      <c r="AY89" s="63">
        <f t="shared" si="137"/>
        <v>4.4336E-2</v>
      </c>
      <c r="AZ89" s="63">
        <f t="shared" si="138"/>
        <v>3.1063340438687068</v>
      </c>
      <c r="BA89" s="64">
        <f t="shared" si="139"/>
        <v>30.8</v>
      </c>
      <c r="BB89" s="76">
        <f t="shared" si="157"/>
        <v>0.90838484514870665</v>
      </c>
      <c r="BC89" s="64">
        <f t="shared" si="158"/>
        <v>90.838484514870672</v>
      </c>
      <c r="BD89" s="63">
        <f t="shared" si="140"/>
        <v>1.3091229995560079</v>
      </c>
      <c r="BE89" s="63">
        <f t="shared" si="159"/>
        <v>1.4265298400010367</v>
      </c>
      <c r="BF89" s="63">
        <f t="shared" si="141"/>
        <v>0.96129222939268733</v>
      </c>
      <c r="BG89" s="63">
        <f t="shared" si="142"/>
        <v>0.46523761060834945</v>
      </c>
      <c r="BH89" s="63">
        <f t="shared" si="143"/>
        <v>0.23874368501615731</v>
      </c>
      <c r="BI89" s="63">
        <f t="shared" si="160"/>
        <v>4.4336E-2</v>
      </c>
      <c r="BJ89" s="63">
        <f t="shared" si="161"/>
        <v>8.4172684876397535E-3</v>
      </c>
      <c r="BK89" s="63">
        <f t="shared" si="162"/>
        <v>7.9184250807864856E-2</v>
      </c>
      <c r="BL89" s="63">
        <f t="shared" si="163"/>
        <v>3.1063340438687068</v>
      </c>
      <c r="BQ89" s="77"/>
      <c r="BR89" s="78"/>
    </row>
    <row r="90" spans="3:70" x14ac:dyDescent="0.25">
      <c r="C90" s="61">
        <v>78</v>
      </c>
      <c r="D90" s="61">
        <f t="shared" si="103"/>
        <v>105</v>
      </c>
      <c r="E90" s="61">
        <f t="shared" si="104"/>
        <v>105</v>
      </c>
      <c r="F90" s="61">
        <f t="shared" si="105"/>
        <v>105</v>
      </c>
      <c r="G90" s="73">
        <f t="shared" si="106"/>
        <v>24</v>
      </c>
      <c r="H90" s="64">
        <f t="shared" si="107"/>
        <v>1</v>
      </c>
      <c r="I90" s="63">
        <f t="shared" si="144"/>
        <v>7.8</v>
      </c>
      <c r="J90" s="65">
        <f t="shared" si="108"/>
        <v>8.6117892021752077E-4</v>
      </c>
      <c r="K90" s="65">
        <f t="shared" si="109"/>
        <v>8.6117892021752077E-4</v>
      </c>
      <c r="L90" s="65">
        <f t="shared" si="110"/>
        <v>5.1791610661465239E-3</v>
      </c>
      <c r="M90" s="65">
        <f t="shared" si="111"/>
        <v>4.0000000000000001E-3</v>
      </c>
      <c r="N90" s="63">
        <f t="shared" si="112"/>
        <v>0.16992977716223498</v>
      </c>
      <c r="O90" s="64">
        <f t="shared" si="113"/>
        <v>2.1802282500835206</v>
      </c>
      <c r="P90" s="64">
        <f t="shared" si="114"/>
        <v>8.8901141250417606</v>
      </c>
      <c r="Q90" s="64">
        <f t="shared" si="115"/>
        <v>6.7098858749582391</v>
      </c>
      <c r="R90" s="64">
        <f t="shared" si="116"/>
        <v>0</v>
      </c>
      <c r="S90" s="64">
        <f t="shared" si="117"/>
        <v>7.8253508719122955</v>
      </c>
      <c r="T90" s="63">
        <f t="shared" si="145"/>
        <v>0.31715170922003649</v>
      </c>
      <c r="U90" s="63">
        <f t="shared" si="118"/>
        <v>1</v>
      </c>
      <c r="V90" s="63">
        <f t="shared" si="146"/>
        <v>1.3171517092200364</v>
      </c>
      <c r="W90" s="64">
        <f t="shared" si="147"/>
        <v>0.62937768354027368</v>
      </c>
      <c r="X90" s="63">
        <f t="shared" si="119"/>
        <v>7.922325370770418E-2</v>
      </c>
      <c r="Y90" s="63">
        <f t="shared" si="148"/>
        <v>7.922325370770418E-2</v>
      </c>
      <c r="Z90" s="64">
        <f t="shared" si="120"/>
        <v>2.938975601935824</v>
      </c>
      <c r="AA90" s="74">
        <f t="shared" si="121"/>
        <v>8.6375775887740404E-3</v>
      </c>
      <c r="AB90" s="75">
        <f t="shared" si="149"/>
        <v>8.6375775887740404E-3</v>
      </c>
      <c r="AC90" s="63">
        <f t="shared" si="122"/>
        <v>3.2258083625338725</v>
      </c>
      <c r="AD90" s="63">
        <f t="shared" si="150"/>
        <v>8.961289703617422E-3</v>
      </c>
      <c r="AE90" s="63">
        <f t="shared" si="123"/>
        <v>1.1855249513473927E-2</v>
      </c>
      <c r="AF90" s="63">
        <f t="shared" si="124"/>
        <v>0.69385187781182833</v>
      </c>
      <c r="AG90" s="63">
        <f t="shared" si="125"/>
        <v>4.0608000000000005E-2</v>
      </c>
      <c r="AH90" s="63">
        <f t="shared" si="126"/>
        <v>0</v>
      </c>
      <c r="AI90" s="63">
        <f t="shared" si="151"/>
        <v>0.22378064516129031</v>
      </c>
      <c r="AJ90" s="63">
        <f t="shared" si="152"/>
        <v>0.97009577248659262</v>
      </c>
      <c r="AK90" s="63">
        <f t="shared" si="127"/>
        <v>7.129535516199148</v>
      </c>
      <c r="AL90" s="63">
        <f t="shared" si="128"/>
        <v>4.3773962782837135E-2</v>
      </c>
      <c r="AM90" s="63">
        <f t="shared" si="129"/>
        <v>5.8415789339285061E-2</v>
      </c>
      <c r="AN90" s="63">
        <f t="shared" si="130"/>
        <v>0.17186917088984299</v>
      </c>
      <c r="AO90" s="63">
        <f t="shared" si="131"/>
        <v>954.73324429307786</v>
      </c>
      <c r="AP90" s="63">
        <f t="shared" si="153"/>
        <v>0.17186917088984299</v>
      </c>
      <c r="AQ90" s="61">
        <f t="shared" si="132"/>
        <v>0.46248</v>
      </c>
      <c r="AR90" s="61">
        <f t="shared" si="133"/>
        <v>50128320000</v>
      </c>
      <c r="AS90" s="61">
        <f t="shared" si="154"/>
        <v>0.46248</v>
      </c>
      <c r="AT90" s="61">
        <f t="shared" si="155"/>
        <v>0.23869935483870966</v>
      </c>
      <c r="AU90" s="63">
        <f t="shared" si="156"/>
        <v>0.46898431506783772</v>
      </c>
      <c r="AV90" s="63">
        <f t="shared" si="134"/>
        <v>0.2449444650741541</v>
      </c>
      <c r="AW90" s="63">
        <f t="shared" si="135"/>
        <v>2.9760000000000003E-3</v>
      </c>
      <c r="AX90" s="63">
        <f t="shared" si="136"/>
        <v>4.1360000000000001E-2</v>
      </c>
      <c r="AY90" s="63">
        <f t="shared" si="137"/>
        <v>4.4336E-2</v>
      </c>
      <c r="AZ90" s="63">
        <f t="shared" si="138"/>
        <v>3.1333730931450994</v>
      </c>
      <c r="BA90" s="64">
        <f t="shared" si="139"/>
        <v>31.2</v>
      </c>
      <c r="BB90" s="76">
        <f t="shared" si="157"/>
        <v>0.90873681171248799</v>
      </c>
      <c r="BC90" s="64">
        <f t="shared" si="158"/>
        <v>90.873681171248805</v>
      </c>
      <c r="BD90" s="63">
        <f t="shared" si="140"/>
        <v>1.3171517092200364</v>
      </c>
      <c r="BE90" s="63">
        <f t="shared" si="159"/>
        <v>1.4390800875544303</v>
      </c>
      <c r="BF90" s="63">
        <f t="shared" si="141"/>
        <v>0.97009577248659262</v>
      </c>
      <c r="BG90" s="63">
        <f t="shared" si="142"/>
        <v>0.46898431506783772</v>
      </c>
      <c r="BH90" s="63">
        <f t="shared" si="143"/>
        <v>0.2449444650741541</v>
      </c>
      <c r="BI90" s="63">
        <f t="shared" si="160"/>
        <v>4.4336E-2</v>
      </c>
      <c r="BJ90" s="63">
        <f t="shared" si="161"/>
        <v>8.6375775887740404E-3</v>
      </c>
      <c r="BK90" s="63">
        <f t="shared" si="162"/>
        <v>7.922325370770418E-2</v>
      </c>
      <c r="BL90" s="63">
        <f t="shared" si="163"/>
        <v>3.1333730931450989</v>
      </c>
      <c r="BQ90" s="77"/>
      <c r="BR90" s="78"/>
    </row>
    <row r="91" spans="3:70" x14ac:dyDescent="0.25">
      <c r="C91" s="61">
        <v>79</v>
      </c>
      <c r="D91" s="61">
        <f t="shared" si="103"/>
        <v>105</v>
      </c>
      <c r="E91" s="61">
        <f t="shared" si="104"/>
        <v>105</v>
      </c>
      <c r="F91" s="61">
        <f t="shared" si="105"/>
        <v>105</v>
      </c>
      <c r="G91" s="73">
        <f t="shared" si="106"/>
        <v>24</v>
      </c>
      <c r="H91" s="64">
        <f t="shared" si="107"/>
        <v>1</v>
      </c>
      <c r="I91" s="63">
        <f t="shared" si="144"/>
        <v>7.9</v>
      </c>
      <c r="J91" s="65">
        <f t="shared" si="108"/>
        <v>8.6117892021752077E-4</v>
      </c>
      <c r="K91" s="65">
        <f t="shared" si="109"/>
        <v>8.6117892021752077E-4</v>
      </c>
      <c r="L91" s="65">
        <f t="shared" si="110"/>
        <v>5.1791610661465239E-3</v>
      </c>
      <c r="M91" s="65">
        <f t="shared" si="111"/>
        <v>4.0000000000000001E-3</v>
      </c>
      <c r="N91" s="63">
        <f t="shared" si="112"/>
        <v>0.16997161191217816</v>
      </c>
      <c r="O91" s="64">
        <f t="shared" si="113"/>
        <v>2.1807649971162331</v>
      </c>
      <c r="P91" s="64">
        <f t="shared" si="114"/>
        <v>8.990382498558116</v>
      </c>
      <c r="Q91" s="64">
        <f t="shared" si="115"/>
        <v>6.8096175014418838</v>
      </c>
      <c r="R91" s="64">
        <f t="shared" si="116"/>
        <v>0</v>
      </c>
      <c r="S91" s="64">
        <f t="shared" si="117"/>
        <v>7.9250433015254842</v>
      </c>
      <c r="T91" s="63">
        <f t="shared" si="145"/>
        <v>0.32528400235407184</v>
      </c>
      <c r="U91" s="63">
        <f t="shared" si="118"/>
        <v>1</v>
      </c>
      <c r="V91" s="63">
        <f t="shared" si="146"/>
        <v>1.325284002354072</v>
      </c>
      <c r="W91" s="64">
        <f t="shared" si="147"/>
        <v>0.62953262906218532</v>
      </c>
      <c r="X91" s="63">
        <f t="shared" si="119"/>
        <v>7.9262266210789412E-2</v>
      </c>
      <c r="Y91" s="63">
        <f t="shared" si="148"/>
        <v>7.9262266210789412E-2</v>
      </c>
      <c r="Z91" s="64">
        <f t="shared" si="120"/>
        <v>2.9767085397269128</v>
      </c>
      <c r="AA91" s="74">
        <f t="shared" si="121"/>
        <v>8.8607937304831293E-3</v>
      </c>
      <c r="AB91" s="75">
        <f t="shared" si="149"/>
        <v>8.8607937304831293E-3</v>
      </c>
      <c r="AC91" s="63">
        <f t="shared" si="122"/>
        <v>3.2673062261130865</v>
      </c>
      <c r="AD91" s="63">
        <f t="shared" si="150"/>
        <v>9.1933346938493678E-3</v>
      </c>
      <c r="AE91" s="63">
        <f t="shared" si="123"/>
        <v>1.2162932637709274E-2</v>
      </c>
      <c r="AF91" s="63">
        <f t="shared" si="124"/>
        <v>0.70235180247706408</v>
      </c>
      <c r="AG91" s="63">
        <f t="shared" si="125"/>
        <v>4.0608000000000005E-2</v>
      </c>
      <c r="AH91" s="63">
        <f t="shared" si="126"/>
        <v>0</v>
      </c>
      <c r="AI91" s="63">
        <f t="shared" si="151"/>
        <v>0.22378064516129031</v>
      </c>
      <c r="AJ91" s="63">
        <f t="shared" si="152"/>
        <v>0.97890338027606361</v>
      </c>
      <c r="AK91" s="63">
        <f t="shared" si="127"/>
        <v>7.2201815320569747</v>
      </c>
      <c r="AL91" s="63">
        <f t="shared" si="128"/>
        <v>4.4894136681073102E-2</v>
      </c>
      <c r="AM91" s="63">
        <f t="shared" si="129"/>
        <v>5.992747772828573E-2</v>
      </c>
      <c r="AN91" s="63">
        <f t="shared" si="130"/>
        <v>0.17412416180542151</v>
      </c>
      <c r="AO91" s="63">
        <f t="shared" si="131"/>
        <v>967.25971882911631</v>
      </c>
      <c r="AP91" s="63">
        <f t="shared" si="153"/>
        <v>0.17412416180542151</v>
      </c>
      <c r="AQ91" s="61">
        <f t="shared" si="132"/>
        <v>0.46248</v>
      </c>
      <c r="AR91" s="61">
        <f t="shared" si="133"/>
        <v>50128320000</v>
      </c>
      <c r="AS91" s="61">
        <f t="shared" si="154"/>
        <v>0.46248</v>
      </c>
      <c r="AT91" s="61">
        <f t="shared" si="155"/>
        <v>0.23869935483870966</v>
      </c>
      <c r="AU91" s="63">
        <f t="shared" si="156"/>
        <v>0.47275099437241686</v>
      </c>
      <c r="AV91" s="63">
        <f t="shared" si="134"/>
        <v>0.25122524532421581</v>
      </c>
      <c r="AW91" s="63">
        <f t="shared" si="135"/>
        <v>2.9760000000000003E-3</v>
      </c>
      <c r="AX91" s="63">
        <f t="shared" si="136"/>
        <v>4.1360000000000001E-2</v>
      </c>
      <c r="AY91" s="63">
        <f t="shared" si="137"/>
        <v>4.4336E-2</v>
      </c>
      <c r="AZ91" s="63">
        <f t="shared" si="138"/>
        <v>3.1606226822680408</v>
      </c>
      <c r="BA91" s="64">
        <f t="shared" si="139"/>
        <v>31.6</v>
      </c>
      <c r="BB91" s="76">
        <f t="shared" si="157"/>
        <v>0.9090746241470431</v>
      </c>
      <c r="BC91" s="64">
        <f t="shared" si="158"/>
        <v>90.907462414704312</v>
      </c>
      <c r="BD91" s="63">
        <f t="shared" si="140"/>
        <v>1.325284002354072</v>
      </c>
      <c r="BE91" s="63">
        <f t="shared" si="159"/>
        <v>1.4516543746484805</v>
      </c>
      <c r="BF91" s="63">
        <f t="shared" si="141"/>
        <v>0.97890338027606361</v>
      </c>
      <c r="BG91" s="63">
        <f t="shared" si="142"/>
        <v>0.47275099437241686</v>
      </c>
      <c r="BH91" s="63">
        <f t="shared" si="143"/>
        <v>0.25122524532421581</v>
      </c>
      <c r="BI91" s="63">
        <f t="shared" si="160"/>
        <v>4.4336E-2</v>
      </c>
      <c r="BJ91" s="63">
        <f t="shared" si="161"/>
        <v>8.8607937304831293E-3</v>
      </c>
      <c r="BK91" s="63">
        <f t="shared" si="162"/>
        <v>7.9262266210789412E-2</v>
      </c>
      <c r="BL91" s="63">
        <f t="shared" si="163"/>
        <v>3.1606226822680403</v>
      </c>
      <c r="BQ91" s="77"/>
      <c r="BR91" s="78"/>
    </row>
    <row r="92" spans="3:70" s="81" customFormat="1" x14ac:dyDescent="0.25">
      <c r="C92" s="81">
        <v>80</v>
      </c>
      <c r="D92" s="61">
        <f t="shared" si="103"/>
        <v>105</v>
      </c>
      <c r="E92" s="61">
        <f t="shared" si="104"/>
        <v>105</v>
      </c>
      <c r="F92" s="61">
        <f t="shared" si="105"/>
        <v>105</v>
      </c>
      <c r="G92" s="89">
        <f t="shared" si="106"/>
        <v>24</v>
      </c>
      <c r="H92" s="85">
        <f t="shared" si="107"/>
        <v>1</v>
      </c>
      <c r="I92" s="86">
        <f t="shared" si="144"/>
        <v>8</v>
      </c>
      <c r="J92" s="90">
        <f t="shared" si="108"/>
        <v>8.6117892021752077E-4</v>
      </c>
      <c r="K92" s="90">
        <f t="shared" si="109"/>
        <v>8.6117892021752077E-4</v>
      </c>
      <c r="L92" s="90">
        <f t="shared" si="110"/>
        <v>5.1791610661465239E-3</v>
      </c>
      <c r="M92" s="90">
        <f t="shared" si="111"/>
        <v>4.0000000000000001E-3</v>
      </c>
      <c r="N92" s="86">
        <f t="shared" si="112"/>
        <v>0.17001344666212134</v>
      </c>
      <c r="O92" s="85">
        <f t="shared" si="113"/>
        <v>2.1813017441489455</v>
      </c>
      <c r="P92" s="85">
        <f t="shared" si="114"/>
        <v>9.0906508720744732</v>
      </c>
      <c r="Q92" s="85">
        <f t="shared" si="115"/>
        <v>6.9093491279255268</v>
      </c>
      <c r="R92" s="85">
        <f t="shared" si="116"/>
        <v>0</v>
      </c>
      <c r="S92" s="85">
        <f t="shared" si="117"/>
        <v>8.0247433878963133</v>
      </c>
      <c r="T92" s="86">
        <f t="shared" si="145"/>
        <v>0.33351987895811397</v>
      </c>
      <c r="U92" s="86">
        <f t="shared" si="118"/>
        <v>1</v>
      </c>
      <c r="V92" s="86">
        <f t="shared" si="146"/>
        <v>1.333519878958114</v>
      </c>
      <c r="W92" s="85">
        <f t="shared" si="147"/>
        <v>0.62968757458409697</v>
      </c>
      <c r="X92" s="86">
        <f t="shared" si="119"/>
        <v>7.9301288317120536E-2</v>
      </c>
      <c r="Y92" s="86">
        <f t="shared" si="148"/>
        <v>7.9301288317120536E-2</v>
      </c>
      <c r="Z92" s="85">
        <f t="shared" si="120"/>
        <v>3.0144516173238212</v>
      </c>
      <c r="AA92" s="88">
        <f t="shared" si="121"/>
        <v>9.0869185531862011E-3</v>
      </c>
      <c r="AB92" s="87">
        <f t="shared" si="149"/>
        <v>9.0869185531862011E-3</v>
      </c>
      <c r="AC92" s="86">
        <f t="shared" si="122"/>
        <v>3.3088173133513226</v>
      </c>
      <c r="AD92" s="86">
        <f t="shared" si="150"/>
        <v>9.4284210705179797E-3</v>
      </c>
      <c r="AE92" s="86">
        <f t="shared" si="123"/>
        <v>1.2474684725000431E-2</v>
      </c>
      <c r="AF92" s="86">
        <f t="shared" si="124"/>
        <v>0.71085172714229961</v>
      </c>
      <c r="AG92" s="86">
        <f t="shared" si="125"/>
        <v>4.0608000000000005E-2</v>
      </c>
      <c r="AH92" s="86">
        <f t="shared" si="126"/>
        <v>0</v>
      </c>
      <c r="AI92" s="63">
        <f t="shared" si="151"/>
        <v>0.22378064516129031</v>
      </c>
      <c r="AJ92" s="63">
        <f t="shared" si="152"/>
        <v>0.98771505702859042</v>
      </c>
      <c r="AK92" s="86">
        <f t="shared" si="127"/>
        <v>7.3108299411525177</v>
      </c>
      <c r="AL92" s="86">
        <f t="shared" si="128"/>
        <v>4.6028492812627317E-2</v>
      </c>
      <c r="AM92" s="86">
        <f t="shared" si="129"/>
        <v>6.1459171019530599E-2</v>
      </c>
      <c r="AN92" s="86">
        <f t="shared" si="130"/>
        <v>0.17637915272100002</v>
      </c>
      <c r="AO92" s="86">
        <f t="shared" si="131"/>
        <v>979.78619336515487</v>
      </c>
      <c r="AP92" s="86">
        <f t="shared" si="153"/>
        <v>0.17637915272100002</v>
      </c>
      <c r="AQ92" s="81">
        <f t="shared" si="132"/>
        <v>0.46248</v>
      </c>
      <c r="AR92" s="81">
        <f t="shared" si="133"/>
        <v>50128320000</v>
      </c>
      <c r="AS92" s="81">
        <f t="shared" si="154"/>
        <v>0.46248</v>
      </c>
      <c r="AT92" s="61">
        <f t="shared" si="155"/>
        <v>0.23869935483870966</v>
      </c>
      <c r="AU92" s="63">
        <f t="shared" si="156"/>
        <v>0.47653767857924029</v>
      </c>
      <c r="AV92" s="86">
        <f t="shared" si="134"/>
        <v>0.25758602576634243</v>
      </c>
      <c r="AW92" s="86">
        <f t="shared" si="135"/>
        <v>2.9760000000000003E-3</v>
      </c>
      <c r="AX92" s="86">
        <f t="shared" si="136"/>
        <v>4.1360000000000001E-2</v>
      </c>
      <c r="AY92" s="86">
        <f t="shared" si="137"/>
        <v>4.4336E-2</v>
      </c>
      <c r="AZ92" s="86">
        <f t="shared" si="138"/>
        <v>3.1880828472025935</v>
      </c>
      <c r="BA92" s="85">
        <f t="shared" si="139"/>
        <v>32</v>
      </c>
      <c r="BB92" s="91">
        <f t="shared" si="157"/>
        <v>0.90939879103257137</v>
      </c>
      <c r="BC92" s="85">
        <f t="shared" si="158"/>
        <v>90.939879103257141</v>
      </c>
      <c r="BD92" s="86">
        <f t="shared" si="140"/>
        <v>1.333519878958114</v>
      </c>
      <c r="BE92" s="86">
        <f t="shared" si="159"/>
        <v>1.4642527356078308</v>
      </c>
      <c r="BF92" s="86">
        <f t="shared" si="141"/>
        <v>0.98771505702859042</v>
      </c>
      <c r="BG92" s="86">
        <f t="shared" si="142"/>
        <v>0.47653767857924029</v>
      </c>
      <c r="BH92" s="86">
        <f t="shared" si="143"/>
        <v>0.25758602576634243</v>
      </c>
      <c r="BI92" s="86">
        <f t="shared" si="160"/>
        <v>4.4336E-2</v>
      </c>
      <c r="BJ92" s="86">
        <f t="shared" si="161"/>
        <v>9.0869185531862011E-3</v>
      </c>
      <c r="BK92" s="86">
        <f t="shared" si="162"/>
        <v>7.9301288317120536E-2</v>
      </c>
      <c r="BL92" s="86">
        <f t="shared" si="163"/>
        <v>3.1880828472025939</v>
      </c>
      <c r="BQ92" s="92"/>
      <c r="BR92" s="93"/>
    </row>
    <row r="93" spans="3:70" x14ac:dyDescent="0.25">
      <c r="C93" s="61">
        <v>81</v>
      </c>
      <c r="D93" s="61">
        <f t="shared" si="103"/>
        <v>105</v>
      </c>
      <c r="E93" s="61">
        <f t="shared" si="104"/>
        <v>105</v>
      </c>
      <c r="F93" s="61">
        <f t="shared" si="105"/>
        <v>105</v>
      </c>
      <c r="G93" s="73">
        <f t="shared" si="106"/>
        <v>24</v>
      </c>
      <c r="H93" s="64">
        <f t="shared" si="107"/>
        <v>1</v>
      </c>
      <c r="I93" s="63">
        <f t="shared" si="144"/>
        <v>8.1</v>
      </c>
      <c r="J93" s="65">
        <f t="shared" si="108"/>
        <v>8.6117892021752077E-4</v>
      </c>
      <c r="K93" s="65">
        <f t="shared" si="109"/>
        <v>8.6117892021752077E-4</v>
      </c>
      <c r="L93" s="65">
        <f t="shared" si="110"/>
        <v>5.1791610661465239E-3</v>
      </c>
      <c r="M93" s="65">
        <f t="shared" si="111"/>
        <v>4.0000000000000001E-3</v>
      </c>
      <c r="N93" s="63">
        <f t="shared" si="112"/>
        <v>0.17005528141206452</v>
      </c>
      <c r="O93" s="64">
        <f t="shared" si="113"/>
        <v>2.1818384911816575</v>
      </c>
      <c r="P93" s="64">
        <f t="shared" si="114"/>
        <v>9.1909192455908286</v>
      </c>
      <c r="Q93" s="64">
        <f t="shared" si="115"/>
        <v>7.0090807544091707</v>
      </c>
      <c r="R93" s="64">
        <f t="shared" si="116"/>
        <v>0</v>
      </c>
      <c r="S93" s="64">
        <f t="shared" si="117"/>
        <v>8.1244508491425727</v>
      </c>
      <c r="T93" s="63">
        <f t="shared" si="145"/>
        <v>0.3418593390321627</v>
      </c>
      <c r="U93" s="63">
        <f t="shared" si="118"/>
        <v>1</v>
      </c>
      <c r="V93" s="63">
        <f t="shared" si="146"/>
        <v>1.3418593390321627</v>
      </c>
      <c r="W93" s="64">
        <f t="shared" si="147"/>
        <v>0.6298425201060085</v>
      </c>
      <c r="X93" s="63">
        <f t="shared" si="119"/>
        <v>7.9340320026697553E-2</v>
      </c>
      <c r="Y93" s="63">
        <f t="shared" si="148"/>
        <v>7.9340320026697553E-2</v>
      </c>
      <c r="Z93" s="64">
        <f t="shared" si="120"/>
        <v>3.052204727222994</v>
      </c>
      <c r="AA93" s="74">
        <f t="shared" si="121"/>
        <v>9.3159536968823904E-3</v>
      </c>
      <c r="AB93" s="75">
        <f t="shared" si="149"/>
        <v>9.3159536968823904E-3</v>
      </c>
      <c r="AC93" s="63">
        <f t="shared" si="122"/>
        <v>3.3503415073232263</v>
      </c>
      <c r="AD93" s="63">
        <f t="shared" si="150"/>
        <v>9.6665509952607361E-3</v>
      </c>
      <c r="AE93" s="63">
        <f t="shared" si="123"/>
        <v>1.2790510062953347E-2</v>
      </c>
      <c r="AF93" s="63">
        <f t="shared" si="124"/>
        <v>0.71935165180753535</v>
      </c>
      <c r="AG93" s="63">
        <f t="shared" si="125"/>
        <v>4.0608000000000005E-2</v>
      </c>
      <c r="AH93" s="63">
        <f t="shared" si="126"/>
        <v>0</v>
      </c>
      <c r="AI93" s="63">
        <f t="shared" si="151"/>
        <v>0.22378064516129031</v>
      </c>
      <c r="AJ93" s="63">
        <f t="shared" si="152"/>
        <v>0.9965308070317791</v>
      </c>
      <c r="AK93" s="63">
        <f t="shared" si="127"/>
        <v>7.4014804859866121</v>
      </c>
      <c r="AL93" s="63">
        <f t="shared" si="128"/>
        <v>4.7177029015862314E-2</v>
      </c>
      <c r="AM93" s="63">
        <f t="shared" si="129"/>
        <v>6.3010899728045078E-2</v>
      </c>
      <c r="AN93" s="63">
        <f t="shared" si="130"/>
        <v>0.17863414363657851</v>
      </c>
      <c r="AO93" s="63">
        <f t="shared" si="131"/>
        <v>992.31266790119355</v>
      </c>
      <c r="AP93" s="63">
        <f t="shared" si="153"/>
        <v>0.17863414363657851</v>
      </c>
      <c r="AQ93" s="61">
        <f t="shared" si="132"/>
        <v>0.46248</v>
      </c>
      <c r="AR93" s="61">
        <f t="shared" si="133"/>
        <v>50128320000</v>
      </c>
      <c r="AS93" s="61">
        <f t="shared" si="154"/>
        <v>0.46248</v>
      </c>
      <c r="AT93" s="61">
        <f t="shared" si="155"/>
        <v>0.23869935483870966</v>
      </c>
      <c r="AU93" s="63">
        <f t="shared" si="156"/>
        <v>0.48034439820333324</v>
      </c>
      <c r="AV93" s="63">
        <f t="shared" si="134"/>
        <v>0.26402680640053389</v>
      </c>
      <c r="AW93" s="63">
        <f t="shared" si="135"/>
        <v>2.9760000000000003E-3</v>
      </c>
      <c r="AX93" s="63">
        <f t="shared" si="136"/>
        <v>4.1360000000000001E-2</v>
      </c>
      <c r="AY93" s="63">
        <f t="shared" si="137"/>
        <v>4.4336E-2</v>
      </c>
      <c r="AZ93" s="63">
        <f t="shared" si="138"/>
        <v>3.2157536243913887</v>
      </c>
      <c r="BA93" s="64">
        <f t="shared" si="139"/>
        <v>32.4</v>
      </c>
      <c r="BB93" s="76">
        <f t="shared" si="157"/>
        <v>0.90970979700990839</v>
      </c>
      <c r="BC93" s="64">
        <f t="shared" si="158"/>
        <v>90.970979700990839</v>
      </c>
      <c r="BD93" s="63">
        <f t="shared" si="140"/>
        <v>1.3418593390321627</v>
      </c>
      <c r="BE93" s="63">
        <f t="shared" si="159"/>
        <v>1.4768752052351124</v>
      </c>
      <c r="BF93" s="63">
        <f t="shared" si="141"/>
        <v>0.9965308070317791</v>
      </c>
      <c r="BG93" s="63">
        <f t="shared" si="142"/>
        <v>0.48034439820333324</v>
      </c>
      <c r="BH93" s="63">
        <f t="shared" si="143"/>
        <v>0.26402680640053389</v>
      </c>
      <c r="BI93" s="63">
        <f t="shared" si="160"/>
        <v>4.4336E-2</v>
      </c>
      <c r="BJ93" s="63">
        <f t="shared" si="161"/>
        <v>9.3159536968823904E-3</v>
      </c>
      <c r="BK93" s="63">
        <f t="shared" si="162"/>
        <v>7.9340320026697553E-2</v>
      </c>
      <c r="BL93" s="63">
        <f t="shared" si="163"/>
        <v>3.2157536243913887</v>
      </c>
      <c r="BQ93" s="77"/>
      <c r="BR93" s="78"/>
    </row>
    <row r="94" spans="3:70" x14ac:dyDescent="0.25">
      <c r="C94" s="61">
        <v>82</v>
      </c>
      <c r="D94" s="61">
        <f t="shared" si="103"/>
        <v>105</v>
      </c>
      <c r="E94" s="61">
        <f t="shared" si="104"/>
        <v>105</v>
      </c>
      <c r="F94" s="61">
        <f t="shared" si="105"/>
        <v>105</v>
      </c>
      <c r="G94" s="73">
        <f t="shared" si="106"/>
        <v>24</v>
      </c>
      <c r="H94" s="64">
        <f t="shared" si="107"/>
        <v>1</v>
      </c>
      <c r="I94" s="63">
        <f t="shared" si="144"/>
        <v>8.1999999999999993</v>
      </c>
      <c r="J94" s="65">
        <f t="shared" si="108"/>
        <v>8.6117892021752077E-4</v>
      </c>
      <c r="K94" s="65">
        <f t="shared" si="109"/>
        <v>8.6117892021752077E-4</v>
      </c>
      <c r="L94" s="65">
        <f t="shared" si="110"/>
        <v>5.1791610661465239E-3</v>
      </c>
      <c r="M94" s="65">
        <f t="shared" si="111"/>
        <v>4.0000000000000001E-3</v>
      </c>
      <c r="N94" s="63">
        <f t="shared" si="112"/>
        <v>0.17009711616200773</v>
      </c>
      <c r="O94" s="64">
        <f t="shared" si="113"/>
        <v>2.1823752382143704</v>
      </c>
      <c r="P94" s="64">
        <f t="shared" si="114"/>
        <v>9.291187619107184</v>
      </c>
      <c r="Q94" s="64">
        <f t="shared" si="115"/>
        <v>7.1088123808928145</v>
      </c>
      <c r="R94" s="64">
        <f t="shared" si="116"/>
        <v>0</v>
      </c>
      <c r="S94" s="64">
        <f t="shared" si="117"/>
        <v>8.224165417031541</v>
      </c>
      <c r="T94" s="63">
        <f t="shared" si="145"/>
        <v>0.35030238257621826</v>
      </c>
      <c r="U94" s="63">
        <f t="shared" si="118"/>
        <v>1</v>
      </c>
      <c r="V94" s="63">
        <f t="shared" si="146"/>
        <v>1.3503023825762184</v>
      </c>
      <c r="W94" s="64">
        <f t="shared" si="147"/>
        <v>0.62999746562792025</v>
      </c>
      <c r="X94" s="63">
        <f t="shared" si="119"/>
        <v>7.9379361339520518E-2</v>
      </c>
      <c r="Y94" s="63">
        <f t="shared" si="148"/>
        <v>7.9379361339520518E-2</v>
      </c>
      <c r="Z94" s="64">
        <f t="shared" si="120"/>
        <v>3.0899677670083863</v>
      </c>
      <c r="AA94" s="74">
        <f t="shared" si="121"/>
        <v>9.5479008011507931E-3</v>
      </c>
      <c r="AB94" s="75">
        <f t="shared" si="149"/>
        <v>9.5479008011507931E-3</v>
      </c>
      <c r="AC94" s="63">
        <f t="shared" si="122"/>
        <v>3.3918786966763079</v>
      </c>
      <c r="AD94" s="63">
        <f t="shared" si="150"/>
        <v>9.9077266297151103E-3</v>
      </c>
      <c r="AE94" s="63">
        <f t="shared" si="123"/>
        <v>1.3110412959349716E-2</v>
      </c>
      <c r="AF94" s="63">
        <f t="shared" si="124"/>
        <v>0.72785157647277088</v>
      </c>
      <c r="AG94" s="63">
        <f t="shared" si="125"/>
        <v>4.0608000000000005E-2</v>
      </c>
      <c r="AH94" s="63">
        <f t="shared" si="126"/>
        <v>0</v>
      </c>
      <c r="AI94" s="63">
        <f t="shared" si="151"/>
        <v>0.22378064516129031</v>
      </c>
      <c r="AJ94" s="63">
        <f t="shared" si="152"/>
        <v>1.0053506345934109</v>
      </c>
      <c r="AK94" s="63">
        <f t="shared" si="127"/>
        <v>7.492132921520481</v>
      </c>
      <c r="AL94" s="63">
        <f t="shared" si="128"/>
        <v>4.8339743129140599E-2</v>
      </c>
      <c r="AM94" s="63">
        <f t="shared" si="129"/>
        <v>6.4582694828356005E-2</v>
      </c>
      <c r="AN94" s="63">
        <f t="shared" si="130"/>
        <v>0.18088913455215699</v>
      </c>
      <c r="AO94" s="63">
        <f t="shared" si="131"/>
        <v>1004.8391424372321</v>
      </c>
      <c r="AP94" s="63">
        <f t="shared" si="153"/>
        <v>0.18088913455215699</v>
      </c>
      <c r="AQ94" s="61">
        <f t="shared" si="132"/>
        <v>0.46248</v>
      </c>
      <c r="AR94" s="61">
        <f t="shared" si="133"/>
        <v>50128320000</v>
      </c>
      <c r="AS94" s="61">
        <f t="shared" si="154"/>
        <v>0.46248</v>
      </c>
      <c r="AT94" s="61">
        <f t="shared" si="155"/>
        <v>0.23869935483870966</v>
      </c>
      <c r="AU94" s="63">
        <f t="shared" si="156"/>
        <v>0.48417118421922267</v>
      </c>
      <c r="AV94" s="63">
        <f t="shared" si="134"/>
        <v>0.27054758722679034</v>
      </c>
      <c r="AW94" s="63">
        <f t="shared" si="135"/>
        <v>2.9760000000000003E-3</v>
      </c>
      <c r="AX94" s="63">
        <f t="shared" si="136"/>
        <v>4.1360000000000001E-2</v>
      </c>
      <c r="AY94" s="63">
        <f t="shared" si="137"/>
        <v>4.4336E-2</v>
      </c>
      <c r="AZ94" s="63">
        <f t="shared" si="138"/>
        <v>3.2436350507563136</v>
      </c>
      <c r="BA94" s="64">
        <f t="shared" si="139"/>
        <v>32.799999999999997</v>
      </c>
      <c r="BB94" s="76">
        <f t="shared" si="157"/>
        <v>0.91000810417182798</v>
      </c>
      <c r="BC94" s="64">
        <f t="shared" si="158"/>
        <v>91.000810417182805</v>
      </c>
      <c r="BD94" s="63">
        <f t="shared" si="140"/>
        <v>1.3503023825762184</v>
      </c>
      <c r="BE94" s="63">
        <f t="shared" si="159"/>
        <v>1.4895218188126336</v>
      </c>
      <c r="BF94" s="63">
        <f t="shared" si="141"/>
        <v>1.0053506345934109</v>
      </c>
      <c r="BG94" s="63">
        <f t="shared" si="142"/>
        <v>0.48417118421922267</v>
      </c>
      <c r="BH94" s="63">
        <f t="shared" si="143"/>
        <v>0.27054758722679034</v>
      </c>
      <c r="BI94" s="63">
        <f t="shared" si="160"/>
        <v>4.4336E-2</v>
      </c>
      <c r="BJ94" s="63">
        <f t="shared" si="161"/>
        <v>9.5479008011507931E-3</v>
      </c>
      <c r="BK94" s="63">
        <f t="shared" si="162"/>
        <v>7.9379361339520518E-2</v>
      </c>
      <c r="BL94" s="63">
        <f t="shared" si="163"/>
        <v>3.2436350507563141</v>
      </c>
      <c r="BQ94" s="77"/>
      <c r="BR94" s="78"/>
    </row>
    <row r="95" spans="3:70" x14ac:dyDescent="0.25">
      <c r="C95" s="61">
        <v>83</v>
      </c>
      <c r="D95" s="61">
        <f t="shared" si="103"/>
        <v>105</v>
      </c>
      <c r="E95" s="61">
        <f t="shared" si="104"/>
        <v>105</v>
      </c>
      <c r="F95" s="61">
        <f t="shared" si="105"/>
        <v>105</v>
      </c>
      <c r="G95" s="73">
        <f t="shared" si="106"/>
        <v>24</v>
      </c>
      <c r="H95" s="64">
        <f t="shared" si="107"/>
        <v>1</v>
      </c>
      <c r="I95" s="63">
        <f t="shared" si="144"/>
        <v>8.3000000000000007</v>
      </c>
      <c r="J95" s="65">
        <f t="shared" si="108"/>
        <v>8.6117892021752077E-4</v>
      </c>
      <c r="K95" s="65">
        <f t="shared" si="109"/>
        <v>8.6117892021752077E-4</v>
      </c>
      <c r="L95" s="65">
        <f t="shared" si="110"/>
        <v>5.1791610661465239E-3</v>
      </c>
      <c r="M95" s="65">
        <f t="shared" si="111"/>
        <v>4.0000000000000001E-3</v>
      </c>
      <c r="N95" s="63">
        <f t="shared" si="112"/>
        <v>0.17013895091195089</v>
      </c>
      <c r="O95" s="64">
        <f t="shared" si="113"/>
        <v>2.1829119852470824</v>
      </c>
      <c r="P95" s="64">
        <f t="shared" si="114"/>
        <v>9.3914559926235412</v>
      </c>
      <c r="Q95" s="64">
        <f t="shared" si="115"/>
        <v>7.2085440073764593</v>
      </c>
      <c r="R95" s="64">
        <f t="shared" si="116"/>
        <v>0</v>
      </c>
      <c r="S95" s="64">
        <f t="shared" si="117"/>
        <v>8.3238868361648191</v>
      </c>
      <c r="T95" s="63">
        <f t="shared" si="145"/>
        <v>0.35884900959028071</v>
      </c>
      <c r="U95" s="63">
        <f t="shared" si="118"/>
        <v>1</v>
      </c>
      <c r="V95" s="63">
        <f t="shared" si="146"/>
        <v>1.3588490095902808</v>
      </c>
      <c r="W95" s="64">
        <f t="shared" si="147"/>
        <v>0.63015241114983178</v>
      </c>
      <c r="X95" s="63">
        <f t="shared" si="119"/>
        <v>7.9418412255589335E-2</v>
      </c>
      <c r="Y95" s="63">
        <f t="shared" si="148"/>
        <v>7.9418412255589335E-2</v>
      </c>
      <c r="Z95" s="64">
        <f t="shared" si="120"/>
        <v>3.1277406390476941</v>
      </c>
      <c r="AA95" s="74">
        <f t="shared" si="121"/>
        <v>9.7827615051504762E-3</v>
      </c>
      <c r="AB95" s="75">
        <f t="shared" si="149"/>
        <v>9.7827615051504762E-3</v>
      </c>
      <c r="AC95" s="63">
        <f t="shared" si="122"/>
        <v>3.4334287752981849</v>
      </c>
      <c r="AD95" s="63">
        <f t="shared" si="150"/>
        <v>1.0151950135518586E-2</v>
      </c>
      <c r="AE95" s="63">
        <f t="shared" si="123"/>
        <v>1.3434397742207478E-2</v>
      </c>
      <c r="AF95" s="63">
        <f t="shared" si="124"/>
        <v>0.73635150113800651</v>
      </c>
      <c r="AG95" s="63">
        <f t="shared" si="125"/>
        <v>4.0608000000000005E-2</v>
      </c>
      <c r="AH95" s="63">
        <f t="shared" si="126"/>
        <v>0</v>
      </c>
      <c r="AI95" s="63">
        <f t="shared" si="151"/>
        <v>0.22378064516129031</v>
      </c>
      <c r="AJ95" s="63">
        <f t="shared" si="152"/>
        <v>1.0141745440415042</v>
      </c>
      <c r="AK95" s="63">
        <f t="shared" si="127"/>
        <v>7.5827870144315916</v>
      </c>
      <c r="AL95" s="63">
        <f t="shared" si="128"/>
        <v>4.9516632990824726E-2</v>
      </c>
      <c r="AM95" s="63">
        <f t="shared" si="129"/>
        <v>6.6174587756148234E-2</v>
      </c>
      <c r="AN95" s="63">
        <f t="shared" si="130"/>
        <v>0.18314412546773551</v>
      </c>
      <c r="AO95" s="63">
        <f t="shared" si="131"/>
        <v>1017.3656169732707</v>
      </c>
      <c r="AP95" s="63">
        <f t="shared" si="153"/>
        <v>0.18314412546773551</v>
      </c>
      <c r="AQ95" s="61">
        <f t="shared" si="132"/>
        <v>0.46248</v>
      </c>
      <c r="AR95" s="61">
        <f t="shared" si="133"/>
        <v>50128320000</v>
      </c>
      <c r="AS95" s="61">
        <f t="shared" si="154"/>
        <v>0.46248</v>
      </c>
      <c r="AT95" s="61">
        <f t="shared" si="155"/>
        <v>0.23869935483870966</v>
      </c>
      <c r="AU95" s="63">
        <f t="shared" si="156"/>
        <v>0.4880180680625934</v>
      </c>
      <c r="AV95" s="63">
        <f t="shared" si="134"/>
        <v>0.27714836824511185</v>
      </c>
      <c r="AW95" s="63">
        <f t="shared" si="135"/>
        <v>2.9760000000000003E-3</v>
      </c>
      <c r="AX95" s="63">
        <f t="shared" si="136"/>
        <v>4.1360000000000001E-2</v>
      </c>
      <c r="AY95" s="63">
        <f t="shared" si="137"/>
        <v>4.4336E-2</v>
      </c>
      <c r="AZ95" s="63">
        <f t="shared" si="138"/>
        <v>3.2717271637002296</v>
      </c>
      <c r="BA95" s="64">
        <f t="shared" si="139"/>
        <v>33.200000000000003</v>
      </c>
      <c r="BB95" s="76">
        <f t="shared" si="157"/>
        <v>0.91029415335842589</v>
      </c>
      <c r="BC95" s="64">
        <f t="shared" si="158"/>
        <v>91.029415335842586</v>
      </c>
      <c r="BD95" s="63">
        <f t="shared" si="140"/>
        <v>1.3588490095902808</v>
      </c>
      <c r="BE95" s="63">
        <f t="shared" si="159"/>
        <v>1.5021926121040976</v>
      </c>
      <c r="BF95" s="63">
        <f t="shared" si="141"/>
        <v>1.0141745440415042</v>
      </c>
      <c r="BG95" s="63">
        <f t="shared" si="142"/>
        <v>0.4880180680625934</v>
      </c>
      <c r="BH95" s="63">
        <f t="shared" si="143"/>
        <v>0.27714836824511185</v>
      </c>
      <c r="BI95" s="63">
        <f t="shared" si="160"/>
        <v>4.4336E-2</v>
      </c>
      <c r="BJ95" s="63">
        <f t="shared" si="161"/>
        <v>9.7827615051504762E-3</v>
      </c>
      <c r="BK95" s="63">
        <f t="shared" si="162"/>
        <v>7.9418412255589335E-2</v>
      </c>
      <c r="BL95" s="63">
        <f t="shared" si="163"/>
        <v>3.2717271637002292</v>
      </c>
      <c r="BQ95" s="77"/>
      <c r="BR95" s="78"/>
    </row>
    <row r="96" spans="3:70" x14ac:dyDescent="0.25">
      <c r="C96" s="61">
        <v>84</v>
      </c>
      <c r="D96" s="61">
        <f t="shared" si="103"/>
        <v>105</v>
      </c>
      <c r="E96" s="61">
        <f t="shared" si="104"/>
        <v>105</v>
      </c>
      <c r="F96" s="61">
        <f t="shared" si="105"/>
        <v>105</v>
      </c>
      <c r="G96" s="73">
        <f t="shared" si="106"/>
        <v>24</v>
      </c>
      <c r="H96" s="64">
        <f t="shared" si="107"/>
        <v>1</v>
      </c>
      <c r="I96" s="63">
        <f t="shared" si="144"/>
        <v>8.4</v>
      </c>
      <c r="J96" s="65">
        <f t="shared" si="108"/>
        <v>8.6117892021752077E-4</v>
      </c>
      <c r="K96" s="65">
        <f t="shared" si="109"/>
        <v>8.6117892021752077E-4</v>
      </c>
      <c r="L96" s="65">
        <f t="shared" si="110"/>
        <v>5.1791610661465239E-3</v>
      </c>
      <c r="M96" s="65">
        <f t="shared" si="111"/>
        <v>4.0000000000000001E-3</v>
      </c>
      <c r="N96" s="63">
        <f t="shared" si="112"/>
        <v>0.1701807856618941</v>
      </c>
      <c r="O96" s="64">
        <f t="shared" si="113"/>
        <v>2.1834487322797953</v>
      </c>
      <c r="P96" s="64">
        <f t="shared" si="114"/>
        <v>9.4917243661398985</v>
      </c>
      <c r="Q96" s="64">
        <f t="shared" si="115"/>
        <v>7.3082756338601023</v>
      </c>
      <c r="R96" s="64">
        <f t="shared" si="116"/>
        <v>0</v>
      </c>
      <c r="S96" s="64">
        <f t="shared" si="117"/>
        <v>8.4236148632208092</v>
      </c>
      <c r="T96" s="63">
        <f t="shared" si="145"/>
        <v>0.36749922007434965</v>
      </c>
      <c r="U96" s="63">
        <f t="shared" si="118"/>
        <v>1</v>
      </c>
      <c r="V96" s="63">
        <f t="shared" si="146"/>
        <v>1.3674992200743497</v>
      </c>
      <c r="W96" s="64">
        <f t="shared" si="147"/>
        <v>0.63030735667174353</v>
      </c>
      <c r="X96" s="63">
        <f t="shared" si="119"/>
        <v>7.9457472774904114E-2</v>
      </c>
      <c r="Y96" s="63">
        <f t="shared" si="148"/>
        <v>7.9457472774904114E-2</v>
      </c>
      <c r="Z96" s="64">
        <f t="shared" si="120"/>
        <v>3.1655232502100592</v>
      </c>
      <c r="AA96" s="74">
        <f t="shared" si="121"/>
        <v>1.0020537447620458E-2</v>
      </c>
      <c r="AB96" s="75">
        <f t="shared" si="149"/>
        <v>1.0020537447620458E-2</v>
      </c>
      <c r="AC96" s="63">
        <f t="shared" si="122"/>
        <v>3.4749916420073528</v>
      </c>
      <c r="AD96" s="63">
        <f t="shared" si="150"/>
        <v>1.0399223674308631E-2</v>
      </c>
      <c r="AE96" s="63">
        <f t="shared" si="123"/>
        <v>1.3762468759841573E-2</v>
      </c>
      <c r="AF96" s="63">
        <f t="shared" si="124"/>
        <v>0.74485142580324215</v>
      </c>
      <c r="AG96" s="63">
        <f t="shared" si="125"/>
        <v>4.0608000000000005E-2</v>
      </c>
      <c r="AH96" s="63">
        <f t="shared" si="126"/>
        <v>0</v>
      </c>
      <c r="AI96" s="63">
        <f t="shared" si="151"/>
        <v>0.22378064516129031</v>
      </c>
      <c r="AJ96" s="63">
        <f t="shared" si="152"/>
        <v>1.023002539724374</v>
      </c>
      <c r="AK96" s="63">
        <f t="shared" si="127"/>
        <v>7.6734425424221149</v>
      </c>
      <c r="AL96" s="63">
        <f t="shared" si="128"/>
        <v>5.0707696439277167E-2</v>
      </c>
      <c r="AM96" s="63">
        <f t="shared" si="129"/>
        <v>6.7786610409948031E-2</v>
      </c>
      <c r="AN96" s="63">
        <f t="shared" si="130"/>
        <v>0.18539911638331399</v>
      </c>
      <c r="AO96" s="63">
        <f t="shared" si="131"/>
        <v>1029.8920915093092</v>
      </c>
      <c r="AP96" s="63">
        <f t="shared" si="153"/>
        <v>0.18539911638331399</v>
      </c>
      <c r="AQ96" s="61">
        <f t="shared" si="132"/>
        <v>0.46248</v>
      </c>
      <c r="AR96" s="61">
        <f t="shared" si="133"/>
        <v>50128320000</v>
      </c>
      <c r="AS96" s="61">
        <f t="shared" si="154"/>
        <v>0.46248</v>
      </c>
      <c r="AT96" s="61">
        <f t="shared" si="155"/>
        <v>0.23869935483870966</v>
      </c>
      <c r="AU96" s="63">
        <f t="shared" si="156"/>
        <v>0.49188508163197164</v>
      </c>
      <c r="AV96" s="63">
        <f t="shared" si="134"/>
        <v>0.28382914945549814</v>
      </c>
      <c r="AW96" s="63">
        <f t="shared" si="135"/>
        <v>2.9760000000000003E-3</v>
      </c>
      <c r="AX96" s="63">
        <f t="shared" si="136"/>
        <v>4.1360000000000001E-2</v>
      </c>
      <c r="AY96" s="63">
        <f t="shared" si="137"/>
        <v>4.4336E-2</v>
      </c>
      <c r="AZ96" s="63">
        <f t="shared" si="138"/>
        <v>3.300030001108718</v>
      </c>
      <c r="BA96" s="64">
        <f t="shared" si="139"/>
        <v>33.6</v>
      </c>
      <c r="BB96" s="76">
        <f t="shared" si="157"/>
        <v>0.91056836536421348</v>
      </c>
      <c r="BC96" s="64">
        <f t="shared" si="158"/>
        <v>91.056836536421343</v>
      </c>
      <c r="BD96" s="63">
        <f t="shared" si="140"/>
        <v>1.3674992200743497</v>
      </c>
      <c r="BE96" s="63">
        <f t="shared" si="159"/>
        <v>1.5148876213563458</v>
      </c>
      <c r="BF96" s="63">
        <f t="shared" si="141"/>
        <v>1.023002539724374</v>
      </c>
      <c r="BG96" s="63">
        <f t="shared" si="142"/>
        <v>0.49188508163197164</v>
      </c>
      <c r="BH96" s="63">
        <f t="shared" si="143"/>
        <v>0.28382914945549814</v>
      </c>
      <c r="BI96" s="63">
        <f t="shared" si="160"/>
        <v>4.4336E-2</v>
      </c>
      <c r="BJ96" s="63">
        <f t="shared" si="161"/>
        <v>1.0020537447620458E-2</v>
      </c>
      <c r="BK96" s="63">
        <f t="shared" si="162"/>
        <v>7.9457472774904114E-2</v>
      </c>
      <c r="BL96" s="63">
        <f t="shared" si="163"/>
        <v>3.3000300011087185</v>
      </c>
      <c r="BQ96" s="77"/>
      <c r="BR96" s="78"/>
    </row>
    <row r="97" spans="3:70" x14ac:dyDescent="0.25">
      <c r="C97" s="61">
        <v>85</v>
      </c>
      <c r="D97" s="61">
        <f t="shared" si="103"/>
        <v>105</v>
      </c>
      <c r="E97" s="61">
        <f t="shared" si="104"/>
        <v>105</v>
      </c>
      <c r="F97" s="61">
        <f t="shared" si="105"/>
        <v>105</v>
      </c>
      <c r="G97" s="73">
        <f t="shared" si="106"/>
        <v>24</v>
      </c>
      <c r="H97" s="64">
        <f t="shared" si="107"/>
        <v>1</v>
      </c>
      <c r="I97" s="63">
        <f t="shared" si="144"/>
        <v>8.5</v>
      </c>
      <c r="J97" s="65">
        <f t="shared" si="108"/>
        <v>8.6117892021752077E-4</v>
      </c>
      <c r="K97" s="65">
        <f t="shared" si="109"/>
        <v>8.6117892021752077E-4</v>
      </c>
      <c r="L97" s="65">
        <f t="shared" si="110"/>
        <v>5.1791610661465239E-3</v>
      </c>
      <c r="M97" s="65">
        <f t="shared" si="111"/>
        <v>4.0000000000000001E-3</v>
      </c>
      <c r="N97" s="63">
        <f t="shared" si="112"/>
        <v>0.17022262041183725</v>
      </c>
      <c r="O97" s="64">
        <f t="shared" si="113"/>
        <v>2.1839854793125073</v>
      </c>
      <c r="P97" s="64">
        <f t="shared" si="114"/>
        <v>9.5919927396562539</v>
      </c>
      <c r="Q97" s="64">
        <f t="shared" si="115"/>
        <v>7.4080072603437461</v>
      </c>
      <c r="R97" s="64">
        <f t="shared" si="116"/>
        <v>0</v>
      </c>
      <c r="S97" s="64">
        <f t="shared" si="117"/>
        <v>8.52334926625017</v>
      </c>
      <c r="T97" s="63">
        <f t="shared" si="145"/>
        <v>0.37625301402842526</v>
      </c>
      <c r="U97" s="63">
        <f t="shared" si="118"/>
        <v>1</v>
      </c>
      <c r="V97" s="63">
        <f t="shared" si="146"/>
        <v>1.3762530140284253</v>
      </c>
      <c r="W97" s="64">
        <f t="shared" si="147"/>
        <v>0.63046230219365496</v>
      </c>
      <c r="X97" s="63">
        <f t="shared" si="119"/>
        <v>7.9496542897464717E-2</v>
      </c>
      <c r="Y97" s="63">
        <f t="shared" si="148"/>
        <v>7.9496542897464717E-2</v>
      </c>
      <c r="Z97" s="64">
        <f t="shared" si="120"/>
        <v>3.2033155116035217</v>
      </c>
      <c r="AA97" s="74">
        <f t="shared" si="121"/>
        <v>1.0261230266879732E-2</v>
      </c>
      <c r="AB97" s="75">
        <f t="shared" si="149"/>
        <v>1.0261230266879732E-2</v>
      </c>
      <c r="AC97" s="63">
        <f t="shared" si="122"/>
        <v>3.5165672002655772</v>
      </c>
      <c r="AD97" s="63">
        <f t="shared" si="150"/>
        <v>1.0649549407722716E-2</v>
      </c>
      <c r="AE97" s="63">
        <f t="shared" si="123"/>
        <v>1.4094630380925049E-2</v>
      </c>
      <c r="AF97" s="63">
        <f t="shared" si="124"/>
        <v>0.75335135046847768</v>
      </c>
      <c r="AG97" s="63">
        <f t="shared" si="125"/>
        <v>4.0608000000000005E-2</v>
      </c>
      <c r="AH97" s="63">
        <f t="shared" si="126"/>
        <v>0</v>
      </c>
      <c r="AI97" s="63">
        <f t="shared" si="151"/>
        <v>0.22378064516129031</v>
      </c>
      <c r="AJ97" s="63">
        <f t="shared" si="152"/>
        <v>1.031834626010693</v>
      </c>
      <c r="AK97" s="63">
        <f t="shared" si="127"/>
        <v>7.7640992935757609</v>
      </c>
      <c r="AL97" s="63">
        <f t="shared" si="128"/>
        <v>5.1912931312860469E-2</v>
      </c>
      <c r="AM97" s="63">
        <f t="shared" si="129"/>
        <v>6.9418795152834292E-2</v>
      </c>
      <c r="AN97" s="63">
        <f t="shared" si="130"/>
        <v>0.18765410729889251</v>
      </c>
      <c r="AO97" s="63">
        <f t="shared" si="131"/>
        <v>1042.4185660453479</v>
      </c>
      <c r="AP97" s="63">
        <f t="shared" si="153"/>
        <v>0.18765410729889251</v>
      </c>
      <c r="AQ97" s="61">
        <f t="shared" si="132"/>
        <v>0.46248</v>
      </c>
      <c r="AR97" s="61">
        <f t="shared" si="133"/>
        <v>50128320000</v>
      </c>
      <c r="AS97" s="61">
        <f t="shared" si="154"/>
        <v>0.46248</v>
      </c>
      <c r="AT97" s="61">
        <f t="shared" si="155"/>
        <v>0.23869935483870966</v>
      </c>
      <c r="AU97" s="63">
        <f t="shared" si="156"/>
        <v>0.4957722572904365</v>
      </c>
      <c r="AV97" s="63">
        <f t="shared" si="134"/>
        <v>0.29058993085794926</v>
      </c>
      <c r="AW97" s="63">
        <f t="shared" si="135"/>
        <v>2.9760000000000003E-3</v>
      </c>
      <c r="AX97" s="63">
        <f t="shared" si="136"/>
        <v>4.1360000000000001E-2</v>
      </c>
      <c r="AY97" s="63">
        <f t="shared" si="137"/>
        <v>4.4336E-2</v>
      </c>
      <c r="AZ97" s="63">
        <f t="shared" si="138"/>
        <v>3.3285436013518481</v>
      </c>
      <c r="BA97" s="64">
        <f t="shared" si="139"/>
        <v>34</v>
      </c>
      <c r="BB97" s="76">
        <f t="shared" si="157"/>
        <v>0.91083114206386284</v>
      </c>
      <c r="BC97" s="64">
        <f t="shared" si="158"/>
        <v>91.083114206386284</v>
      </c>
      <c r="BD97" s="63">
        <f t="shared" si="140"/>
        <v>1.3762530140284253</v>
      </c>
      <c r="BE97" s="63">
        <f t="shared" si="159"/>
        <v>1.5276068833011296</v>
      </c>
      <c r="BF97" s="63">
        <f t="shared" si="141"/>
        <v>1.031834626010693</v>
      </c>
      <c r="BG97" s="63">
        <f t="shared" si="142"/>
        <v>0.4957722572904365</v>
      </c>
      <c r="BH97" s="63">
        <f t="shared" si="143"/>
        <v>0.29058993085794926</v>
      </c>
      <c r="BI97" s="63">
        <f t="shared" si="160"/>
        <v>4.4336E-2</v>
      </c>
      <c r="BJ97" s="63">
        <f t="shared" si="161"/>
        <v>1.0261230266879732E-2</v>
      </c>
      <c r="BK97" s="63">
        <f t="shared" si="162"/>
        <v>7.9496542897464717E-2</v>
      </c>
      <c r="BL97" s="63">
        <f t="shared" si="163"/>
        <v>3.3285436013518481</v>
      </c>
      <c r="BQ97" s="77"/>
      <c r="BR97" s="78"/>
    </row>
    <row r="98" spans="3:70" x14ac:dyDescent="0.25">
      <c r="C98" s="61">
        <v>86</v>
      </c>
      <c r="D98" s="61">
        <f t="shared" si="103"/>
        <v>105</v>
      </c>
      <c r="E98" s="61">
        <f t="shared" si="104"/>
        <v>105</v>
      </c>
      <c r="F98" s="61">
        <f t="shared" si="105"/>
        <v>105</v>
      </c>
      <c r="G98" s="73">
        <f t="shared" si="106"/>
        <v>24</v>
      </c>
      <c r="H98" s="64">
        <f t="shared" si="107"/>
        <v>1</v>
      </c>
      <c r="I98" s="63">
        <f t="shared" si="144"/>
        <v>8.6</v>
      </c>
      <c r="J98" s="65">
        <f t="shared" si="108"/>
        <v>8.6117892021752077E-4</v>
      </c>
      <c r="K98" s="65">
        <f t="shared" si="109"/>
        <v>8.6117892021752077E-4</v>
      </c>
      <c r="L98" s="65">
        <f t="shared" si="110"/>
        <v>5.1791610661465239E-3</v>
      </c>
      <c r="M98" s="65">
        <f t="shared" si="111"/>
        <v>4.0000000000000001E-3</v>
      </c>
      <c r="N98" s="63">
        <f t="shared" si="112"/>
        <v>0.17026445516178046</v>
      </c>
      <c r="O98" s="64">
        <f t="shared" si="113"/>
        <v>2.1845222263452202</v>
      </c>
      <c r="P98" s="64">
        <f t="shared" si="114"/>
        <v>9.6922611131726093</v>
      </c>
      <c r="Q98" s="64">
        <f t="shared" si="115"/>
        <v>7.50773888682739</v>
      </c>
      <c r="R98" s="64">
        <f t="shared" si="116"/>
        <v>0</v>
      </c>
      <c r="S98" s="64">
        <f t="shared" si="117"/>
        <v>8.6230898240199458</v>
      </c>
      <c r="T98" s="63">
        <f t="shared" si="145"/>
        <v>0.38511039145250764</v>
      </c>
      <c r="U98" s="63">
        <f t="shared" si="118"/>
        <v>1</v>
      </c>
      <c r="V98" s="63">
        <f t="shared" si="146"/>
        <v>1.3851103914525076</v>
      </c>
      <c r="W98" s="64">
        <f t="shared" si="147"/>
        <v>0.63061724771556682</v>
      </c>
      <c r="X98" s="63">
        <f t="shared" si="119"/>
        <v>7.9535622623271324E-2</v>
      </c>
      <c r="Y98" s="63">
        <f t="shared" si="148"/>
        <v>7.9535622623271324E-2</v>
      </c>
      <c r="Z98" s="64">
        <f t="shared" si="120"/>
        <v>3.2411173383306031</v>
      </c>
      <c r="AA98" s="74">
        <f t="shared" si="121"/>
        <v>1.0504841600827253E-2</v>
      </c>
      <c r="AB98" s="75">
        <f t="shared" si="149"/>
        <v>1.0504841600827253E-2</v>
      </c>
      <c r="AC98" s="63">
        <f t="shared" si="122"/>
        <v>3.558155357910163</v>
      </c>
      <c r="AD98" s="63">
        <f t="shared" si="150"/>
        <v>1.0902929497398337E-2</v>
      </c>
      <c r="AE98" s="63">
        <f t="shared" si="123"/>
        <v>1.443088699455046E-2</v>
      </c>
      <c r="AF98" s="63">
        <f t="shared" si="124"/>
        <v>0.76185127513371342</v>
      </c>
      <c r="AG98" s="63">
        <f t="shared" si="125"/>
        <v>4.0608000000000005E-2</v>
      </c>
      <c r="AH98" s="63">
        <f t="shared" si="126"/>
        <v>0</v>
      </c>
      <c r="AI98" s="63">
        <f t="shared" si="151"/>
        <v>0.22378064516129031</v>
      </c>
      <c r="AJ98" s="63">
        <f t="shared" si="152"/>
        <v>1.0406708072895541</v>
      </c>
      <c r="AK98" s="63">
        <f t="shared" si="127"/>
        <v>7.8547570657590384</v>
      </c>
      <c r="AL98" s="63">
        <f t="shared" si="128"/>
        <v>5.3132335449937167E-2</v>
      </c>
      <c r="AM98" s="63">
        <f t="shared" si="129"/>
        <v>7.1071174814176963E-2</v>
      </c>
      <c r="AN98" s="63">
        <f t="shared" si="130"/>
        <v>0.18990909821447099</v>
      </c>
      <c r="AO98" s="63">
        <f t="shared" si="131"/>
        <v>1054.9450405813864</v>
      </c>
      <c r="AP98" s="63">
        <f t="shared" si="153"/>
        <v>0.18990909821447099</v>
      </c>
      <c r="AQ98" s="61">
        <f t="shared" si="132"/>
        <v>0.46248</v>
      </c>
      <c r="AR98" s="61">
        <f t="shared" si="133"/>
        <v>50128320000</v>
      </c>
      <c r="AS98" s="61">
        <f t="shared" si="154"/>
        <v>0.46248</v>
      </c>
      <c r="AT98" s="61">
        <f t="shared" si="155"/>
        <v>0.23869935483870966</v>
      </c>
      <c r="AU98" s="63">
        <f t="shared" si="156"/>
        <v>0.49967962786735765</v>
      </c>
      <c r="AV98" s="63">
        <f t="shared" si="134"/>
        <v>0.29743071245246533</v>
      </c>
      <c r="AW98" s="63">
        <f t="shared" si="135"/>
        <v>2.9760000000000003E-3</v>
      </c>
      <c r="AX98" s="63">
        <f t="shared" si="136"/>
        <v>4.1360000000000001E-2</v>
      </c>
      <c r="AY98" s="63">
        <f t="shared" si="137"/>
        <v>4.4336E-2</v>
      </c>
      <c r="AZ98" s="63">
        <f t="shared" si="138"/>
        <v>3.357268003285983</v>
      </c>
      <c r="BA98" s="64">
        <f t="shared" si="139"/>
        <v>34.4</v>
      </c>
      <c r="BB98" s="76">
        <f t="shared" si="157"/>
        <v>0.91108286746292655</v>
      </c>
      <c r="BC98" s="64">
        <f t="shared" si="158"/>
        <v>91.108286746292649</v>
      </c>
      <c r="BD98" s="63">
        <f t="shared" si="140"/>
        <v>1.3851103914525076</v>
      </c>
      <c r="BE98" s="63">
        <f t="shared" si="159"/>
        <v>1.5403504351569117</v>
      </c>
      <c r="BF98" s="63">
        <f t="shared" si="141"/>
        <v>1.0406708072895541</v>
      </c>
      <c r="BG98" s="63">
        <f t="shared" si="142"/>
        <v>0.49967962786735765</v>
      </c>
      <c r="BH98" s="63">
        <f t="shared" si="143"/>
        <v>0.29743071245246533</v>
      </c>
      <c r="BI98" s="63">
        <f t="shared" si="160"/>
        <v>4.4336E-2</v>
      </c>
      <c r="BJ98" s="63">
        <f t="shared" si="161"/>
        <v>1.0504841600827253E-2</v>
      </c>
      <c r="BK98" s="63">
        <f t="shared" si="162"/>
        <v>7.9535622623271324E-2</v>
      </c>
      <c r="BL98" s="63">
        <f t="shared" si="163"/>
        <v>3.3572680032859834</v>
      </c>
      <c r="BQ98" s="77"/>
      <c r="BR98" s="78"/>
    </row>
    <row r="99" spans="3:70" x14ac:dyDescent="0.25">
      <c r="C99" s="61">
        <v>87</v>
      </c>
      <c r="D99" s="61">
        <f t="shared" si="103"/>
        <v>105</v>
      </c>
      <c r="E99" s="61">
        <f t="shared" si="104"/>
        <v>105</v>
      </c>
      <c r="F99" s="61">
        <f t="shared" si="105"/>
        <v>105</v>
      </c>
      <c r="G99" s="73">
        <f t="shared" si="106"/>
        <v>24</v>
      </c>
      <c r="H99" s="64">
        <f t="shared" si="107"/>
        <v>1</v>
      </c>
      <c r="I99" s="63">
        <f t="shared" si="144"/>
        <v>8.6999999999999993</v>
      </c>
      <c r="J99" s="65">
        <f t="shared" si="108"/>
        <v>8.6117892021752077E-4</v>
      </c>
      <c r="K99" s="65">
        <f t="shared" si="109"/>
        <v>8.6117892021752077E-4</v>
      </c>
      <c r="L99" s="65">
        <f t="shared" si="110"/>
        <v>5.1791610661465239E-3</v>
      </c>
      <c r="M99" s="65">
        <f t="shared" si="111"/>
        <v>4.0000000000000001E-3</v>
      </c>
      <c r="N99" s="63">
        <f t="shared" si="112"/>
        <v>0.17030628991172361</v>
      </c>
      <c r="O99" s="64">
        <f t="shared" si="113"/>
        <v>2.1850589733779318</v>
      </c>
      <c r="P99" s="64">
        <f t="shared" si="114"/>
        <v>9.7925294866889647</v>
      </c>
      <c r="Q99" s="64">
        <f t="shared" si="115"/>
        <v>7.6074705133110339</v>
      </c>
      <c r="R99" s="64">
        <f t="shared" si="116"/>
        <v>0</v>
      </c>
      <c r="S99" s="64">
        <f t="shared" si="117"/>
        <v>8.722836325402513</v>
      </c>
      <c r="T99" s="63">
        <f t="shared" si="145"/>
        <v>0.3940713523465969</v>
      </c>
      <c r="U99" s="63">
        <f t="shared" si="118"/>
        <v>1</v>
      </c>
      <c r="V99" s="63">
        <f t="shared" si="146"/>
        <v>1.3940713523465968</v>
      </c>
      <c r="W99" s="64">
        <f t="shared" si="147"/>
        <v>0.63077219323747813</v>
      </c>
      <c r="X99" s="63">
        <f t="shared" si="119"/>
        <v>7.9574711952323685E-2</v>
      </c>
      <c r="Y99" s="63">
        <f t="shared" si="148"/>
        <v>7.9574711952323685E-2</v>
      </c>
      <c r="Z99" s="64">
        <f t="shared" si="120"/>
        <v>3.2789286492605996</v>
      </c>
      <c r="AA99" s="74">
        <f t="shared" si="121"/>
        <v>1.0751373086941941E-2</v>
      </c>
      <c r="AB99" s="75">
        <f t="shared" si="149"/>
        <v>1.0751373086941941E-2</v>
      </c>
      <c r="AC99" s="63">
        <f t="shared" si="122"/>
        <v>3.5997560269045081</v>
      </c>
      <c r="AD99" s="63">
        <f t="shared" si="150"/>
        <v>1.115936610497296E-2</v>
      </c>
      <c r="AE99" s="63">
        <f t="shared" si="123"/>
        <v>1.4771243010291493E-2</v>
      </c>
      <c r="AF99" s="63">
        <f t="shared" si="124"/>
        <v>0.77035119979894884</v>
      </c>
      <c r="AG99" s="63">
        <f t="shared" si="125"/>
        <v>4.0608000000000005E-2</v>
      </c>
      <c r="AH99" s="63">
        <f t="shared" si="126"/>
        <v>0</v>
      </c>
      <c r="AI99" s="63">
        <f t="shared" si="151"/>
        <v>0.22378064516129031</v>
      </c>
      <c r="AJ99" s="63">
        <f t="shared" si="152"/>
        <v>1.0495110879705307</v>
      </c>
      <c r="AK99" s="63">
        <f t="shared" si="127"/>
        <v>7.9454156660634361</v>
      </c>
      <c r="AL99" s="63">
        <f t="shared" si="128"/>
        <v>5.4365906688869793E-2</v>
      </c>
      <c r="AM99" s="63">
        <f t="shared" si="129"/>
        <v>7.2743782691403205E-2</v>
      </c>
      <c r="AN99" s="63">
        <f t="shared" si="130"/>
        <v>0.19216408913004951</v>
      </c>
      <c r="AO99" s="63">
        <f t="shared" si="131"/>
        <v>1067.471515117425</v>
      </c>
      <c r="AP99" s="63">
        <f t="shared" si="153"/>
        <v>0.19216408913004951</v>
      </c>
      <c r="AQ99" s="61">
        <f t="shared" si="132"/>
        <v>0.46248</v>
      </c>
      <c r="AR99" s="61">
        <f t="shared" si="133"/>
        <v>50128320000</v>
      </c>
      <c r="AS99" s="61">
        <f t="shared" si="154"/>
        <v>0.46248</v>
      </c>
      <c r="AT99" s="61">
        <f t="shared" si="155"/>
        <v>0.23869935483870966</v>
      </c>
      <c r="AU99" s="63">
        <f t="shared" si="156"/>
        <v>0.50360722666016233</v>
      </c>
      <c r="AV99" s="63">
        <f t="shared" si="134"/>
        <v>0.30435149423904651</v>
      </c>
      <c r="AW99" s="63">
        <f t="shared" si="135"/>
        <v>2.9760000000000003E-3</v>
      </c>
      <c r="AX99" s="63">
        <f t="shared" si="136"/>
        <v>4.1360000000000001E-2</v>
      </c>
      <c r="AY99" s="63">
        <f t="shared" si="137"/>
        <v>4.4336E-2</v>
      </c>
      <c r="AZ99" s="63">
        <f t="shared" si="138"/>
        <v>3.3862032462556022</v>
      </c>
      <c r="BA99" s="64">
        <f t="shared" si="139"/>
        <v>34.799999999999997</v>
      </c>
      <c r="BB99" s="76">
        <f t="shared" si="157"/>
        <v>0.91132390867930435</v>
      </c>
      <c r="BC99" s="64">
        <f t="shared" si="158"/>
        <v>91.13239086793044</v>
      </c>
      <c r="BD99" s="63">
        <f t="shared" si="140"/>
        <v>1.3940713523465968</v>
      </c>
      <c r="BE99" s="63">
        <f t="shared" si="159"/>
        <v>1.5531183146306931</v>
      </c>
      <c r="BF99" s="63">
        <f t="shared" si="141"/>
        <v>1.0495110879705307</v>
      </c>
      <c r="BG99" s="63">
        <f t="shared" si="142"/>
        <v>0.50360722666016233</v>
      </c>
      <c r="BH99" s="63">
        <f t="shared" si="143"/>
        <v>0.30435149423904651</v>
      </c>
      <c r="BI99" s="63">
        <f t="shared" si="160"/>
        <v>4.4336E-2</v>
      </c>
      <c r="BJ99" s="63">
        <f t="shared" si="161"/>
        <v>1.0751373086941941E-2</v>
      </c>
      <c r="BK99" s="63">
        <f t="shared" si="162"/>
        <v>7.9574711952323685E-2</v>
      </c>
      <c r="BL99" s="63">
        <f t="shared" si="163"/>
        <v>3.3862032462556022</v>
      </c>
      <c r="BQ99" s="77"/>
      <c r="BR99" s="78"/>
    </row>
    <row r="100" spans="3:70" x14ac:dyDescent="0.25">
      <c r="C100" s="61">
        <v>88</v>
      </c>
      <c r="D100" s="61">
        <f t="shared" si="103"/>
        <v>105</v>
      </c>
      <c r="E100" s="61">
        <f t="shared" si="104"/>
        <v>105</v>
      </c>
      <c r="F100" s="61">
        <f t="shared" si="105"/>
        <v>105</v>
      </c>
      <c r="G100" s="73">
        <f t="shared" si="106"/>
        <v>24</v>
      </c>
      <c r="H100" s="64">
        <f t="shared" si="107"/>
        <v>1</v>
      </c>
      <c r="I100" s="63">
        <f t="shared" si="144"/>
        <v>8.8000000000000007</v>
      </c>
      <c r="J100" s="65">
        <f t="shared" si="108"/>
        <v>8.6117892021752077E-4</v>
      </c>
      <c r="K100" s="65">
        <f t="shared" si="109"/>
        <v>8.6117892021752077E-4</v>
      </c>
      <c r="L100" s="65">
        <f t="shared" si="110"/>
        <v>5.1791610661465239E-3</v>
      </c>
      <c r="M100" s="65">
        <f t="shared" si="111"/>
        <v>4.0000000000000001E-3</v>
      </c>
      <c r="N100" s="63">
        <f t="shared" si="112"/>
        <v>0.17034812466166682</v>
      </c>
      <c r="O100" s="64">
        <f t="shared" si="113"/>
        <v>2.1855957204106446</v>
      </c>
      <c r="P100" s="64">
        <f t="shared" si="114"/>
        <v>9.8927978602053237</v>
      </c>
      <c r="Q100" s="64">
        <f t="shared" si="115"/>
        <v>7.7072021397946786</v>
      </c>
      <c r="R100" s="64">
        <f t="shared" si="116"/>
        <v>0</v>
      </c>
      <c r="S100" s="64">
        <f t="shared" si="117"/>
        <v>8.8225885688058199</v>
      </c>
      <c r="T100" s="63">
        <f t="shared" si="145"/>
        <v>0.40313589671069283</v>
      </c>
      <c r="U100" s="63">
        <f t="shared" si="118"/>
        <v>1</v>
      </c>
      <c r="V100" s="63">
        <f t="shared" si="146"/>
        <v>1.4031358967106928</v>
      </c>
      <c r="W100" s="64">
        <f t="shared" si="147"/>
        <v>0.63092713875938988</v>
      </c>
      <c r="X100" s="63">
        <f t="shared" si="119"/>
        <v>7.9613810884622091E-2</v>
      </c>
      <c r="Y100" s="63">
        <f t="shared" si="148"/>
        <v>7.9613810884622091E-2</v>
      </c>
      <c r="Z100" s="64">
        <f t="shared" si="120"/>
        <v>3.3167493668172576</v>
      </c>
      <c r="AA100" s="74">
        <f t="shared" si="121"/>
        <v>1.100082636228268E-2</v>
      </c>
      <c r="AB100" s="75">
        <f t="shared" si="149"/>
        <v>1.100082636228268E-2</v>
      </c>
      <c r="AC100" s="63">
        <f t="shared" si="122"/>
        <v>3.641369123105525</v>
      </c>
      <c r="AD100" s="63">
        <f t="shared" si="150"/>
        <v>1.1418861392084066E-2</v>
      </c>
      <c r="AE100" s="63">
        <f t="shared" si="123"/>
        <v>1.5115702858265016E-2</v>
      </c>
      <c r="AF100" s="63">
        <f t="shared" si="124"/>
        <v>0.7788511244641847</v>
      </c>
      <c r="AG100" s="63">
        <f t="shared" si="125"/>
        <v>4.0608000000000005E-2</v>
      </c>
      <c r="AH100" s="63">
        <f t="shared" si="126"/>
        <v>0</v>
      </c>
      <c r="AI100" s="63">
        <f t="shared" si="151"/>
        <v>0.22378064516129031</v>
      </c>
      <c r="AJ100" s="63">
        <f t="shared" si="152"/>
        <v>1.0583554724837401</v>
      </c>
      <c r="AK100" s="63">
        <f t="shared" si="127"/>
        <v>8.0360749102852953</v>
      </c>
      <c r="AL100" s="63">
        <f t="shared" si="128"/>
        <v>5.5613642868020854E-2</v>
      </c>
      <c r="AM100" s="63">
        <f t="shared" si="129"/>
        <v>7.4436652551791493E-2</v>
      </c>
      <c r="AN100" s="63">
        <f t="shared" si="130"/>
        <v>0.19441908004562802</v>
      </c>
      <c r="AO100" s="63">
        <f t="shared" si="131"/>
        <v>1079.9979896534635</v>
      </c>
      <c r="AP100" s="63">
        <f t="shared" si="153"/>
        <v>0.19441908004562802</v>
      </c>
      <c r="AQ100" s="61">
        <f t="shared" si="132"/>
        <v>0.46248</v>
      </c>
      <c r="AR100" s="61">
        <f t="shared" si="133"/>
        <v>50128320000</v>
      </c>
      <c r="AS100" s="61">
        <f t="shared" si="154"/>
        <v>0.46248</v>
      </c>
      <c r="AT100" s="61">
        <f t="shared" si="155"/>
        <v>0.23869935483870966</v>
      </c>
      <c r="AU100" s="63">
        <f t="shared" si="156"/>
        <v>0.5075550874361292</v>
      </c>
      <c r="AV100" s="63">
        <f t="shared" si="134"/>
        <v>0.31135227621769251</v>
      </c>
      <c r="AW100" s="63">
        <f t="shared" si="135"/>
        <v>2.9760000000000003E-3</v>
      </c>
      <c r="AX100" s="63">
        <f t="shared" si="136"/>
        <v>4.1360000000000001E-2</v>
      </c>
      <c r="AY100" s="63">
        <f t="shared" si="137"/>
        <v>4.4336E-2</v>
      </c>
      <c r="AZ100" s="63">
        <f t="shared" si="138"/>
        <v>3.4153493700951594</v>
      </c>
      <c r="BA100" s="64">
        <f t="shared" si="139"/>
        <v>35.200000000000003</v>
      </c>
      <c r="BB100" s="76">
        <f t="shared" si="157"/>
        <v>0.9115546168607217</v>
      </c>
      <c r="BC100" s="64">
        <f t="shared" si="158"/>
        <v>91.155461686072172</v>
      </c>
      <c r="BD100" s="63">
        <f t="shared" si="140"/>
        <v>1.4031358967106928</v>
      </c>
      <c r="BE100" s="63">
        <f t="shared" si="159"/>
        <v>1.5659105599198693</v>
      </c>
      <c r="BF100" s="63">
        <f t="shared" si="141"/>
        <v>1.0583554724837401</v>
      </c>
      <c r="BG100" s="63">
        <f t="shared" si="142"/>
        <v>0.5075550874361292</v>
      </c>
      <c r="BH100" s="63">
        <f t="shared" si="143"/>
        <v>0.31135227621769251</v>
      </c>
      <c r="BI100" s="63">
        <f t="shared" si="160"/>
        <v>4.4336E-2</v>
      </c>
      <c r="BJ100" s="63">
        <f t="shared" si="161"/>
        <v>1.100082636228268E-2</v>
      </c>
      <c r="BK100" s="63">
        <f t="shared" si="162"/>
        <v>7.9613810884622091E-2</v>
      </c>
      <c r="BL100" s="63">
        <f t="shared" si="163"/>
        <v>3.4153493700951598</v>
      </c>
      <c r="BQ100" s="77"/>
      <c r="BR100" s="78"/>
    </row>
    <row r="101" spans="3:70" x14ac:dyDescent="0.25">
      <c r="C101" s="61">
        <v>89</v>
      </c>
      <c r="D101" s="61">
        <f t="shared" si="103"/>
        <v>105</v>
      </c>
      <c r="E101" s="61">
        <f t="shared" si="104"/>
        <v>105</v>
      </c>
      <c r="F101" s="61">
        <f t="shared" si="105"/>
        <v>105</v>
      </c>
      <c r="G101" s="73">
        <f t="shared" si="106"/>
        <v>24</v>
      </c>
      <c r="H101" s="64">
        <f t="shared" si="107"/>
        <v>1</v>
      </c>
      <c r="I101" s="63">
        <f t="shared" si="144"/>
        <v>8.9</v>
      </c>
      <c r="J101" s="65">
        <f t="shared" si="108"/>
        <v>8.6117892021752077E-4</v>
      </c>
      <c r="K101" s="65">
        <f t="shared" si="109"/>
        <v>8.6117892021752077E-4</v>
      </c>
      <c r="L101" s="65">
        <f t="shared" si="110"/>
        <v>5.1791610661465239E-3</v>
      </c>
      <c r="M101" s="65">
        <f t="shared" si="111"/>
        <v>4.0000000000000001E-3</v>
      </c>
      <c r="N101" s="63">
        <f t="shared" si="112"/>
        <v>0.17038995941160998</v>
      </c>
      <c r="O101" s="64">
        <f t="shared" si="113"/>
        <v>2.1861324674433567</v>
      </c>
      <c r="P101" s="64">
        <f t="shared" si="114"/>
        <v>9.9930662337216791</v>
      </c>
      <c r="Q101" s="64">
        <f t="shared" si="115"/>
        <v>7.8069337662783216</v>
      </c>
      <c r="R101" s="64">
        <f t="shared" si="116"/>
        <v>0</v>
      </c>
      <c r="S101" s="64">
        <f t="shared" si="117"/>
        <v>8.9223463616416971</v>
      </c>
      <c r="T101" s="63">
        <f t="shared" si="145"/>
        <v>0.41230402454479531</v>
      </c>
      <c r="U101" s="63">
        <f t="shared" si="118"/>
        <v>1</v>
      </c>
      <c r="V101" s="63">
        <f t="shared" si="146"/>
        <v>1.4123040245447953</v>
      </c>
      <c r="W101" s="64">
        <f t="shared" si="147"/>
        <v>0.63108208428130141</v>
      </c>
      <c r="X101" s="63">
        <f t="shared" si="119"/>
        <v>7.9652919420166335E-2</v>
      </c>
      <c r="Y101" s="63">
        <f t="shared" si="148"/>
        <v>7.9652919420166335E-2</v>
      </c>
      <c r="Z101" s="64">
        <f t="shared" si="120"/>
        <v>3.3545794167806351</v>
      </c>
      <c r="AA101" s="74">
        <f t="shared" si="121"/>
        <v>1.1253203063488306E-2</v>
      </c>
      <c r="AB101" s="75">
        <f t="shared" si="149"/>
        <v>1.1253203063488306E-2</v>
      </c>
      <c r="AC101" s="63">
        <f t="shared" si="122"/>
        <v>3.6829945660465908</v>
      </c>
      <c r="AD101" s="63">
        <f t="shared" si="150"/>
        <v>1.1681417520369117E-2</v>
      </c>
      <c r="AE101" s="63">
        <f t="shared" si="123"/>
        <v>1.5464270989193315E-2</v>
      </c>
      <c r="AF101" s="63">
        <f t="shared" si="124"/>
        <v>0.78735104912942022</v>
      </c>
      <c r="AG101" s="63">
        <f t="shared" si="125"/>
        <v>4.0608000000000005E-2</v>
      </c>
      <c r="AH101" s="63">
        <f t="shared" si="126"/>
        <v>0</v>
      </c>
      <c r="AI101" s="63">
        <f t="shared" si="151"/>
        <v>0.22378064516129031</v>
      </c>
      <c r="AJ101" s="63">
        <f t="shared" si="152"/>
        <v>1.0672039652799039</v>
      </c>
      <c r="AK101" s="63">
        <f t="shared" si="127"/>
        <v>8.1267346224404378</v>
      </c>
      <c r="AL101" s="63">
        <f t="shared" si="128"/>
        <v>5.6875541825752877E-2</v>
      </c>
      <c r="AM101" s="63">
        <f t="shared" si="129"/>
        <v>7.6149818634293848E-2</v>
      </c>
      <c r="AN101" s="63">
        <f t="shared" si="130"/>
        <v>0.19667407096120654</v>
      </c>
      <c r="AO101" s="63">
        <f t="shared" si="131"/>
        <v>1092.5244641895022</v>
      </c>
      <c r="AP101" s="63">
        <f t="shared" si="153"/>
        <v>0.19667407096120654</v>
      </c>
      <c r="AQ101" s="61">
        <f t="shared" si="132"/>
        <v>0.46248</v>
      </c>
      <c r="AR101" s="61">
        <f t="shared" si="133"/>
        <v>50128320000</v>
      </c>
      <c r="AS101" s="61">
        <f t="shared" si="154"/>
        <v>0.46248</v>
      </c>
      <c r="AT101" s="61">
        <f t="shared" si="155"/>
        <v>0.23869935483870966</v>
      </c>
      <c r="AU101" s="63">
        <f t="shared" si="156"/>
        <v>0.51152324443421004</v>
      </c>
      <c r="AV101" s="63">
        <f t="shared" si="134"/>
        <v>0.3184330583884033</v>
      </c>
      <c r="AW101" s="63">
        <f t="shared" si="135"/>
        <v>2.9760000000000003E-3</v>
      </c>
      <c r="AX101" s="63">
        <f t="shared" si="136"/>
        <v>4.1360000000000001E-2</v>
      </c>
      <c r="AY101" s="63">
        <f t="shared" si="137"/>
        <v>4.4336E-2</v>
      </c>
      <c r="AZ101" s="63">
        <f t="shared" si="138"/>
        <v>3.444706415130967</v>
      </c>
      <c r="BA101" s="64">
        <f t="shared" si="139"/>
        <v>35.6</v>
      </c>
      <c r="BB101" s="76">
        <f t="shared" si="157"/>
        <v>0.91177532804303429</v>
      </c>
      <c r="BC101" s="64">
        <f t="shared" si="158"/>
        <v>91.177532804303425</v>
      </c>
      <c r="BD101" s="63">
        <f t="shared" si="140"/>
        <v>1.4123040245447953</v>
      </c>
      <c r="BE101" s="63">
        <f t="shared" si="159"/>
        <v>1.5787272097141138</v>
      </c>
      <c r="BF101" s="63">
        <f t="shared" si="141"/>
        <v>1.0672039652799039</v>
      </c>
      <c r="BG101" s="63">
        <f t="shared" si="142"/>
        <v>0.51152324443421004</v>
      </c>
      <c r="BH101" s="63">
        <f t="shared" si="143"/>
        <v>0.3184330583884033</v>
      </c>
      <c r="BI101" s="63">
        <f t="shared" si="160"/>
        <v>4.4336E-2</v>
      </c>
      <c r="BJ101" s="63">
        <f t="shared" si="161"/>
        <v>1.1253203063488306E-2</v>
      </c>
      <c r="BK101" s="63">
        <f t="shared" si="162"/>
        <v>7.9652919420166335E-2</v>
      </c>
      <c r="BL101" s="63">
        <f t="shared" si="163"/>
        <v>3.4447064151309674</v>
      </c>
      <c r="BQ101" s="77"/>
      <c r="BR101" s="78"/>
    </row>
    <row r="102" spans="3:70" x14ac:dyDescent="0.25">
      <c r="C102" s="61">
        <v>90</v>
      </c>
      <c r="D102" s="61">
        <f t="shared" si="103"/>
        <v>105</v>
      </c>
      <c r="E102" s="61">
        <f t="shared" si="104"/>
        <v>105</v>
      </c>
      <c r="F102" s="61">
        <f t="shared" si="105"/>
        <v>105</v>
      </c>
      <c r="G102" s="73">
        <f t="shared" si="106"/>
        <v>24</v>
      </c>
      <c r="H102" s="64">
        <f t="shared" si="107"/>
        <v>1</v>
      </c>
      <c r="I102" s="63">
        <f t="shared" si="144"/>
        <v>9</v>
      </c>
      <c r="J102" s="65">
        <f t="shared" si="108"/>
        <v>8.6117892021752077E-4</v>
      </c>
      <c r="K102" s="65">
        <f t="shared" si="109"/>
        <v>8.6117892021752077E-4</v>
      </c>
      <c r="L102" s="65">
        <f t="shared" si="110"/>
        <v>5.1791610661465239E-3</v>
      </c>
      <c r="M102" s="65">
        <f t="shared" si="111"/>
        <v>4.0000000000000001E-3</v>
      </c>
      <c r="N102" s="63">
        <f t="shared" si="112"/>
        <v>0.17043179416155319</v>
      </c>
      <c r="O102" s="64">
        <f t="shared" si="113"/>
        <v>2.1866692144760695</v>
      </c>
      <c r="P102" s="64">
        <f t="shared" si="114"/>
        <v>10.093334607238035</v>
      </c>
      <c r="Q102" s="64">
        <f t="shared" si="115"/>
        <v>7.9066653927619654</v>
      </c>
      <c r="R102" s="64">
        <f t="shared" si="116"/>
        <v>0</v>
      </c>
      <c r="S102" s="64">
        <f t="shared" si="117"/>
        <v>9.022109519829316</v>
      </c>
      <c r="T102" s="63">
        <f t="shared" si="145"/>
        <v>0.42157573584890451</v>
      </c>
      <c r="U102" s="63">
        <f t="shared" si="118"/>
        <v>1</v>
      </c>
      <c r="V102" s="63">
        <f t="shared" si="146"/>
        <v>1.4215757358489045</v>
      </c>
      <c r="W102" s="64">
        <f t="shared" si="147"/>
        <v>0.63123702980321317</v>
      </c>
      <c r="X102" s="63">
        <f t="shared" si="119"/>
        <v>7.9692037558956541E-2</v>
      </c>
      <c r="Y102" s="63">
        <f t="shared" si="148"/>
        <v>7.9692037558956541E-2</v>
      </c>
      <c r="Z102" s="64">
        <f t="shared" si="120"/>
        <v>3.3924187281020655</v>
      </c>
      <c r="AA102" s="74">
        <f t="shared" si="121"/>
        <v>1.1508504826777635E-2</v>
      </c>
      <c r="AB102" s="75">
        <f t="shared" si="149"/>
        <v>1.1508504826777635E-2</v>
      </c>
      <c r="AC102" s="63">
        <f t="shared" si="122"/>
        <v>3.7246322787348576</v>
      </c>
      <c r="AD102" s="63">
        <f t="shared" si="150"/>
        <v>1.1947036651465608E-2</v>
      </c>
      <c r="AE102" s="63">
        <f t="shared" si="123"/>
        <v>1.5816951874466766E-2</v>
      </c>
      <c r="AF102" s="63">
        <f t="shared" si="124"/>
        <v>0.79585097379465586</v>
      </c>
      <c r="AG102" s="63">
        <f t="shared" si="125"/>
        <v>4.0608000000000005E-2</v>
      </c>
      <c r="AH102" s="63">
        <f t="shared" si="126"/>
        <v>0</v>
      </c>
      <c r="AI102" s="63">
        <f t="shared" si="151"/>
        <v>0.22378064516129031</v>
      </c>
      <c r="AJ102" s="63">
        <f t="shared" si="152"/>
        <v>1.0760565708304128</v>
      </c>
      <c r="AK102" s="63">
        <f t="shared" si="127"/>
        <v>8.2173946343108746</v>
      </c>
      <c r="AL102" s="63">
        <f t="shared" si="128"/>
        <v>5.815160140042834E-2</v>
      </c>
      <c r="AM102" s="63">
        <f t="shared" si="129"/>
        <v>7.788331565138619E-2</v>
      </c>
      <c r="AN102" s="63">
        <f t="shared" si="130"/>
        <v>0.19892906187678505</v>
      </c>
      <c r="AO102" s="63">
        <f t="shared" si="131"/>
        <v>1105.0509387255408</v>
      </c>
      <c r="AP102" s="63">
        <f t="shared" si="153"/>
        <v>0.19892906187678505</v>
      </c>
      <c r="AQ102" s="61">
        <f t="shared" si="132"/>
        <v>0.46248</v>
      </c>
      <c r="AR102" s="61">
        <f t="shared" si="133"/>
        <v>50128320000</v>
      </c>
      <c r="AS102" s="61">
        <f t="shared" si="154"/>
        <v>0.46248</v>
      </c>
      <c r="AT102" s="61">
        <f t="shared" si="155"/>
        <v>0.23869935483870966</v>
      </c>
      <c r="AU102" s="63">
        <f t="shared" si="156"/>
        <v>0.51551173236688086</v>
      </c>
      <c r="AV102" s="63">
        <f t="shared" si="134"/>
        <v>0.32559384075117909</v>
      </c>
      <c r="AW102" s="63">
        <f t="shared" si="135"/>
        <v>2.9760000000000003E-3</v>
      </c>
      <c r="AX102" s="63">
        <f t="shared" si="136"/>
        <v>4.1360000000000001E-2</v>
      </c>
      <c r="AY102" s="63">
        <f t="shared" si="137"/>
        <v>4.4336E-2</v>
      </c>
      <c r="AZ102" s="63">
        <f t="shared" si="138"/>
        <v>3.474274422183111</v>
      </c>
      <c r="BA102" s="64">
        <f t="shared" si="139"/>
        <v>36</v>
      </c>
      <c r="BB102" s="76">
        <f t="shared" si="157"/>
        <v>0.91198636395376786</v>
      </c>
      <c r="BC102" s="64">
        <f t="shared" si="158"/>
        <v>91.198636395376781</v>
      </c>
      <c r="BD102" s="63">
        <f t="shared" si="140"/>
        <v>1.4215757358489045</v>
      </c>
      <c r="BE102" s="63">
        <f t="shared" si="159"/>
        <v>1.5915683031972936</v>
      </c>
      <c r="BF102" s="63">
        <f t="shared" si="141"/>
        <v>1.0760565708304128</v>
      </c>
      <c r="BG102" s="63">
        <f t="shared" si="142"/>
        <v>0.51551173236688086</v>
      </c>
      <c r="BH102" s="63">
        <f t="shared" si="143"/>
        <v>0.32559384075117909</v>
      </c>
      <c r="BI102" s="63">
        <f t="shared" si="160"/>
        <v>4.4336E-2</v>
      </c>
      <c r="BJ102" s="63">
        <f t="shared" si="161"/>
        <v>1.1508504826777635E-2</v>
      </c>
      <c r="BK102" s="63">
        <f t="shared" si="162"/>
        <v>7.9692037558956541E-2</v>
      </c>
      <c r="BL102" s="63">
        <f t="shared" si="163"/>
        <v>3.4742744221831114</v>
      </c>
      <c r="BQ102" s="77"/>
      <c r="BR102" s="78"/>
    </row>
    <row r="103" spans="3:70" x14ac:dyDescent="0.25">
      <c r="C103" s="61">
        <v>91</v>
      </c>
      <c r="D103" s="61">
        <f t="shared" si="103"/>
        <v>105</v>
      </c>
      <c r="E103" s="61">
        <f t="shared" si="104"/>
        <v>105</v>
      </c>
      <c r="F103" s="61">
        <f t="shared" si="105"/>
        <v>105</v>
      </c>
      <c r="G103" s="73">
        <f t="shared" si="106"/>
        <v>24</v>
      </c>
      <c r="H103" s="64">
        <f t="shared" si="107"/>
        <v>1</v>
      </c>
      <c r="I103" s="63">
        <f t="shared" si="144"/>
        <v>9.1</v>
      </c>
      <c r="J103" s="65">
        <f t="shared" si="108"/>
        <v>8.6117892021752077E-4</v>
      </c>
      <c r="K103" s="65">
        <f t="shared" si="109"/>
        <v>8.6117892021752077E-4</v>
      </c>
      <c r="L103" s="65">
        <f t="shared" si="110"/>
        <v>5.1791610661465239E-3</v>
      </c>
      <c r="M103" s="65">
        <f t="shared" si="111"/>
        <v>4.0000000000000001E-3</v>
      </c>
      <c r="N103" s="63">
        <f t="shared" si="112"/>
        <v>0.17047362891149639</v>
      </c>
      <c r="O103" s="64">
        <f t="shared" si="113"/>
        <v>2.187205961508782</v>
      </c>
      <c r="P103" s="64">
        <f t="shared" si="114"/>
        <v>10.19360298075439</v>
      </c>
      <c r="Q103" s="64">
        <f t="shared" si="115"/>
        <v>8.0063970192456093</v>
      </c>
      <c r="R103" s="64">
        <f t="shared" si="116"/>
        <v>0</v>
      </c>
      <c r="S103" s="64">
        <f t="shared" si="117"/>
        <v>9.121877867331099</v>
      </c>
      <c r="T103" s="63">
        <f t="shared" si="145"/>
        <v>0.43095103062302054</v>
      </c>
      <c r="U103" s="63">
        <f t="shared" si="118"/>
        <v>1</v>
      </c>
      <c r="V103" s="63">
        <f t="shared" si="146"/>
        <v>1.4309510306230204</v>
      </c>
      <c r="W103" s="64">
        <f t="shared" si="147"/>
        <v>0.63139197532512481</v>
      </c>
      <c r="X103" s="63">
        <f t="shared" si="119"/>
        <v>7.9731165300992612E-2</v>
      </c>
      <c r="Y103" s="63">
        <f t="shared" si="148"/>
        <v>7.9731165300992612E-2</v>
      </c>
      <c r="Z103" s="64">
        <f t="shared" si="120"/>
        <v>3.4302672327312123</v>
      </c>
      <c r="AA103" s="74">
        <f t="shared" si="121"/>
        <v>1.176673328794945E-2</v>
      </c>
      <c r="AB103" s="75">
        <f t="shared" si="149"/>
        <v>1.176673328794945E-2</v>
      </c>
      <c r="AC103" s="63">
        <f t="shared" si="122"/>
        <v>3.7662821874617984</v>
      </c>
      <c r="AD103" s="63">
        <f t="shared" si="150"/>
        <v>1.2215720947011014E-2</v>
      </c>
      <c r="AE103" s="63">
        <f t="shared" si="123"/>
        <v>1.6173750006206685E-2</v>
      </c>
      <c r="AF103" s="63">
        <f t="shared" si="124"/>
        <v>0.80435089845989149</v>
      </c>
      <c r="AG103" s="63">
        <f t="shared" si="125"/>
        <v>4.0608000000000005E-2</v>
      </c>
      <c r="AH103" s="63">
        <f t="shared" si="126"/>
        <v>0</v>
      </c>
      <c r="AI103" s="63">
        <f t="shared" si="151"/>
        <v>0.22378064516129031</v>
      </c>
      <c r="AJ103" s="63">
        <f t="shared" si="152"/>
        <v>1.0849132936273884</v>
      </c>
      <c r="AK103" s="63">
        <f t="shared" si="127"/>
        <v>8.3080547850211559</v>
      </c>
      <c r="AL103" s="63">
        <f t="shared" si="128"/>
        <v>5.944181943040984E-2</v>
      </c>
      <c r="AM103" s="63">
        <f t="shared" si="129"/>
        <v>7.9637178790947408E-2</v>
      </c>
      <c r="AN103" s="63">
        <f t="shared" si="130"/>
        <v>0.20118405279236351</v>
      </c>
      <c r="AO103" s="63">
        <f t="shared" si="131"/>
        <v>1117.5774132615793</v>
      </c>
      <c r="AP103" s="63">
        <f t="shared" si="153"/>
        <v>0.20118405279236351</v>
      </c>
      <c r="AQ103" s="61">
        <f t="shared" si="132"/>
        <v>0.46248</v>
      </c>
      <c r="AR103" s="61">
        <f t="shared" si="133"/>
        <v>50128320000</v>
      </c>
      <c r="AS103" s="61">
        <f t="shared" si="154"/>
        <v>0.46248</v>
      </c>
      <c r="AT103" s="61">
        <f t="shared" si="155"/>
        <v>0.23869935483870966</v>
      </c>
      <c r="AU103" s="63">
        <f t="shared" si="156"/>
        <v>0.51952058642202059</v>
      </c>
      <c r="AV103" s="63">
        <f t="shared" si="134"/>
        <v>0.33283462330601982</v>
      </c>
      <c r="AW103" s="63">
        <f t="shared" si="135"/>
        <v>2.9760000000000003E-3</v>
      </c>
      <c r="AX103" s="63">
        <f t="shared" si="136"/>
        <v>4.1360000000000001E-2</v>
      </c>
      <c r="AY103" s="63">
        <f t="shared" si="137"/>
        <v>4.4336E-2</v>
      </c>
      <c r="AZ103" s="63">
        <f t="shared" si="138"/>
        <v>3.5040534325673911</v>
      </c>
      <c r="BA103" s="64">
        <f t="shared" si="139"/>
        <v>36.4</v>
      </c>
      <c r="BB103" s="76">
        <f t="shared" si="157"/>
        <v>0.91218803276492255</v>
      </c>
      <c r="BC103" s="64">
        <f t="shared" si="158"/>
        <v>91.218803276492253</v>
      </c>
      <c r="BD103" s="63">
        <f t="shared" si="140"/>
        <v>1.4309510306230204</v>
      </c>
      <c r="BE103" s="63">
        <f t="shared" si="159"/>
        <v>1.6044338800494091</v>
      </c>
      <c r="BF103" s="63">
        <f t="shared" si="141"/>
        <v>1.0849132936273884</v>
      </c>
      <c r="BG103" s="63">
        <f t="shared" si="142"/>
        <v>0.51952058642202059</v>
      </c>
      <c r="BH103" s="63">
        <f t="shared" si="143"/>
        <v>0.33283462330601982</v>
      </c>
      <c r="BI103" s="63">
        <f t="shared" si="160"/>
        <v>4.4336E-2</v>
      </c>
      <c r="BJ103" s="63">
        <f t="shared" si="161"/>
        <v>1.176673328794945E-2</v>
      </c>
      <c r="BK103" s="63">
        <f t="shared" si="162"/>
        <v>7.9731165300992612E-2</v>
      </c>
      <c r="BL103" s="63">
        <f t="shared" si="163"/>
        <v>3.5040534325673915</v>
      </c>
      <c r="BQ103" s="77"/>
      <c r="BR103" s="78"/>
    </row>
    <row r="104" spans="3:70" x14ac:dyDescent="0.25">
      <c r="C104" s="61">
        <v>92</v>
      </c>
      <c r="D104" s="61">
        <f t="shared" si="103"/>
        <v>105</v>
      </c>
      <c r="E104" s="61">
        <f t="shared" si="104"/>
        <v>105</v>
      </c>
      <c r="F104" s="61">
        <f t="shared" si="105"/>
        <v>105</v>
      </c>
      <c r="G104" s="73">
        <f t="shared" si="106"/>
        <v>24</v>
      </c>
      <c r="H104" s="64">
        <f t="shared" si="107"/>
        <v>1</v>
      </c>
      <c r="I104" s="63">
        <f t="shared" si="144"/>
        <v>9.1999999999999993</v>
      </c>
      <c r="J104" s="65">
        <f t="shared" si="108"/>
        <v>8.6117892021752077E-4</v>
      </c>
      <c r="K104" s="65">
        <f t="shared" si="109"/>
        <v>8.6117892021752077E-4</v>
      </c>
      <c r="L104" s="65">
        <f t="shared" si="110"/>
        <v>5.1791610661465239E-3</v>
      </c>
      <c r="M104" s="65">
        <f t="shared" si="111"/>
        <v>4.0000000000000001E-3</v>
      </c>
      <c r="N104" s="63">
        <f t="shared" si="112"/>
        <v>0.17051546366143955</v>
      </c>
      <c r="O104" s="64">
        <f t="shared" si="113"/>
        <v>2.187742708541494</v>
      </c>
      <c r="P104" s="64">
        <f t="shared" si="114"/>
        <v>10.293871354270745</v>
      </c>
      <c r="Q104" s="64">
        <f t="shared" si="115"/>
        <v>8.1061286457292532</v>
      </c>
      <c r="R104" s="64">
        <f t="shared" si="116"/>
        <v>0</v>
      </c>
      <c r="S104" s="64">
        <f t="shared" si="117"/>
        <v>9.2216512357186531</v>
      </c>
      <c r="T104" s="63">
        <f t="shared" si="145"/>
        <v>0.44042990886714328</v>
      </c>
      <c r="U104" s="63">
        <f t="shared" si="118"/>
        <v>1</v>
      </c>
      <c r="V104" s="63">
        <f t="shared" si="146"/>
        <v>1.4404299088671433</v>
      </c>
      <c r="W104" s="64">
        <f t="shared" si="147"/>
        <v>0.63154692084703634</v>
      </c>
      <c r="X104" s="63">
        <f t="shared" si="119"/>
        <v>7.9770302646274563E-2</v>
      </c>
      <c r="Y104" s="63">
        <f t="shared" si="148"/>
        <v>7.9770302646274563E-2</v>
      </c>
      <c r="Z104" s="64">
        <f t="shared" si="120"/>
        <v>3.4681248654543086</v>
      </c>
      <c r="AA104" s="74">
        <f t="shared" si="121"/>
        <v>1.2027890082382467E-2</v>
      </c>
      <c r="AB104" s="75">
        <f t="shared" si="149"/>
        <v>1.2027890082382467E-2</v>
      </c>
      <c r="AC104" s="63">
        <f t="shared" si="122"/>
        <v>3.8079442216260149</v>
      </c>
      <c r="AD104" s="63">
        <f t="shared" si="150"/>
        <v>1.2487472568642796E-2</v>
      </c>
      <c r="AE104" s="63">
        <f t="shared" si="123"/>
        <v>1.6534669897328557E-2</v>
      </c>
      <c r="AF104" s="63">
        <f t="shared" si="124"/>
        <v>0.81285082312512691</v>
      </c>
      <c r="AG104" s="63">
        <f t="shared" si="125"/>
        <v>4.0608000000000005E-2</v>
      </c>
      <c r="AH104" s="63">
        <f t="shared" si="126"/>
        <v>0</v>
      </c>
      <c r="AI104" s="63">
        <f t="shared" si="151"/>
        <v>0.22378064516129031</v>
      </c>
      <c r="AJ104" s="63">
        <f t="shared" si="152"/>
        <v>1.0937741381837458</v>
      </c>
      <c r="AK104" s="63">
        <f t="shared" si="127"/>
        <v>8.3987149206421101</v>
      </c>
      <c r="AL104" s="63">
        <f t="shared" si="128"/>
        <v>6.0746193754059867E-2</v>
      </c>
      <c r="AM104" s="63">
        <f t="shared" si="129"/>
        <v>8.1411443718166596E-2</v>
      </c>
      <c r="AN104" s="63">
        <f t="shared" si="130"/>
        <v>0.203439043707942</v>
      </c>
      <c r="AO104" s="63">
        <f t="shared" si="131"/>
        <v>1130.1038877976177</v>
      </c>
      <c r="AP104" s="63">
        <f t="shared" si="153"/>
        <v>0.203439043707942</v>
      </c>
      <c r="AQ104" s="61">
        <f t="shared" si="132"/>
        <v>0.46248</v>
      </c>
      <c r="AR104" s="61">
        <f t="shared" si="133"/>
        <v>50128320000</v>
      </c>
      <c r="AS104" s="61">
        <f t="shared" si="154"/>
        <v>0.46248</v>
      </c>
      <c r="AT104" s="61">
        <f t="shared" si="155"/>
        <v>0.23869935483870966</v>
      </c>
      <c r="AU104" s="63">
        <f t="shared" si="156"/>
        <v>0.52354984226481827</v>
      </c>
      <c r="AV104" s="63">
        <f t="shared" si="134"/>
        <v>0.34015540605292549</v>
      </c>
      <c r="AW104" s="63">
        <f t="shared" si="135"/>
        <v>2.9760000000000003E-3</v>
      </c>
      <c r="AX104" s="63">
        <f t="shared" si="136"/>
        <v>4.1360000000000001E-2</v>
      </c>
      <c r="AY104" s="63">
        <f t="shared" si="137"/>
        <v>4.4336E-2</v>
      </c>
      <c r="AZ104" s="63">
        <f t="shared" si="138"/>
        <v>3.5340434880972897</v>
      </c>
      <c r="BA104" s="64">
        <f t="shared" si="139"/>
        <v>36.799999999999997</v>
      </c>
      <c r="BB104" s="76">
        <f t="shared" si="157"/>
        <v>0.91238062979874068</v>
      </c>
      <c r="BC104" s="64">
        <f t="shared" si="158"/>
        <v>91.238062979874073</v>
      </c>
      <c r="BD104" s="63">
        <f t="shared" si="140"/>
        <v>1.4404299088671433</v>
      </c>
      <c r="BE104" s="63">
        <f t="shared" si="159"/>
        <v>1.617323980448564</v>
      </c>
      <c r="BF104" s="63">
        <f t="shared" si="141"/>
        <v>1.0937741381837458</v>
      </c>
      <c r="BG104" s="63">
        <f t="shared" si="142"/>
        <v>0.52354984226481827</v>
      </c>
      <c r="BH104" s="63">
        <f t="shared" si="143"/>
        <v>0.34015540605292549</v>
      </c>
      <c r="BI104" s="63">
        <f t="shared" si="160"/>
        <v>4.4336E-2</v>
      </c>
      <c r="BJ104" s="63">
        <f t="shared" si="161"/>
        <v>1.2027890082382467E-2</v>
      </c>
      <c r="BK104" s="63">
        <f t="shared" si="162"/>
        <v>7.9770302646274563E-2</v>
      </c>
      <c r="BL104" s="63">
        <f t="shared" si="163"/>
        <v>3.5340434880972897</v>
      </c>
      <c r="BQ104" s="77"/>
      <c r="BR104" s="78"/>
    </row>
    <row r="105" spans="3:70" x14ac:dyDescent="0.25">
      <c r="C105" s="61">
        <v>93</v>
      </c>
      <c r="D105" s="61">
        <f t="shared" si="103"/>
        <v>105</v>
      </c>
      <c r="E105" s="61">
        <f t="shared" si="104"/>
        <v>105</v>
      </c>
      <c r="F105" s="61">
        <f t="shared" si="105"/>
        <v>105</v>
      </c>
      <c r="G105" s="73">
        <f t="shared" si="106"/>
        <v>24</v>
      </c>
      <c r="H105" s="64">
        <f t="shared" si="107"/>
        <v>1</v>
      </c>
      <c r="I105" s="63">
        <f t="shared" si="144"/>
        <v>9.3000000000000007</v>
      </c>
      <c r="J105" s="65">
        <f t="shared" si="108"/>
        <v>8.6117892021752077E-4</v>
      </c>
      <c r="K105" s="65">
        <f t="shared" si="109"/>
        <v>8.6117892021752077E-4</v>
      </c>
      <c r="L105" s="65">
        <f t="shared" si="110"/>
        <v>5.1791610661465239E-3</v>
      </c>
      <c r="M105" s="65">
        <f t="shared" si="111"/>
        <v>4.0000000000000001E-3</v>
      </c>
      <c r="N105" s="63">
        <f t="shared" si="112"/>
        <v>0.17055729841138276</v>
      </c>
      <c r="O105" s="64">
        <f t="shared" si="113"/>
        <v>2.1882794555742069</v>
      </c>
      <c r="P105" s="64">
        <f t="shared" si="114"/>
        <v>10.394139727787104</v>
      </c>
      <c r="Q105" s="64">
        <f t="shared" si="115"/>
        <v>8.205860272212897</v>
      </c>
      <c r="R105" s="64">
        <f t="shared" si="116"/>
        <v>0</v>
      </c>
      <c r="S105" s="64">
        <f t="shared" si="117"/>
        <v>9.3214294637664885</v>
      </c>
      <c r="T105" s="63">
        <f t="shared" si="145"/>
        <v>0.45001237058127275</v>
      </c>
      <c r="U105" s="63">
        <f t="shared" si="118"/>
        <v>1</v>
      </c>
      <c r="V105" s="63">
        <f t="shared" si="146"/>
        <v>1.4500123705812729</v>
      </c>
      <c r="W105" s="64">
        <f t="shared" si="147"/>
        <v>0.6317018663689481</v>
      </c>
      <c r="X105" s="63">
        <f t="shared" si="119"/>
        <v>7.9809449594802476E-2</v>
      </c>
      <c r="Y105" s="63">
        <f t="shared" si="148"/>
        <v>7.9809449594802476E-2</v>
      </c>
      <c r="Z105" s="64">
        <f t="shared" si="120"/>
        <v>3.5059915637427608</v>
      </c>
      <c r="AA105" s="74">
        <f t="shared" si="121"/>
        <v>1.2291976845035409E-2</v>
      </c>
      <c r="AB105" s="75">
        <f t="shared" si="149"/>
        <v>1.2291976845035409E-2</v>
      </c>
      <c r="AC105" s="63">
        <f t="shared" si="122"/>
        <v>3.8496183135673907</v>
      </c>
      <c r="AD105" s="63">
        <f t="shared" si="150"/>
        <v>1.276229367799845E-2</v>
      </c>
      <c r="AE105" s="63">
        <f t="shared" si="123"/>
        <v>1.6899716081605599E-2</v>
      </c>
      <c r="AF105" s="63">
        <f t="shared" si="124"/>
        <v>0.82135074779036277</v>
      </c>
      <c r="AG105" s="63">
        <f t="shared" si="125"/>
        <v>4.0608000000000005E-2</v>
      </c>
      <c r="AH105" s="63">
        <f t="shared" si="126"/>
        <v>0</v>
      </c>
      <c r="AI105" s="63">
        <f t="shared" si="151"/>
        <v>0.22378064516129031</v>
      </c>
      <c r="AJ105" s="63">
        <f t="shared" si="152"/>
        <v>1.1026391090332586</v>
      </c>
      <c r="AK105" s="63">
        <f t="shared" si="127"/>
        <v>8.4893748938199547</v>
      </c>
      <c r="AL105" s="63">
        <f t="shared" si="128"/>
        <v>6.206472220974095E-2</v>
      </c>
      <c r="AM105" s="63">
        <f t="shared" si="129"/>
        <v>8.3206146577479684E-2</v>
      </c>
      <c r="AN105" s="63">
        <f t="shared" si="130"/>
        <v>0.20569403462352054</v>
      </c>
      <c r="AO105" s="63">
        <f t="shared" si="131"/>
        <v>1142.6303623336566</v>
      </c>
      <c r="AP105" s="63">
        <f t="shared" si="153"/>
        <v>0.20569403462352054</v>
      </c>
      <c r="AQ105" s="61">
        <f t="shared" si="132"/>
        <v>0.46248</v>
      </c>
      <c r="AR105" s="61">
        <f t="shared" si="133"/>
        <v>50128320000</v>
      </c>
      <c r="AS105" s="61">
        <f t="shared" si="154"/>
        <v>0.46248</v>
      </c>
      <c r="AT105" s="61">
        <f t="shared" si="155"/>
        <v>0.23869935483870966</v>
      </c>
      <c r="AU105" s="63">
        <f t="shared" si="156"/>
        <v>0.52759953603970988</v>
      </c>
      <c r="AV105" s="63">
        <f t="shared" si="134"/>
        <v>0.34755618899189605</v>
      </c>
      <c r="AW105" s="63">
        <f t="shared" si="135"/>
        <v>2.9760000000000003E-3</v>
      </c>
      <c r="AX105" s="63">
        <f t="shared" si="136"/>
        <v>4.1360000000000001E-2</v>
      </c>
      <c r="AY105" s="63">
        <f t="shared" si="137"/>
        <v>4.4336E-2</v>
      </c>
      <c r="AZ105" s="63">
        <f t="shared" si="138"/>
        <v>3.564244631085975</v>
      </c>
      <c r="BA105" s="64">
        <f t="shared" si="139"/>
        <v>37.200000000000003</v>
      </c>
      <c r="BB105" s="76">
        <f t="shared" si="157"/>
        <v>0.91256443818983568</v>
      </c>
      <c r="BC105" s="64">
        <f t="shared" si="158"/>
        <v>91.25644381898357</v>
      </c>
      <c r="BD105" s="63">
        <f t="shared" si="140"/>
        <v>1.4500123705812729</v>
      </c>
      <c r="BE105" s="63">
        <f t="shared" si="159"/>
        <v>1.6302386450729685</v>
      </c>
      <c r="BF105" s="63">
        <f t="shared" si="141"/>
        <v>1.1026391090332586</v>
      </c>
      <c r="BG105" s="63">
        <f t="shared" si="142"/>
        <v>0.52759953603970988</v>
      </c>
      <c r="BH105" s="63">
        <f t="shared" si="143"/>
        <v>0.34755618899189605</v>
      </c>
      <c r="BI105" s="63">
        <f t="shared" si="160"/>
        <v>4.4336E-2</v>
      </c>
      <c r="BJ105" s="63">
        <f t="shared" si="161"/>
        <v>1.2291976845035409E-2</v>
      </c>
      <c r="BK105" s="63">
        <f t="shared" si="162"/>
        <v>7.9809449594802476E-2</v>
      </c>
      <c r="BL105" s="63">
        <f t="shared" si="163"/>
        <v>3.5642446310859746</v>
      </c>
      <c r="BQ105" s="77"/>
      <c r="BR105" s="78"/>
    </row>
    <row r="106" spans="3:70" x14ac:dyDescent="0.25">
      <c r="C106" s="61">
        <v>94</v>
      </c>
      <c r="D106" s="61">
        <f t="shared" si="103"/>
        <v>105</v>
      </c>
      <c r="E106" s="61">
        <f t="shared" si="104"/>
        <v>105</v>
      </c>
      <c r="F106" s="61">
        <f t="shared" si="105"/>
        <v>105</v>
      </c>
      <c r="G106" s="73">
        <f t="shared" si="106"/>
        <v>24</v>
      </c>
      <c r="H106" s="64">
        <f t="shared" si="107"/>
        <v>1</v>
      </c>
      <c r="I106" s="63">
        <f t="shared" si="144"/>
        <v>9.4</v>
      </c>
      <c r="J106" s="65">
        <f t="shared" si="108"/>
        <v>8.6117892021752077E-4</v>
      </c>
      <c r="K106" s="65">
        <f t="shared" si="109"/>
        <v>8.6117892021752077E-4</v>
      </c>
      <c r="L106" s="65">
        <f t="shared" si="110"/>
        <v>5.1791610661465239E-3</v>
      </c>
      <c r="M106" s="65">
        <f t="shared" si="111"/>
        <v>4.0000000000000001E-3</v>
      </c>
      <c r="N106" s="63">
        <f t="shared" si="112"/>
        <v>0.17059913316132591</v>
      </c>
      <c r="O106" s="64">
        <f t="shared" si="113"/>
        <v>2.1888162026069189</v>
      </c>
      <c r="P106" s="64">
        <f t="shared" si="114"/>
        <v>10.49440810130346</v>
      </c>
      <c r="Q106" s="64">
        <f t="shared" si="115"/>
        <v>8.3055918986965409</v>
      </c>
      <c r="R106" s="64">
        <f t="shared" si="116"/>
        <v>0</v>
      </c>
      <c r="S106" s="64">
        <f t="shared" si="117"/>
        <v>9.4212123970714554</v>
      </c>
      <c r="T106" s="63">
        <f t="shared" si="145"/>
        <v>0.45969841576540887</v>
      </c>
      <c r="U106" s="63">
        <f t="shared" si="118"/>
        <v>1</v>
      </c>
      <c r="V106" s="63">
        <f t="shared" si="146"/>
        <v>1.4596984157654089</v>
      </c>
      <c r="W106" s="64">
        <f t="shared" si="147"/>
        <v>0.63185681189085963</v>
      </c>
      <c r="X106" s="63">
        <f t="shared" si="119"/>
        <v>7.984860614657624E-2</v>
      </c>
      <c r="Y106" s="63">
        <f t="shared" si="148"/>
        <v>7.984860614657624E-2</v>
      </c>
      <c r="Z106" s="64">
        <f t="shared" si="120"/>
        <v>3.5438672676113208</v>
      </c>
      <c r="AA106" s="74">
        <f t="shared" si="121"/>
        <v>1.2558995210446929E-2</v>
      </c>
      <c r="AB106" s="75">
        <f t="shared" si="149"/>
        <v>1.2558995210446929E-2</v>
      </c>
      <c r="AC106" s="63">
        <f t="shared" si="122"/>
        <v>3.8913043984117315</v>
      </c>
      <c r="AD106" s="63">
        <f t="shared" si="150"/>
        <v>1.3040186436715435E-2</v>
      </c>
      <c r="AE106" s="63">
        <f t="shared" si="123"/>
        <v>1.7268893113732552E-2</v>
      </c>
      <c r="AF106" s="63">
        <f t="shared" si="124"/>
        <v>0.82985067245559829</v>
      </c>
      <c r="AG106" s="63">
        <f t="shared" si="125"/>
        <v>4.0608000000000005E-2</v>
      </c>
      <c r="AH106" s="63">
        <f t="shared" si="126"/>
        <v>0</v>
      </c>
      <c r="AI106" s="63">
        <f t="shared" si="151"/>
        <v>0.22378064516129031</v>
      </c>
      <c r="AJ106" s="63">
        <f t="shared" si="152"/>
        <v>1.1115082107306211</v>
      </c>
      <c r="AK106" s="63">
        <f t="shared" si="127"/>
        <v>8.5800345634288906</v>
      </c>
      <c r="AL106" s="63">
        <f t="shared" si="128"/>
        <v>6.3397402635815614E-2</v>
      </c>
      <c r="AM106" s="63">
        <f t="shared" si="129"/>
        <v>8.5021323994534714E-2</v>
      </c>
      <c r="AN106" s="63">
        <f t="shared" si="130"/>
        <v>0.20794902553909905</v>
      </c>
      <c r="AO106" s="63">
        <f t="shared" si="131"/>
        <v>1155.1568368696951</v>
      </c>
      <c r="AP106" s="63">
        <f t="shared" si="153"/>
        <v>0.20794902553909905</v>
      </c>
      <c r="AQ106" s="61">
        <f t="shared" si="132"/>
        <v>0.46248</v>
      </c>
      <c r="AR106" s="61">
        <f t="shared" si="133"/>
        <v>50128320000</v>
      </c>
      <c r="AS106" s="61">
        <f t="shared" si="154"/>
        <v>0.46248</v>
      </c>
      <c r="AT106" s="61">
        <f t="shared" si="155"/>
        <v>0.23869935483870966</v>
      </c>
      <c r="AU106" s="63">
        <f t="shared" si="156"/>
        <v>0.5316697043723434</v>
      </c>
      <c r="AV106" s="63">
        <f t="shared" si="134"/>
        <v>0.3550369721229315</v>
      </c>
      <c r="AW106" s="63">
        <f t="shared" si="135"/>
        <v>2.9760000000000003E-3</v>
      </c>
      <c r="AX106" s="63">
        <f t="shared" si="136"/>
        <v>4.1360000000000001E-2</v>
      </c>
      <c r="AY106" s="63">
        <f t="shared" si="137"/>
        <v>4.4336E-2</v>
      </c>
      <c r="AZ106" s="63">
        <f t="shared" si="138"/>
        <v>3.5946569043483283</v>
      </c>
      <c r="BA106" s="64">
        <f t="shared" si="139"/>
        <v>37.6</v>
      </c>
      <c r="BB106" s="76">
        <f t="shared" si="157"/>
        <v>0.91273972950679216</v>
      </c>
      <c r="BC106" s="64">
        <f t="shared" si="158"/>
        <v>91.273972950679223</v>
      </c>
      <c r="BD106" s="63">
        <f t="shared" si="140"/>
        <v>1.4596984157654089</v>
      </c>
      <c r="BE106" s="63">
        <f t="shared" si="159"/>
        <v>1.6431779151029646</v>
      </c>
      <c r="BF106" s="63">
        <f t="shared" si="141"/>
        <v>1.1115082107306211</v>
      </c>
      <c r="BG106" s="63">
        <f t="shared" si="142"/>
        <v>0.5316697043723434</v>
      </c>
      <c r="BH106" s="63">
        <f t="shared" si="143"/>
        <v>0.3550369721229315</v>
      </c>
      <c r="BI106" s="63">
        <f t="shared" si="160"/>
        <v>4.4336E-2</v>
      </c>
      <c r="BJ106" s="63">
        <f t="shared" si="161"/>
        <v>1.2558995210446929E-2</v>
      </c>
      <c r="BK106" s="63">
        <f t="shared" si="162"/>
        <v>7.984860614657624E-2</v>
      </c>
      <c r="BL106" s="63">
        <f t="shared" si="163"/>
        <v>3.5946569043483283</v>
      </c>
      <c r="BQ106" s="77"/>
      <c r="BR106" s="78"/>
    </row>
    <row r="107" spans="3:70" x14ac:dyDescent="0.25">
      <c r="C107" s="61">
        <v>95</v>
      </c>
      <c r="D107" s="61">
        <f t="shared" si="103"/>
        <v>105</v>
      </c>
      <c r="E107" s="61">
        <f t="shared" si="104"/>
        <v>105</v>
      </c>
      <c r="F107" s="61">
        <f t="shared" si="105"/>
        <v>105</v>
      </c>
      <c r="G107" s="73">
        <f t="shared" si="106"/>
        <v>24</v>
      </c>
      <c r="H107" s="64">
        <f t="shared" si="107"/>
        <v>1</v>
      </c>
      <c r="I107" s="63">
        <f t="shared" si="144"/>
        <v>9.5</v>
      </c>
      <c r="J107" s="65">
        <f t="shared" si="108"/>
        <v>8.6117892021752077E-4</v>
      </c>
      <c r="K107" s="65">
        <f t="shared" si="109"/>
        <v>8.6117892021752077E-4</v>
      </c>
      <c r="L107" s="65">
        <f t="shared" si="110"/>
        <v>5.1791610661465239E-3</v>
      </c>
      <c r="M107" s="65">
        <f t="shared" si="111"/>
        <v>4.0000000000000001E-3</v>
      </c>
      <c r="N107" s="63">
        <f t="shared" si="112"/>
        <v>0.17064096791126912</v>
      </c>
      <c r="O107" s="64">
        <f t="shared" si="113"/>
        <v>2.1893529496396318</v>
      </c>
      <c r="P107" s="64">
        <f t="shared" si="114"/>
        <v>10.594676474819815</v>
      </c>
      <c r="Q107" s="64">
        <f t="shared" si="115"/>
        <v>8.4053235251801848</v>
      </c>
      <c r="R107" s="64">
        <f t="shared" si="116"/>
        <v>0</v>
      </c>
      <c r="S107" s="64">
        <f t="shared" si="117"/>
        <v>9.5209998876960391</v>
      </c>
      <c r="T107" s="63">
        <f t="shared" si="145"/>
        <v>0.46948804441955183</v>
      </c>
      <c r="U107" s="63">
        <f t="shared" si="118"/>
        <v>1</v>
      </c>
      <c r="V107" s="63">
        <f t="shared" si="146"/>
        <v>1.4694880444195517</v>
      </c>
      <c r="W107" s="64">
        <f t="shared" si="147"/>
        <v>0.63201175741277138</v>
      </c>
      <c r="X107" s="63">
        <f t="shared" si="119"/>
        <v>7.9887772301595966E-2</v>
      </c>
      <c r="Y107" s="63">
        <f t="shared" si="148"/>
        <v>7.9887772301595966E-2</v>
      </c>
      <c r="Z107" s="64">
        <f t="shared" si="120"/>
        <v>3.5817519194851646</v>
      </c>
      <c r="AA107" s="74">
        <f t="shared" si="121"/>
        <v>1.2828946812735661E-2</v>
      </c>
      <c r="AB107" s="75">
        <f t="shared" si="149"/>
        <v>1.2828946812735661E-2</v>
      </c>
      <c r="AC107" s="63">
        <f t="shared" si="122"/>
        <v>3.93300241392516</v>
      </c>
      <c r="AD107" s="63">
        <f t="shared" si="150"/>
        <v>1.3321153006431241E-2</v>
      </c>
      <c r="AE107" s="63">
        <f t="shared" si="123"/>
        <v>1.7642205569389908E-2</v>
      </c>
      <c r="AF107" s="63">
        <f t="shared" si="124"/>
        <v>0.83835059712083382</v>
      </c>
      <c r="AG107" s="63">
        <f t="shared" si="125"/>
        <v>4.0608000000000005E-2</v>
      </c>
      <c r="AH107" s="63">
        <f t="shared" si="126"/>
        <v>0</v>
      </c>
      <c r="AI107" s="63">
        <f t="shared" si="151"/>
        <v>0.22378064516129031</v>
      </c>
      <c r="AJ107" s="63">
        <f t="shared" si="152"/>
        <v>1.1203814478515139</v>
      </c>
      <c r="AK107" s="63">
        <f t="shared" si="127"/>
        <v>8.6706937942454676</v>
      </c>
      <c r="AL107" s="63">
        <f t="shared" si="128"/>
        <v>6.4744232870646387E-2</v>
      </c>
      <c r="AM107" s="63">
        <f t="shared" si="129"/>
        <v>8.6857013078186593E-2</v>
      </c>
      <c r="AN107" s="63">
        <f t="shared" si="130"/>
        <v>0.21020401645467751</v>
      </c>
      <c r="AO107" s="63">
        <f t="shared" si="131"/>
        <v>1167.6833114057335</v>
      </c>
      <c r="AP107" s="63">
        <f t="shared" si="153"/>
        <v>0.21020401645467751</v>
      </c>
      <c r="AQ107" s="61">
        <f t="shared" si="132"/>
        <v>0.46248</v>
      </c>
      <c r="AR107" s="61">
        <f t="shared" si="133"/>
        <v>50128320000</v>
      </c>
      <c r="AS107" s="61">
        <f t="shared" si="154"/>
        <v>0.46248</v>
      </c>
      <c r="AT107" s="61">
        <f t="shared" si="155"/>
        <v>0.23869935483870966</v>
      </c>
      <c r="AU107" s="63">
        <f t="shared" si="156"/>
        <v>0.53576038437157381</v>
      </c>
      <c r="AV107" s="63">
        <f t="shared" si="134"/>
        <v>0.36259775544603196</v>
      </c>
      <c r="AW107" s="63">
        <f t="shared" si="135"/>
        <v>2.9760000000000003E-3</v>
      </c>
      <c r="AX107" s="63">
        <f t="shared" si="136"/>
        <v>4.1360000000000001E-2</v>
      </c>
      <c r="AY107" s="63">
        <f t="shared" si="137"/>
        <v>4.4336E-2</v>
      </c>
      <c r="AZ107" s="63">
        <f t="shared" si="138"/>
        <v>3.6252803512030032</v>
      </c>
      <c r="BA107" s="64">
        <f t="shared" si="139"/>
        <v>38</v>
      </c>
      <c r="BB107" s="76">
        <f t="shared" si="157"/>
        <v>0.9129067643361054</v>
      </c>
      <c r="BC107" s="64">
        <f t="shared" si="158"/>
        <v>91.290676433610543</v>
      </c>
      <c r="BD107" s="63">
        <f t="shared" si="140"/>
        <v>1.4694880444195517</v>
      </c>
      <c r="BE107" s="63">
        <f t="shared" si="159"/>
        <v>1.6561418322230876</v>
      </c>
      <c r="BF107" s="63">
        <f t="shared" si="141"/>
        <v>1.1203814478515139</v>
      </c>
      <c r="BG107" s="63">
        <f t="shared" si="142"/>
        <v>0.53576038437157381</v>
      </c>
      <c r="BH107" s="63">
        <f t="shared" si="143"/>
        <v>0.36259775544603196</v>
      </c>
      <c r="BI107" s="63">
        <f t="shared" si="160"/>
        <v>4.4336E-2</v>
      </c>
      <c r="BJ107" s="63">
        <f t="shared" si="161"/>
        <v>1.2828946812735661E-2</v>
      </c>
      <c r="BK107" s="63">
        <f t="shared" si="162"/>
        <v>7.9887772301595966E-2</v>
      </c>
      <c r="BL107" s="63">
        <f t="shared" si="163"/>
        <v>3.6252803512030032</v>
      </c>
      <c r="BQ107" s="77"/>
      <c r="BR107" s="78"/>
    </row>
    <row r="108" spans="3:70" x14ac:dyDescent="0.25">
      <c r="C108" s="61">
        <v>96</v>
      </c>
      <c r="D108" s="61">
        <f t="shared" si="103"/>
        <v>105</v>
      </c>
      <c r="E108" s="61">
        <f t="shared" si="104"/>
        <v>105</v>
      </c>
      <c r="F108" s="61">
        <f t="shared" si="105"/>
        <v>105</v>
      </c>
      <c r="G108" s="73">
        <f t="shared" si="106"/>
        <v>24</v>
      </c>
      <c r="H108" s="64">
        <f t="shared" si="107"/>
        <v>1</v>
      </c>
      <c r="I108" s="63">
        <f t="shared" si="144"/>
        <v>9.6</v>
      </c>
      <c r="J108" s="65">
        <f t="shared" si="108"/>
        <v>8.6117892021752077E-4</v>
      </c>
      <c r="K108" s="65">
        <f t="shared" si="109"/>
        <v>8.6117892021752077E-4</v>
      </c>
      <c r="L108" s="65">
        <f t="shared" si="110"/>
        <v>5.1791610661465239E-3</v>
      </c>
      <c r="M108" s="65">
        <f t="shared" si="111"/>
        <v>4.0000000000000001E-3</v>
      </c>
      <c r="N108" s="63">
        <f>(V.load+I108*(K108+L108+M108))/(V.supply_typ+I108*(K108-J108))</f>
        <v>0.17068280266121227</v>
      </c>
      <c r="O108" s="64">
        <f>(V.supply_typ-I.load*(J108+L108+M108)-V.load)*N108/(f.sw*L.out)</f>
        <v>2.1898896966723438</v>
      </c>
      <c r="P108" s="64">
        <f>I108+O108/2</f>
        <v>10.694944848336171</v>
      </c>
      <c r="Q108" s="64">
        <f t="shared" si="115"/>
        <v>8.5050551516638286</v>
      </c>
      <c r="R108" s="64">
        <f>IF(MIN(V.supply_typ, -Q108/(C.oss_hs+C.oss_ls)*0.00000002)&lt;0, 0, MIN(V.supply_typ, -Q108/(C.oss_hs+C.oss_ls)*0.00000002))</f>
        <v>0</v>
      </c>
      <c r="S108" s="64">
        <f t="shared" si="117"/>
        <v>9.6207917938337744</v>
      </c>
      <c r="T108" s="63">
        <f t="shared" si="145"/>
        <v>0.47938125654370128</v>
      </c>
      <c r="U108" s="63">
        <f t="shared" si="118"/>
        <v>1</v>
      </c>
      <c r="V108" s="63">
        <f t="shared" si="146"/>
        <v>1.4793812565437012</v>
      </c>
      <c r="W108" s="64">
        <f t="shared" si="147"/>
        <v>0.6321667029346828</v>
      </c>
      <c r="X108" s="63">
        <f>R.esrb*W108^2</f>
        <v>7.9926948059861502E-2</v>
      </c>
      <c r="Y108" s="63">
        <f t="shared" si="148"/>
        <v>7.9926948059861502E-2</v>
      </c>
      <c r="Z108" s="64">
        <f t="shared" si="120"/>
        <v>3.6196454640752029</v>
      </c>
      <c r="AA108" s="74">
        <f>R.esr_cin*Z108^2</f>
        <v>1.3101833285600191E-2</v>
      </c>
      <c r="AB108" s="75">
        <f t="shared" si="149"/>
        <v>1.3101833285600191E-2</v>
      </c>
      <c r="AC108" s="63">
        <f t="shared" si="122"/>
        <v>3.9747123003775244</v>
      </c>
      <c r="AD108" s="63">
        <f t="shared" si="150"/>
        <v>1.3605195548783333E-2</v>
      </c>
      <c r="AE108" s="63">
        <f>AD108*(1+TC_rdson_hs*(T.amb-25))/(1-AD108*TC_rdson_hs*theta.ja_hs)</f>
        <v>1.80196580453083E-2</v>
      </c>
      <c r="AF108" s="63">
        <f t="shared" si="124"/>
        <v>0.84685052178606945</v>
      </c>
      <c r="AG108" s="63">
        <f t="shared" si="125"/>
        <v>4.0608000000000005E-2</v>
      </c>
      <c r="AH108" s="63">
        <f t="shared" si="126"/>
        <v>0</v>
      </c>
      <c r="AI108" s="63">
        <f t="shared" si="151"/>
        <v>0.22378064516129031</v>
      </c>
      <c r="AJ108" s="63">
        <f t="shared" si="152"/>
        <v>1.1292588249926681</v>
      </c>
      <c r="AK108" s="63">
        <f t="shared" si="127"/>
        <v>8.7613524566431469</v>
      </c>
      <c r="AL108" s="63">
        <f>K108*AK108^2</f>
        <v>6.6105210752595733E-2</v>
      </c>
      <c r="AM108" s="63">
        <f>AL108*(1+TC_rdson_ls*(T.amb-25))/(1-AL108*TC_rdson_ls*theta.ja_ls)</f>
        <v>8.871325142252115E-2</v>
      </c>
      <c r="AN108" s="63">
        <f t="shared" si="130"/>
        <v>0.21245900737025603</v>
      </c>
      <c r="AO108" s="63">
        <f t="shared" si="131"/>
        <v>1180.2097859417722</v>
      </c>
      <c r="AP108" s="63">
        <f t="shared" si="153"/>
        <v>0.21245900737025603</v>
      </c>
      <c r="AQ108" s="61">
        <f t="shared" si="132"/>
        <v>0.46248</v>
      </c>
      <c r="AR108" s="61">
        <f t="shared" si="133"/>
        <v>50128320000</v>
      </c>
      <c r="AS108" s="61">
        <f t="shared" si="154"/>
        <v>0.46248</v>
      </c>
      <c r="AT108" s="61">
        <f t="shared" si="155"/>
        <v>0.23869935483870966</v>
      </c>
      <c r="AU108" s="63">
        <f t="shared" si="156"/>
        <v>0.53987161363148684</v>
      </c>
      <c r="AV108" s="63">
        <f t="shared" si="134"/>
        <v>0.37023853896119718</v>
      </c>
      <c r="AW108" s="63">
        <f t="shared" si="135"/>
        <v>2.9760000000000003E-3</v>
      </c>
      <c r="AX108" s="63">
        <f t="shared" si="136"/>
        <v>4.1360000000000001E-2</v>
      </c>
      <c r="AY108" s="63">
        <f>SUM(AW108:AX108)</f>
        <v>4.4336E-2</v>
      </c>
      <c r="AZ108" s="63">
        <f>V108+Y108+AB108+AJ108+AU108+AV108+AY108</f>
        <v>3.6561150154745143</v>
      </c>
      <c r="BA108" s="64">
        <f t="shared" si="139"/>
        <v>38.4</v>
      </c>
      <c r="BB108" s="76">
        <f t="shared" si="157"/>
        <v>0.91306579283109612</v>
      </c>
      <c r="BC108" s="64">
        <f t="shared" si="158"/>
        <v>91.306579283109613</v>
      </c>
      <c r="BD108" s="63">
        <f t="shared" si="140"/>
        <v>1.4793812565437012</v>
      </c>
      <c r="BE108" s="63">
        <f t="shared" si="159"/>
        <v>1.6691304386241548</v>
      </c>
      <c r="BF108" s="63">
        <f t="shared" si="141"/>
        <v>1.1292588249926681</v>
      </c>
      <c r="BG108" s="63">
        <f t="shared" si="142"/>
        <v>0.53987161363148684</v>
      </c>
      <c r="BH108" s="63">
        <f t="shared" si="143"/>
        <v>0.37023853896119718</v>
      </c>
      <c r="BI108" s="63">
        <f t="shared" si="160"/>
        <v>4.4336E-2</v>
      </c>
      <c r="BJ108" s="63">
        <f t="shared" si="161"/>
        <v>1.3101833285600191E-2</v>
      </c>
      <c r="BK108" s="63">
        <f t="shared" si="162"/>
        <v>7.9926948059861502E-2</v>
      </c>
      <c r="BL108" s="63">
        <f t="shared" si="163"/>
        <v>3.6561150154745148</v>
      </c>
      <c r="BQ108" s="77"/>
      <c r="BR108" s="78"/>
    </row>
    <row r="109" spans="3:70" x14ac:dyDescent="0.25">
      <c r="C109" s="61">
        <v>97</v>
      </c>
      <c r="D109" s="61">
        <f t="shared" si="103"/>
        <v>105</v>
      </c>
      <c r="E109" s="61">
        <f t="shared" si="104"/>
        <v>105</v>
      </c>
      <c r="F109" s="61">
        <f t="shared" si="105"/>
        <v>105</v>
      </c>
      <c r="G109" s="73">
        <f t="shared" si="106"/>
        <v>24</v>
      </c>
      <c r="H109" s="64">
        <f t="shared" si="107"/>
        <v>1</v>
      </c>
      <c r="I109" s="63">
        <f t="shared" si="144"/>
        <v>9.6999999999999993</v>
      </c>
      <c r="J109" s="65">
        <f t="shared" si="108"/>
        <v>8.6117892021752077E-4</v>
      </c>
      <c r="K109" s="65">
        <f t="shared" si="109"/>
        <v>8.6117892021752077E-4</v>
      </c>
      <c r="L109" s="65">
        <f t="shared" si="110"/>
        <v>5.1791610661465239E-3</v>
      </c>
      <c r="M109" s="65">
        <f t="shared" si="111"/>
        <v>4.0000000000000001E-3</v>
      </c>
      <c r="N109" s="63">
        <f>(V.load+I109*(K109+L109+M109))/(V.supply_typ+I109*(K109-J109))</f>
        <v>0.17072463741115548</v>
      </c>
      <c r="O109" s="64">
        <f>(V.supply_typ-I.load*(J109+L109+M109)-V.load)*N109/(f.sw*L.out)</f>
        <v>2.1904264437050562</v>
      </c>
      <c r="P109" s="64">
        <f>I109+O109/2</f>
        <v>10.795213221852528</v>
      </c>
      <c r="Q109" s="64">
        <f t="shared" si="115"/>
        <v>8.6047867781474707</v>
      </c>
      <c r="R109" s="64">
        <f>IF(MIN(V.supply_typ, -Q109/(C.oss_hs+C.oss_ls)*0.00000002)&lt;0, 0, MIN(V.supply_typ, -Q109/(C.oss_hs+C.oss_ls)*0.00000002))</f>
        <v>0</v>
      </c>
      <c r="S109" s="64">
        <f t="shared" si="117"/>
        <v>9.7205879794952139</v>
      </c>
      <c r="T109" s="63">
        <f t="shared" si="145"/>
        <v>0.48937805213785757</v>
      </c>
      <c r="U109" s="63">
        <f t="shared" si="118"/>
        <v>1</v>
      </c>
      <c r="V109" s="63">
        <f t="shared" si="146"/>
        <v>1.4893780521378575</v>
      </c>
      <c r="W109" s="64">
        <f t="shared" si="147"/>
        <v>0.63232164845659444</v>
      </c>
      <c r="X109" s="63">
        <f>R.esrb*W109^2</f>
        <v>7.9966133421373001E-2</v>
      </c>
      <c r="Y109" s="63">
        <f t="shared" si="148"/>
        <v>7.9966133421373001E-2</v>
      </c>
      <c r="Z109" s="64">
        <f t="shared" si="120"/>
        <v>3.6575478482610566</v>
      </c>
      <c r="AA109" s="74">
        <f>R.esr_cin*Z109^2</f>
        <v>1.3377656262319087E-2</v>
      </c>
      <c r="AB109" s="75">
        <f t="shared" si="149"/>
        <v>1.3377656262319087E-2</v>
      </c>
      <c r="AC109" s="63">
        <f t="shared" si="122"/>
        <v>4.0164340004142103</v>
      </c>
      <c r="AD109" s="63">
        <f t="shared" si="150"/>
        <v>1.3892316225409203E-2</v>
      </c>
      <c r="AE109" s="63">
        <f>AD109*(1+TC_rdson_hs*(T.amb-25))/(1-AD109*TC_rdson_hs*theta.ja_hs)</f>
        <v>1.8401255159333392E-2</v>
      </c>
      <c r="AF109" s="63">
        <f t="shared" si="124"/>
        <v>0.85535044645130509</v>
      </c>
      <c r="AG109" s="63">
        <f t="shared" si="125"/>
        <v>4.0608000000000005E-2</v>
      </c>
      <c r="AH109" s="63">
        <f t="shared" si="126"/>
        <v>0</v>
      </c>
      <c r="AI109" s="63">
        <f t="shared" si="151"/>
        <v>0.22378064516129031</v>
      </c>
      <c r="AJ109" s="63">
        <f t="shared" si="152"/>
        <v>1.1381403467719289</v>
      </c>
      <c r="AK109" s="63">
        <f t="shared" si="127"/>
        <v>8.852010426305629</v>
      </c>
      <c r="AL109" s="63">
        <f>K109*AK109^2</f>
        <v>6.748033412002627E-2</v>
      </c>
      <c r="AM109" s="63">
        <f>AL109*(1+TC_rdson_ls*(T.amb-25))/(1-AL109*TC_rdson_ls*theta.ja_ls)</f>
        <v>9.0590077108909178E-2</v>
      </c>
      <c r="AN109" s="63">
        <f t="shared" si="130"/>
        <v>0.21471399828583448</v>
      </c>
      <c r="AO109" s="63">
        <f t="shared" si="131"/>
        <v>1192.7362604778104</v>
      </c>
      <c r="AP109" s="63">
        <f t="shared" si="153"/>
        <v>0.21471399828583448</v>
      </c>
      <c r="AQ109" s="61">
        <f t="shared" si="132"/>
        <v>0.46248</v>
      </c>
      <c r="AR109" s="61">
        <f t="shared" si="133"/>
        <v>50128320000</v>
      </c>
      <c r="AS109" s="61">
        <f t="shared" si="154"/>
        <v>0.46248</v>
      </c>
      <c r="AT109" s="61">
        <f t="shared" si="155"/>
        <v>0.23869935483870966</v>
      </c>
      <c r="AU109" s="63">
        <f t="shared" si="156"/>
        <v>0.54400343023345332</v>
      </c>
      <c r="AV109" s="63">
        <f t="shared" si="134"/>
        <v>0.37795932266842741</v>
      </c>
      <c r="AW109" s="63">
        <f t="shared" si="135"/>
        <v>2.9760000000000003E-3</v>
      </c>
      <c r="AX109" s="63">
        <f t="shared" si="136"/>
        <v>4.1360000000000001E-2</v>
      </c>
      <c r="AY109" s="63">
        <f>SUM(AW109:AX109)</f>
        <v>4.4336E-2</v>
      </c>
      <c r="AZ109" s="63">
        <f>V109+Y109+AB109+AJ109+AU109+AV109+AY109</f>
        <v>3.687160941495359</v>
      </c>
      <c r="BA109" s="64">
        <f t="shared" si="139"/>
        <v>38.799999999999997</v>
      </c>
      <c r="BB109" s="76">
        <f t="shared" si="157"/>
        <v>0.91321705522822383</v>
      </c>
      <c r="BC109" s="64">
        <f t="shared" si="158"/>
        <v>91.321705522822384</v>
      </c>
      <c r="BD109" s="63">
        <f t="shared" si="140"/>
        <v>1.4893780521378575</v>
      </c>
      <c r="BE109" s="63">
        <f t="shared" si="159"/>
        <v>1.6821437770053822</v>
      </c>
      <c r="BF109" s="63">
        <f t="shared" si="141"/>
        <v>1.1381403467719289</v>
      </c>
      <c r="BG109" s="63">
        <f t="shared" si="142"/>
        <v>0.54400343023345332</v>
      </c>
      <c r="BH109" s="63">
        <f t="shared" si="143"/>
        <v>0.37795932266842741</v>
      </c>
      <c r="BI109" s="63">
        <f t="shared" si="160"/>
        <v>4.4336E-2</v>
      </c>
      <c r="BJ109" s="63">
        <f t="shared" si="161"/>
        <v>1.3377656262319087E-2</v>
      </c>
      <c r="BK109" s="63">
        <f t="shared" si="162"/>
        <v>7.9966133421373001E-2</v>
      </c>
      <c r="BL109" s="63">
        <f t="shared" si="163"/>
        <v>3.6871609414953586</v>
      </c>
      <c r="BQ109" s="77"/>
      <c r="BR109" s="78"/>
    </row>
    <row r="110" spans="3:70" x14ac:dyDescent="0.25">
      <c r="C110" s="61">
        <v>98</v>
      </c>
      <c r="D110" s="61">
        <f t="shared" si="103"/>
        <v>105</v>
      </c>
      <c r="E110" s="61">
        <f t="shared" si="104"/>
        <v>105</v>
      </c>
      <c r="F110" s="61">
        <f t="shared" si="105"/>
        <v>105</v>
      </c>
      <c r="G110" s="73">
        <f t="shared" si="106"/>
        <v>24</v>
      </c>
      <c r="H110" s="64">
        <f t="shared" si="107"/>
        <v>1</v>
      </c>
      <c r="I110" s="63">
        <f t="shared" si="144"/>
        <v>9.8000000000000007</v>
      </c>
      <c r="J110" s="65">
        <f t="shared" si="108"/>
        <v>8.6117892021752077E-4</v>
      </c>
      <c r="K110" s="65">
        <f t="shared" si="109"/>
        <v>8.6117892021752077E-4</v>
      </c>
      <c r="L110" s="65">
        <f t="shared" si="110"/>
        <v>5.1791610661465239E-3</v>
      </c>
      <c r="M110" s="65">
        <f t="shared" si="111"/>
        <v>4.0000000000000001E-3</v>
      </c>
      <c r="N110" s="63">
        <f>(V.load+I110*(K110+L110+M110))/(V.supply_typ+I110*(K110-J110))</f>
        <v>0.17076647216109864</v>
      </c>
      <c r="O110" s="64">
        <f>(V.supply_typ-I.load*(J110+L110+M110)-V.load)*N110/(f.sw*L.out)</f>
        <v>2.1909631907377682</v>
      </c>
      <c r="P110" s="64">
        <f>I110+O110/2</f>
        <v>10.895481595368885</v>
      </c>
      <c r="Q110" s="64">
        <f t="shared" si="115"/>
        <v>8.7045184046311164</v>
      </c>
      <c r="R110" s="64">
        <f>IF(MIN(V.supply_typ, -Q110/(C.oss_hs+C.oss_ls)*0.00000002)&lt;0, 0, MIN(V.supply_typ, -Q110/(C.oss_hs+C.oss_ls)*0.00000002))</f>
        <v>0</v>
      </c>
      <c r="S110" s="64">
        <f t="shared" si="117"/>
        <v>9.8203883142129715</v>
      </c>
      <c r="T110" s="63">
        <f t="shared" si="145"/>
        <v>0.4994784312020209</v>
      </c>
      <c r="U110" s="63">
        <f t="shared" si="118"/>
        <v>1</v>
      </c>
      <c r="V110" s="63">
        <f t="shared" si="146"/>
        <v>1.4994784312020208</v>
      </c>
      <c r="W110" s="64">
        <f t="shared" si="147"/>
        <v>0.63247659397850597</v>
      </c>
      <c r="X110" s="63">
        <f>R.esrb*W110^2</f>
        <v>8.0005328386130392E-2</v>
      </c>
      <c r="Y110" s="63">
        <f t="shared" si="148"/>
        <v>8.0005328386130392E-2</v>
      </c>
      <c r="Z110" s="64">
        <f t="shared" si="120"/>
        <v>3.6954590209811373</v>
      </c>
      <c r="AA110" s="74">
        <f>R.esr_cin*Z110^2</f>
        <v>1.3656417375750867E-2</v>
      </c>
      <c r="AB110" s="75">
        <f t="shared" si="149"/>
        <v>1.3656417375750867E-2</v>
      </c>
      <c r="AC110" s="63">
        <f t="shared" si="122"/>
        <v>4.0581674589357286</v>
      </c>
      <c r="AD110" s="63">
        <f t="shared" si="150"/>
        <v>1.4182517197946323E-2</v>
      </c>
      <c r="AE110" s="63">
        <f>AD110*(1+TC_rdson_hs*(T.amb-25))/(1-AD110*TC_rdson_hs*theta.ja_hs)</f>
        <v>1.878700155049089E-2</v>
      </c>
      <c r="AF110" s="63">
        <f t="shared" si="124"/>
        <v>0.86385037111654084</v>
      </c>
      <c r="AG110" s="63">
        <f t="shared" si="125"/>
        <v>4.0608000000000005E-2</v>
      </c>
      <c r="AH110" s="63">
        <f t="shared" si="126"/>
        <v>0</v>
      </c>
      <c r="AI110" s="63">
        <f t="shared" si="151"/>
        <v>0.22378064516129031</v>
      </c>
      <c r="AJ110" s="63">
        <f t="shared" si="152"/>
        <v>1.147026017828322</v>
      </c>
      <c r="AK110" s="63">
        <f t="shared" si="127"/>
        <v>8.9426675839575864</v>
      </c>
      <c r="AL110" s="63">
        <f>K110*AK110^2</f>
        <v>6.8869600811300488E-2</v>
      </c>
      <c r="AM110" s="63">
        <f>AL110*(1+TC_rdson_ls*(T.amb-25))/(1-AL110*TC_rdson_ls*theta.ja_ls)</f>
        <v>9.2487528708089808E-2</v>
      </c>
      <c r="AN110" s="63">
        <f t="shared" si="130"/>
        <v>0.21696898920141305</v>
      </c>
      <c r="AO110" s="63">
        <f t="shared" si="131"/>
        <v>1205.2627350138494</v>
      </c>
      <c r="AP110" s="63">
        <f t="shared" si="153"/>
        <v>0.21696898920141305</v>
      </c>
      <c r="AQ110" s="61">
        <f t="shared" si="132"/>
        <v>0.46248</v>
      </c>
      <c r="AR110" s="61">
        <f t="shared" si="133"/>
        <v>50128320000</v>
      </c>
      <c r="AS110" s="61">
        <f t="shared" si="154"/>
        <v>0.46248</v>
      </c>
      <c r="AT110" s="61">
        <f t="shared" si="155"/>
        <v>0.23869935483870966</v>
      </c>
      <c r="AU110" s="63">
        <f t="shared" si="156"/>
        <v>0.54815587274821254</v>
      </c>
      <c r="AV110" s="63">
        <f t="shared" si="134"/>
        <v>0.38576010656772275</v>
      </c>
      <c r="AW110" s="63">
        <f t="shared" si="135"/>
        <v>2.9760000000000003E-3</v>
      </c>
      <c r="AX110" s="63">
        <f t="shared" si="136"/>
        <v>4.1360000000000001E-2</v>
      </c>
      <c r="AY110" s="63">
        <f>SUM(AW110:AX110)</f>
        <v>4.4336E-2</v>
      </c>
      <c r="AZ110" s="63">
        <f>V110+Y110+AB110+AJ110+AU110+AV110+AY110</f>
        <v>3.7184181741081601</v>
      </c>
      <c r="BA110" s="64">
        <f t="shared" si="139"/>
        <v>39.200000000000003</v>
      </c>
      <c r="BB110" s="76">
        <f t="shared" si="157"/>
        <v>0.91336078233304019</v>
      </c>
      <c r="BC110" s="64">
        <f t="shared" si="158"/>
        <v>91.336078233304022</v>
      </c>
      <c r="BD110" s="63">
        <f t="shared" si="140"/>
        <v>1.4994784312020208</v>
      </c>
      <c r="BE110" s="63">
        <f t="shared" si="159"/>
        <v>1.6951818905765346</v>
      </c>
      <c r="BF110" s="63">
        <f t="shared" si="141"/>
        <v>1.147026017828322</v>
      </c>
      <c r="BG110" s="63">
        <f t="shared" si="142"/>
        <v>0.54815587274821254</v>
      </c>
      <c r="BH110" s="63">
        <f t="shared" si="143"/>
        <v>0.38576010656772275</v>
      </c>
      <c r="BI110" s="63">
        <f t="shared" si="160"/>
        <v>4.4336E-2</v>
      </c>
      <c r="BJ110" s="63">
        <f t="shared" si="161"/>
        <v>1.3656417375750867E-2</v>
      </c>
      <c r="BK110" s="63">
        <f t="shared" si="162"/>
        <v>8.0005328386130392E-2</v>
      </c>
      <c r="BL110" s="63">
        <f t="shared" si="163"/>
        <v>3.7184181741081597</v>
      </c>
      <c r="BQ110" s="77"/>
      <c r="BR110" s="78"/>
    </row>
    <row r="111" spans="3:70" x14ac:dyDescent="0.25">
      <c r="C111" s="61">
        <v>99</v>
      </c>
      <c r="D111" s="61">
        <f t="shared" si="103"/>
        <v>105</v>
      </c>
      <c r="E111" s="61">
        <f t="shared" si="104"/>
        <v>105</v>
      </c>
      <c r="F111" s="61">
        <f t="shared" si="105"/>
        <v>105</v>
      </c>
      <c r="G111" s="73">
        <f t="shared" si="106"/>
        <v>24</v>
      </c>
      <c r="H111" s="64">
        <f t="shared" si="107"/>
        <v>1</v>
      </c>
      <c r="I111" s="63">
        <f t="shared" si="144"/>
        <v>9.9</v>
      </c>
      <c r="J111" s="65">
        <f t="shared" si="108"/>
        <v>8.6117892021752077E-4</v>
      </c>
      <c r="K111" s="65">
        <f t="shared" si="109"/>
        <v>8.6117892021752077E-4</v>
      </c>
      <c r="L111" s="65">
        <f t="shared" si="110"/>
        <v>5.1791610661465239E-3</v>
      </c>
      <c r="M111" s="65">
        <f t="shared" si="111"/>
        <v>4.0000000000000001E-3</v>
      </c>
      <c r="N111" s="63">
        <f>(V.load+I111*(K111+L111+M111))/(V.supply_typ+I111*(K111-J111))</f>
        <v>0.17080830691104185</v>
      </c>
      <c r="O111" s="64">
        <f>(V.supply_typ-I.load*(J111+L111+M111)-V.load)*N111/(f.sw*L.out)</f>
        <v>2.1914999377704811</v>
      </c>
      <c r="P111" s="64">
        <f>I111+O111/2</f>
        <v>10.99574996888524</v>
      </c>
      <c r="Q111" s="64">
        <f t="shared" si="115"/>
        <v>8.8042500311147602</v>
      </c>
      <c r="R111" s="64">
        <f>IF(MIN(V.supply_typ, -Q111/(C.oss_hs+C.oss_ls)*0.00000002)&lt;0, 0, MIN(V.supply_typ, -Q111/(C.oss_hs+C.oss_ls)*0.00000002))</f>
        <v>0</v>
      </c>
      <c r="S111" s="64">
        <f t="shared" si="117"/>
        <v>9.9201926727645091</v>
      </c>
      <c r="T111" s="63">
        <f t="shared" si="145"/>
        <v>0.5096823937361904</v>
      </c>
      <c r="U111" s="63">
        <f t="shared" si="118"/>
        <v>1</v>
      </c>
      <c r="V111" s="63">
        <f t="shared" si="146"/>
        <v>1.5096823937361905</v>
      </c>
      <c r="W111" s="64">
        <f t="shared" si="147"/>
        <v>0.63263153950041773</v>
      </c>
      <c r="X111" s="63">
        <f>R.esrb*W111^2</f>
        <v>8.0044532954133718E-2</v>
      </c>
      <c r="Y111" s="63">
        <f t="shared" si="148"/>
        <v>8.0044532954133718E-2</v>
      </c>
      <c r="Z111" s="64">
        <f t="shared" si="120"/>
        <v>3.7333789331293441</v>
      </c>
      <c r="AA111" s="74">
        <f>R.esr_cin*Z111^2</f>
        <v>1.3938118258333999E-2</v>
      </c>
      <c r="AB111" s="75">
        <f t="shared" si="149"/>
        <v>1.3938118258333999E-2</v>
      </c>
      <c r="AC111" s="63">
        <f t="shared" si="122"/>
        <v>4.0999126229845571</v>
      </c>
      <c r="AD111" s="63">
        <f t="shared" si="150"/>
        <v>1.4475800628032153E-2</v>
      </c>
      <c r="AE111" s="63">
        <f>AD111*(1+TC_rdson_hs*(T.amb-25))/(1-AD111*TC_rdson_hs*theta.ja_hs)</f>
        <v>1.9176901879052036E-2</v>
      </c>
      <c r="AF111" s="63">
        <f t="shared" si="124"/>
        <v>0.87235029578177636</v>
      </c>
      <c r="AG111" s="63">
        <f t="shared" si="125"/>
        <v>4.0608000000000005E-2</v>
      </c>
      <c r="AH111" s="63">
        <f t="shared" si="126"/>
        <v>0</v>
      </c>
      <c r="AI111" s="63">
        <f t="shared" si="151"/>
        <v>0.22378064516129031</v>
      </c>
      <c r="AJ111" s="63">
        <f t="shared" si="152"/>
        <v>1.1559158428221188</v>
      </c>
      <c r="AK111" s="63">
        <f t="shared" si="127"/>
        <v>9.0333238151116078</v>
      </c>
      <c r="AL111" s="63">
        <f>K111*AK111^2</f>
        <v>7.0273008664780826E-2</v>
      </c>
      <c r="AM111" s="63">
        <f>AL111*(1+TC_rdson_ls*(T.amb-25))/(1-AL111*TC_rdson_ls*theta.ja_ls)</f>
        <v>9.4405645282284387E-2</v>
      </c>
      <c r="AN111" s="63">
        <f t="shared" si="130"/>
        <v>0.21922398011699151</v>
      </c>
      <c r="AO111" s="63">
        <f t="shared" si="131"/>
        <v>1217.7892095498878</v>
      </c>
      <c r="AP111" s="63">
        <f t="shared" si="153"/>
        <v>0.21922398011699151</v>
      </c>
      <c r="AQ111" s="61">
        <f t="shared" si="132"/>
        <v>0.46248</v>
      </c>
      <c r="AR111" s="61">
        <f t="shared" si="133"/>
        <v>50128320000</v>
      </c>
      <c r="AS111" s="61">
        <f t="shared" si="154"/>
        <v>0.46248</v>
      </c>
      <c r="AT111" s="61">
        <f t="shared" si="155"/>
        <v>0.23869935483870966</v>
      </c>
      <c r="AU111" s="63">
        <f t="shared" si="156"/>
        <v>0.5523289802379856</v>
      </c>
      <c r="AV111" s="63">
        <f t="shared" si="134"/>
        <v>0.39364089065908264</v>
      </c>
      <c r="AW111" s="63">
        <f t="shared" si="135"/>
        <v>2.9760000000000003E-3</v>
      </c>
      <c r="AX111" s="63">
        <f t="shared" si="136"/>
        <v>4.1360000000000001E-2</v>
      </c>
      <c r="AY111" s="63">
        <f>SUM(AW111:AX111)</f>
        <v>4.4336E-2</v>
      </c>
      <c r="AZ111" s="63">
        <f>V111+Y111+AB111+AJ111+AU111+AV111+AY111</f>
        <v>3.749886758667845</v>
      </c>
      <c r="BA111" s="64">
        <f t="shared" si="139"/>
        <v>39.6</v>
      </c>
      <c r="BB111" s="76">
        <f t="shared" si="157"/>
        <v>0.91349719597784063</v>
      </c>
      <c r="BC111" s="64">
        <f t="shared" si="158"/>
        <v>91.349719597784059</v>
      </c>
      <c r="BD111" s="63">
        <f t="shared" si="140"/>
        <v>1.5096823937361905</v>
      </c>
      <c r="BE111" s="63">
        <f t="shared" si="159"/>
        <v>1.7082448230601044</v>
      </c>
      <c r="BF111" s="63">
        <f t="shared" si="141"/>
        <v>1.1559158428221188</v>
      </c>
      <c r="BG111" s="63">
        <f t="shared" si="142"/>
        <v>0.5523289802379856</v>
      </c>
      <c r="BH111" s="63">
        <f t="shared" si="143"/>
        <v>0.39364089065908264</v>
      </c>
      <c r="BI111" s="63">
        <f t="shared" si="160"/>
        <v>4.4336E-2</v>
      </c>
      <c r="BJ111" s="63">
        <f t="shared" si="161"/>
        <v>1.3938118258333999E-2</v>
      </c>
      <c r="BK111" s="63">
        <f t="shared" si="162"/>
        <v>8.0044532954133718E-2</v>
      </c>
      <c r="BL111" s="63">
        <f t="shared" si="163"/>
        <v>3.7498867586678446</v>
      </c>
      <c r="BQ111" s="77"/>
      <c r="BR111" s="78"/>
    </row>
    <row r="112" spans="3:70" s="81" customFormat="1" ht="15.6" x14ac:dyDescent="0.3">
      <c r="C112" s="81">
        <v>100</v>
      </c>
      <c r="D112" s="61">
        <f t="shared" si="103"/>
        <v>105</v>
      </c>
      <c r="E112" s="61">
        <f t="shared" si="104"/>
        <v>105</v>
      </c>
      <c r="F112" s="61">
        <f t="shared" si="105"/>
        <v>105</v>
      </c>
      <c r="G112" s="89">
        <f t="shared" si="106"/>
        <v>24</v>
      </c>
      <c r="H112" s="85">
        <f t="shared" si="107"/>
        <v>1</v>
      </c>
      <c r="I112" s="86">
        <f t="shared" si="144"/>
        <v>10</v>
      </c>
      <c r="J112" s="90">
        <f t="shared" si="108"/>
        <v>8.6117892021752077E-4</v>
      </c>
      <c r="K112" s="90">
        <f t="shared" si="109"/>
        <v>8.6117892021752077E-4</v>
      </c>
      <c r="L112" s="90">
        <f t="shared" si="110"/>
        <v>5.1791610661465239E-3</v>
      </c>
      <c r="M112" s="90">
        <f t="shared" si="111"/>
        <v>4.0000000000000001E-3</v>
      </c>
      <c r="N112" s="86">
        <f>(V.load+I112*(K112+L112+M112))/(V.supply_typ+I112*(K112-J112))</f>
        <v>0.17085014166098503</v>
      </c>
      <c r="O112" s="85">
        <f>(V.supply_typ-I.load*(J112+L112+M112)-V.load)*N112/(f.sw*L.out)</f>
        <v>2.1920366848031936</v>
      </c>
      <c r="P112" s="85">
        <f>I112+O112/2</f>
        <v>11.096018342401596</v>
      </c>
      <c r="Q112" s="85">
        <f t="shared" si="115"/>
        <v>8.9039816575984041</v>
      </c>
      <c r="R112" s="85">
        <f>IF(MIN(V.supply_typ, -Q112/(C.oss_hs+C.oss_ls)*0.00000002)&lt;0, 0, MIN(V.supply_typ, -Q112/(C.oss_hs+C.oss_ls)*0.00000002))</f>
        <v>0</v>
      </c>
      <c r="S112" s="85">
        <f t="shared" si="117"/>
        <v>10.020000934911479</v>
      </c>
      <c r="T112" s="86">
        <f t="shared" si="145"/>
        <v>0.51998993974036689</v>
      </c>
      <c r="U112" s="86">
        <f t="shared" si="118"/>
        <v>1</v>
      </c>
      <c r="V112" s="94">
        <f t="shared" si="146"/>
        <v>1.5199899397403669</v>
      </c>
      <c r="W112" s="85">
        <f t="shared" si="147"/>
        <v>0.63278648502232937</v>
      </c>
      <c r="X112" s="86">
        <f>R.esrb*W112^2</f>
        <v>8.0083747125382937E-2</v>
      </c>
      <c r="Y112" s="94">
        <f t="shared" si="148"/>
        <v>8.0083747125382937E-2</v>
      </c>
      <c r="Z112" s="85">
        <f t="shared" si="120"/>
        <v>3.771307537457925</v>
      </c>
      <c r="AA112" s="88">
        <f>R.esr_cin*Z112^2</f>
        <v>1.422276054208696E-2</v>
      </c>
      <c r="AB112" s="95">
        <f t="shared" si="149"/>
        <v>1.422276054208696E-2</v>
      </c>
      <c r="AC112" s="86">
        <f t="shared" si="122"/>
        <v>4.1416694416387303</v>
      </c>
      <c r="AD112" s="86">
        <f t="shared" si="150"/>
        <v>1.4772168677304192E-2</v>
      </c>
      <c r="AE112" s="86">
        <f>AD112*(1+TC_rdson_hs*(T.amb-25))/(1-AD112*TC_rdson_hs*theta.ja_hs)</f>
        <v>1.9570960826599381E-2</v>
      </c>
      <c r="AF112" s="86">
        <f t="shared" si="124"/>
        <v>0.88085022044701211</v>
      </c>
      <c r="AG112" s="86">
        <f t="shared" si="125"/>
        <v>4.0608000000000005E-2</v>
      </c>
      <c r="AH112" s="86">
        <f t="shared" si="126"/>
        <v>0</v>
      </c>
      <c r="AI112" s="63">
        <f t="shared" si="151"/>
        <v>0.22378064516129031</v>
      </c>
      <c r="AJ112" s="83">
        <f t="shared" si="152"/>
        <v>1.1648098264349018</v>
      </c>
      <c r="AK112" s="86">
        <f t="shared" si="127"/>
        <v>9.1239790098302418</v>
      </c>
      <c r="AL112" s="86">
        <f>K112*AK112^2</f>
        <v>7.1690555518829926E-2</v>
      </c>
      <c r="AM112" s="86">
        <f>AL112*(1+TC_rdson_ls*(T.amb-25))/(1-AL112*TC_rdson_ls*theta.ja_ls)</f>
        <v>9.6344466387340982E-2</v>
      </c>
      <c r="AN112" s="86">
        <f t="shared" si="130"/>
        <v>0.22147897103257003</v>
      </c>
      <c r="AO112" s="86">
        <f t="shared" si="131"/>
        <v>1230.3156840859265</v>
      </c>
      <c r="AP112" s="86">
        <f t="shared" si="153"/>
        <v>0.22147897103257003</v>
      </c>
      <c r="AQ112" s="81">
        <f t="shared" si="132"/>
        <v>0.46248</v>
      </c>
      <c r="AR112" s="81">
        <f t="shared" si="133"/>
        <v>50128320000</v>
      </c>
      <c r="AS112" s="81">
        <f t="shared" si="154"/>
        <v>0.46248</v>
      </c>
      <c r="AT112" s="61">
        <f t="shared" si="155"/>
        <v>0.23869935483870966</v>
      </c>
      <c r="AU112" s="83">
        <f t="shared" si="156"/>
        <v>0.55652279225862067</v>
      </c>
      <c r="AV112" s="94">
        <f t="shared" si="134"/>
        <v>0.40160167494250765</v>
      </c>
      <c r="AW112" s="86">
        <f t="shared" si="135"/>
        <v>2.9760000000000003E-3</v>
      </c>
      <c r="AX112" s="86">
        <f t="shared" si="136"/>
        <v>4.1360000000000001E-2</v>
      </c>
      <c r="AY112" s="94">
        <f>SUM(AW112:AX112)</f>
        <v>4.4336E-2</v>
      </c>
      <c r="AZ112" s="94">
        <f>V112+Y112+AB112+AJ112+AU112+AV112+AY112</f>
        <v>3.7815667410438669</v>
      </c>
      <c r="BA112" s="85">
        <f t="shared" si="139"/>
        <v>40</v>
      </c>
      <c r="BB112" s="96">
        <f t="shared" si="157"/>
        <v>0.91362650945292079</v>
      </c>
      <c r="BC112" s="79">
        <f t="shared" si="158"/>
        <v>91.362650945292074</v>
      </c>
      <c r="BD112" s="80">
        <f t="shared" si="140"/>
        <v>1.5199899397403669</v>
      </c>
      <c r="BE112" s="80">
        <f t="shared" si="159"/>
        <v>1.7213326186935225</v>
      </c>
      <c r="BF112" s="80">
        <f t="shared" si="141"/>
        <v>1.1648098264349018</v>
      </c>
      <c r="BG112" s="80">
        <f t="shared" si="142"/>
        <v>0.55652279225862067</v>
      </c>
      <c r="BH112" s="80">
        <f t="shared" si="143"/>
        <v>0.40160167494250765</v>
      </c>
      <c r="BI112" s="80">
        <f t="shared" si="160"/>
        <v>4.4336E-2</v>
      </c>
      <c r="BJ112" s="80">
        <f t="shared" si="161"/>
        <v>1.422276054208696E-2</v>
      </c>
      <c r="BK112" s="80">
        <f t="shared" si="162"/>
        <v>8.0083747125382937E-2</v>
      </c>
      <c r="BL112" s="80">
        <f t="shared" si="163"/>
        <v>3.7815667410438669</v>
      </c>
      <c r="BQ112" s="92"/>
      <c r="BR112" s="93"/>
    </row>
    <row r="113" spans="7:63" x14ac:dyDescent="0.25">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5">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5">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5">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5">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5">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5">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5">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5">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5">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5">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5">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5">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5">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5">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5">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5">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5">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5">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5">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5">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5">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5">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5">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5">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5">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5">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5">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5">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5">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5">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5">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5">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5">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5">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5">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5">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5">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5">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5">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5">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5">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5">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5">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5">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5">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5">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5">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5">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5">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5">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5">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5">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5">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5">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5">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5">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5">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5">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5">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5">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5">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5">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5">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5">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5">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5">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5">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5">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5">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5">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5">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5">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5">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5">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5">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5">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5">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5">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5">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5">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5">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5">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5">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5">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5">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5">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5">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5">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5">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5">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5">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5">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5">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5">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5">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5">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5">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5">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5">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Jeff Boyer</cp:lastModifiedBy>
  <cp:lastPrinted>2025-12-18T04:17:58Z</cp:lastPrinted>
  <dcterms:created xsi:type="dcterms:W3CDTF">2024-04-07T17:12:23Z</dcterms:created>
  <dcterms:modified xsi:type="dcterms:W3CDTF">2025-12-18T06:11:24Z</dcterms:modified>
</cp:coreProperties>
</file>