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lnttsgroup-my.sharepoint.com/personal/mohammed_khan2_ltts_com/Documents/New Transformer SPEcs/"/>
    </mc:Choice>
  </mc:AlternateContent>
  <xr:revisionPtr revIDLastSave="144" documentId="8_{F9045EA3-9972-4DB0-9D1A-2B1616EDA7A5}" xr6:coauthVersionLast="47" xr6:coauthVersionMax="47" xr10:uidLastSave="{29CB6309-96E1-4BF0-B2AE-02F48DAC1943}"/>
  <bookViews>
    <workbookView xWindow="-120" yWindow="-120" windowWidth="20730" windowHeight="11040" tabRatio="806" firstSheet="2" activeTab="2" xr2:uid="{00000000-000D-0000-FFFF-FFFF00000000}"/>
  </bookViews>
  <sheets>
    <sheet name="Instructions" sheetId="2" r:id="rId1"/>
    <sheet name="Functional Schematic" sheetId="7" r:id="rId2"/>
    <sheet name="Design Information" sheetId="1" r:id="rId3"/>
    <sheet name="Figure of T1 Current" sheetId="8" r:id="rId4"/>
    <sheet name="TABSET Valley Switching" sheetId="9" r:id="rId5"/>
    <sheet name="TCDSET Valley Switching" sheetId="10" r:id="rId6"/>
    <sheet name="Notice and Disclaimer" sheetId="11" r:id="rId7"/>
    <sheet name="Voltage Loop" sheetId="6" state="hidden" r:id="rId8"/>
    <sheet name="Standard R and C Look Up Table" sheetId="3" state="hidden" r:id="rId9"/>
  </sheets>
  <externalReferences>
    <externalReference r:id="rId10"/>
  </externalReferences>
  <definedNames>
    <definedName name="_imp2">'Design Information'!$C$40</definedName>
    <definedName name="_ims2">'Design Information'!$C$32</definedName>
    <definedName name="_ipp1">'Design Information'!$C$112</definedName>
    <definedName name="_st1">'Design Information'!#REF!</definedName>
    <definedName name="_st10">'Standard R and C Look Up Table'!#REF!</definedName>
    <definedName name="_st11">'Standard R and C Look Up Table'!#REF!</definedName>
    <definedName name="_st12">'Standard R and C Look Up Table'!#REF!</definedName>
    <definedName name="_st13">'Standard R and C Look Up Table'!#REF!</definedName>
    <definedName name="_st14">'Standard R and C Look Up Table'!#REF!</definedName>
    <definedName name="_st15">'Standard R and C Look Up Table'!#REF!</definedName>
    <definedName name="_st16">'Standard R and C Look Up Table'!#REF!</definedName>
    <definedName name="_st17">'Standard R and C Look Up Table'!#REF!</definedName>
    <definedName name="_st18">'Standard R and C Look Up Table'!#REF!</definedName>
    <definedName name="_st2">'Design Information'!#REF!</definedName>
    <definedName name="_st3">'Standard R and C Look Up Table'!#REF!</definedName>
    <definedName name="_st4">'Standard R and C Look Up Table'!#REF!</definedName>
    <definedName name="_st5">'Standard R and C Look Up Table'!#REF!</definedName>
    <definedName name="_st6">'Standard R and C Look Up Table'!#REF!</definedName>
    <definedName name="_st7">'Standard R and C Look Up Table'!#REF!</definedName>
    <definedName name="_st8">'Standard R and C Look Up Table'!#REF!</definedName>
    <definedName name="_st9">'Standard R and C Look Up Table'!#REF!</definedName>
    <definedName name="_std2">'Design Information'!#REF!</definedName>
    <definedName name="_ta1">'Design Information'!$C$25</definedName>
    <definedName name="_ta11">'Design Information'!$C$25</definedName>
    <definedName name="_ta2">'Design Information'!$C$111</definedName>
    <definedName name="_taa1">'Design Information'!$C$26</definedName>
    <definedName name="_va1">'Design Information'!$C$120</definedName>
    <definedName name="C_enter">'Standard R and C Look Up Table'!$K$2</definedName>
    <definedName name="C_f1">'Standard R and C Look Up Table'!$K$17</definedName>
    <definedName name="C_f2">'Standard R and C Look Up Table'!$K$24</definedName>
    <definedName name="c_s1">'Standard R and C Look Up Table'!$J$6</definedName>
    <definedName name="C_s2">'Standard R and C Look Up Table'!$J$19</definedName>
    <definedName name="Center">'Standard R and C Look Up Table'!$K$2</definedName>
    <definedName name="constant">'Design Information'!$C$132</definedName>
    <definedName name="cossqaavg">'Design Information'!$C$56</definedName>
    <definedName name="cossqaspec">'Design Information'!$C$53</definedName>
    <definedName name="cossqeavg">'Design Information'!$C$90</definedName>
    <definedName name="cout">'Design Information'!$C$80</definedName>
    <definedName name="Cp">'Design Information'!$C$151</definedName>
    <definedName name="CPC">'[1]Design Information'!$C$87</definedName>
    <definedName name="Cstandard">'Standard R and C Look Up Table'!$K$3</definedName>
    <definedName name="Cz">'Design Information'!$C$146</definedName>
    <definedName name="CZC">'[1]Design Information'!$C$85</definedName>
    <definedName name="d2a">'Design Information'!$C$135</definedName>
    <definedName name="dclamp">'Design Information'!$C$102</definedName>
    <definedName name="dcrlout">'Design Information'!$C$69</definedName>
    <definedName name="dcrp">'Design Information'!$C$45</definedName>
    <definedName name="dcrs">'Design Information'!$C$46</definedName>
    <definedName name="dilmag">'Design Information'!$C$37</definedName>
    <definedName name="dilout">'Design Information'!$C$28</definedName>
    <definedName name="dmax">'Design Information'!$C$24</definedName>
    <definedName name="dtyp">'Design Information'!$C$27</definedName>
    <definedName name="E12_f">'Standard R and C Look Up Table'!$F$21</definedName>
    <definedName name="E12_s">'Standard R and C Look Up Table'!$E$10</definedName>
    <definedName name="E24_f">'Standard R and C Look Up Table'!$F$46</definedName>
    <definedName name="E24_s">'Standard R and C Look Up Table'!$E$23</definedName>
    <definedName name="E48_f">'Standard R and C Look Up Table'!$F$95</definedName>
    <definedName name="E48_s">'Standard R and C Look Up Table'!$E$48</definedName>
    <definedName name="E6_f">'Standard R and C Look Up Table'!$F$8</definedName>
    <definedName name="E6_s">'Standard R and C Look Up Table'!$E$3</definedName>
    <definedName name="E96_f">'Standard R and C Look Up Table'!$H$98</definedName>
    <definedName name="E96_s">'Standard R and C Look Up Table'!$G$3</definedName>
    <definedName name="Eff">'Design Information'!$B$17</definedName>
    <definedName name="esrcout">'Design Information'!$C$81</definedName>
    <definedName name="fc">'Design Information'!$C$130</definedName>
    <definedName name="fpp">'Design Information'!$C$129</definedName>
    <definedName name="fs">'Design Information'!$C$18</definedName>
    <definedName name="iloutrms">'Design Information'!$C$67</definedName>
    <definedName name="imp">'Design Information'!$C$39</definedName>
    <definedName name="ims">'Design Information'!$C$31</definedName>
    <definedName name="ipp">'Design Information'!$C$38</definedName>
    <definedName name="iprms">'Design Information'!$C$43</definedName>
    <definedName name="iprms1">'Design Information'!$C$41</definedName>
    <definedName name="iprms2">'Design Information'!$C$42</definedName>
    <definedName name="ips">'Design Information'!$C$30</definedName>
    <definedName name="isrms">'Design Information'!$C$36</definedName>
    <definedName name="isrms1">'Design Information'!$C$33</definedName>
    <definedName name="isrms2">'Design Information'!$C$34</definedName>
    <definedName name="isrms3">'Design Information'!$C$35</definedName>
    <definedName name="LAVG">'[1]Design Information'!$C$29</definedName>
    <definedName name="llk">'Design Information'!$C$47</definedName>
    <definedName name="lmag">'Design Information'!$C$29</definedName>
    <definedName name="lmag1">'Design Information'!$C$29</definedName>
    <definedName name="lmag2">'Design Information'!$C$44</definedName>
    <definedName name="lout">'Design Information'!$C$68</definedName>
    <definedName name="ls">'Design Information'!$C$61</definedName>
    <definedName name="n1divd1">'Design Information'!$C$134</definedName>
    <definedName name="NCT">'[1]Design Information'!$C$40</definedName>
    <definedName name="pbudget">'Design Information'!$C$22</definedName>
    <definedName name="pout">'Design Information'!$D$16</definedName>
    <definedName name="QAg">'Design Information'!$C$54</definedName>
    <definedName name="qeg">'Design Information'!$C$86</definedName>
    <definedName name="rdsonqa">'Design Information'!$C$52</definedName>
    <definedName name="rdsonqe">'Design Information'!$C$87</definedName>
    <definedName name="rf">'Design Information'!$C$141</definedName>
    <definedName name="RII">'Design Information'!$C$128</definedName>
    <definedName name="rload">'Design Information'!$C$131</definedName>
    <definedName name="RS">'Design Information'!$C$115</definedName>
    <definedName name="RZC">'[1]Design Information'!$C$83</definedName>
    <definedName name="sta">'Standard R and C Look Up Table'!$L$6</definedName>
    <definedName name="stb">'Standard R and C Look Up Table'!$L$19</definedName>
    <definedName name="std">'Design Information'!#REF!</definedName>
    <definedName name="tabset">'Design Information'!$C$182</definedName>
    <definedName name="tafset">'Design Information'!$C$200</definedName>
    <definedName name="tcdset">'Design Information'!$C$194</definedName>
    <definedName name="tdelay">'Design Information'!$C$100</definedName>
    <definedName name="temp">#REF!</definedName>
    <definedName name="thu">'Design Information'!$C$73</definedName>
    <definedName name="tr">'Design Information'!$C$95</definedName>
    <definedName name="vadel">'Design Information'!$C$188</definedName>
    <definedName name="vdsqe">'Design Information'!$C$85</definedName>
    <definedName name="vg">'Design Information'!$C$51</definedName>
    <definedName name="vin">'Design Information'!$C$13</definedName>
    <definedName name="vinerror">'Design Information'!#REF!</definedName>
    <definedName name="VINMAX">'Design Information'!$D$13</definedName>
    <definedName name="VINMIAX">'Design Information'!$D$13</definedName>
    <definedName name="VINMIN">'Design Information'!$B$13</definedName>
    <definedName name="VOUT">'Design Information'!$C$14</definedName>
    <definedName name="voutmin">'Design Information'!$B$14</definedName>
    <definedName name="vrdson">'Design Information'!$C$23</definedName>
    <definedName name="Vslope1">'Design Information'!$C$221</definedName>
    <definedName name="Vslope2">'Design Information'!$C$222</definedName>
    <definedName name="VTRAN">'Design Information'!$D$15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 l="1"/>
  <c r="C27" i="1"/>
  <c r="D27" i="1" s="1"/>
  <c r="C85" i="1"/>
  <c r="C90" i="1" s="1"/>
  <c r="C74" i="1"/>
  <c r="C28" i="1"/>
  <c r="C112" i="1" s="1"/>
  <c r="C113" i="1" s="1"/>
  <c r="C114" i="1" s="1"/>
  <c r="C221" i="1"/>
  <c r="C206" i="1"/>
  <c r="C207" i="1" s="1"/>
  <c r="C208" i="1" s="1"/>
  <c r="C202" i="1"/>
  <c r="C203" i="1" s="1"/>
  <c r="C204" i="1" s="1"/>
  <c r="C184" i="1"/>
  <c r="C185" i="1" s="1"/>
  <c r="C186" i="1" s="1"/>
  <c r="C56" i="1"/>
  <c r="C99" i="1" s="1"/>
  <c r="C100" i="1" s="1"/>
  <c r="C181" i="1" s="1"/>
  <c r="C188" i="1"/>
  <c r="C195" i="1"/>
  <c r="C196" i="1" s="1"/>
  <c r="C189" i="1"/>
  <c r="C190" i="1" s="1"/>
  <c r="F18" i="1"/>
  <c r="F13" i="1"/>
  <c r="C22" i="1"/>
  <c r="C81" i="1"/>
  <c r="C95" i="1"/>
  <c r="F17" i="1"/>
  <c r="E121" i="1"/>
  <c r="E120" i="1"/>
  <c r="C199" i="1"/>
  <c r="F14" i="1"/>
  <c r="C101" i="1"/>
  <c r="E104" i="1"/>
  <c r="C4" i="3"/>
  <c r="C216" i="1"/>
  <c r="C131" i="1"/>
  <c r="C80" i="1"/>
  <c r="C129" i="1"/>
  <c r="E3" i="6" s="1"/>
  <c r="I3" i="6"/>
  <c r="J3" i="6"/>
  <c r="E2" i="6"/>
  <c r="I2" i="6"/>
  <c r="J2" i="6"/>
  <c r="R2" i="6"/>
  <c r="C130" i="1"/>
  <c r="C135" i="1"/>
  <c r="A2" i="6"/>
  <c r="A3" i="6"/>
  <c r="A4" i="6"/>
  <c r="B4" i="6" s="1"/>
  <c r="C7" i="3"/>
  <c r="C217" i="1"/>
  <c r="C212" i="1"/>
  <c r="C213" i="1" s="1"/>
  <c r="C175" i="1"/>
  <c r="C178" i="1" s="1"/>
  <c r="C147" i="1"/>
  <c r="C149" i="1" s="1"/>
  <c r="C148" i="1" s="1"/>
  <c r="L6" i="3"/>
  <c r="K3" i="3" s="1"/>
  <c r="L19" i="3"/>
  <c r="C5" i="3"/>
  <c r="C8" i="3"/>
  <c r="C126" i="1"/>
  <c r="C127" i="1" s="1"/>
  <c r="C122" i="1"/>
  <c r="C123" i="1" s="1"/>
  <c r="C118" i="1"/>
  <c r="C6" i="3"/>
  <c r="C73" i="1"/>
  <c r="C75" i="1" s="1"/>
  <c r="C133" i="1"/>
  <c r="A5" i="6"/>
  <c r="C142" i="1"/>
  <c r="J4" i="6"/>
  <c r="E4" i="6"/>
  <c r="I4" i="6"/>
  <c r="C228" i="1" l="1"/>
  <c r="C230" i="1" s="1"/>
  <c r="C231" i="1" s="1"/>
  <c r="C35" i="1"/>
  <c r="C30" i="1"/>
  <c r="C32" i="1" s="1"/>
  <c r="C34" i="1" s="1"/>
  <c r="K3" i="6"/>
  <c r="C150" i="1"/>
  <c r="K4" i="6"/>
  <c r="K2" i="6"/>
  <c r="C76" i="1"/>
  <c r="C82" i="1" s="1"/>
  <c r="C67" i="1"/>
  <c r="C70" i="1" s="1"/>
  <c r="C220" i="1"/>
  <c r="C29" i="1"/>
  <c r="E44" i="1" s="1"/>
  <c r="D2" i="6"/>
  <c r="F2" i="6" s="1"/>
  <c r="C96" i="6"/>
  <c r="C56" i="6"/>
  <c r="C93" i="6"/>
  <c r="C89" i="6"/>
  <c r="C70" i="6"/>
  <c r="C100" i="6"/>
  <c r="C55" i="6"/>
  <c r="C72" i="6"/>
  <c r="C20" i="6"/>
  <c r="C4" i="6"/>
  <c r="C80" i="6"/>
  <c r="C57" i="6"/>
  <c r="C32" i="6"/>
  <c r="C65" i="6"/>
  <c r="C87" i="6"/>
  <c r="C46" i="6"/>
  <c r="C42" i="6"/>
  <c r="C37" i="6"/>
  <c r="C21" i="6"/>
  <c r="C71" i="6"/>
  <c r="C7" i="6"/>
  <c r="C91" i="6"/>
  <c r="C51" i="6"/>
  <c r="C49" i="6"/>
  <c r="C27" i="6"/>
  <c r="C83" i="6"/>
  <c r="C50" i="6"/>
  <c r="C6" i="6"/>
  <c r="C40" i="6"/>
  <c r="C22" i="6"/>
  <c r="C26" i="6"/>
  <c r="C86" i="6"/>
  <c r="C76" i="6"/>
  <c r="C134" i="1"/>
  <c r="C136" i="1" s="1"/>
  <c r="C74" i="6"/>
  <c r="C9" i="6"/>
  <c r="C18" i="6"/>
  <c r="C29" i="6"/>
  <c r="C16" i="6"/>
  <c r="C5" i="6"/>
  <c r="C52" i="6"/>
  <c r="C98" i="6"/>
  <c r="C38" i="6"/>
  <c r="C45" i="6"/>
  <c r="C48" i="6"/>
  <c r="C35" i="6"/>
  <c r="C31" i="6"/>
  <c r="C81" i="6"/>
  <c r="C19" i="6"/>
  <c r="C15" i="6"/>
  <c r="C25" i="6"/>
  <c r="C53" i="6"/>
  <c r="C54" i="6"/>
  <c r="C77" i="6"/>
  <c r="C75" i="6"/>
  <c r="C11" i="6"/>
  <c r="C36" i="6"/>
  <c r="C132" i="1"/>
  <c r="C92" i="6"/>
  <c r="C99" i="6"/>
  <c r="C24" i="6"/>
  <c r="C60" i="6"/>
  <c r="C79" i="6"/>
  <c r="C88" i="6"/>
  <c r="C30" i="6"/>
  <c r="C33" i="6"/>
  <c r="C41" i="6"/>
  <c r="C14" i="6"/>
  <c r="C68" i="6"/>
  <c r="C12" i="6"/>
  <c r="D3" i="6"/>
  <c r="F3" i="6" s="1"/>
  <c r="C64" i="6"/>
  <c r="C17" i="6"/>
  <c r="C82" i="6"/>
  <c r="C59" i="6"/>
  <c r="D4" i="6"/>
  <c r="F4" i="6" s="1"/>
  <c r="C78" i="6"/>
  <c r="C28" i="6"/>
  <c r="C97" i="6"/>
  <c r="C10" i="6"/>
  <c r="C3" i="6"/>
  <c r="C69" i="6"/>
  <c r="B5" i="6"/>
  <c r="A6" i="6"/>
  <c r="C177" i="1"/>
  <c r="C176" i="1" s="1"/>
  <c r="C31" i="1"/>
  <c r="C66" i="1"/>
  <c r="E68" i="1" s="1"/>
  <c r="C222" i="1"/>
  <c r="C223" i="1" s="1"/>
  <c r="C224" i="1" s="1"/>
  <c r="C225" i="1" s="1"/>
  <c r="C102" i="1"/>
  <c r="C193" i="1"/>
  <c r="C144" i="1"/>
  <c r="C143" i="1" s="1"/>
  <c r="C145" i="1"/>
  <c r="C66" i="6"/>
  <c r="C73" i="6"/>
  <c r="C63" i="6"/>
  <c r="C44" i="6"/>
  <c r="C67" i="6"/>
  <c r="C95" i="6"/>
  <c r="C94" i="6"/>
  <c r="C23" i="6"/>
  <c r="C43" i="6"/>
  <c r="C85" i="6"/>
  <c r="C34" i="6"/>
  <c r="C84" i="6"/>
  <c r="C101" i="6"/>
  <c r="C39" i="6"/>
  <c r="C90" i="6"/>
  <c r="C13" i="6"/>
  <c r="C61" i="6"/>
  <c r="C2" i="6"/>
  <c r="C58" i="6"/>
  <c r="C62" i="6"/>
  <c r="C8" i="6"/>
  <c r="C47" i="6"/>
  <c r="C33" i="1" l="1"/>
  <c r="C36" i="1" s="1"/>
  <c r="C91" i="1" s="1"/>
  <c r="G2" i="6"/>
  <c r="H2" i="6" s="1"/>
  <c r="C137" i="1"/>
  <c r="C138" i="1" s="1"/>
  <c r="C139" i="1" s="1"/>
  <c r="C140" i="1" s="1"/>
  <c r="C37" i="1"/>
  <c r="C38" i="1" s="1"/>
  <c r="C117" i="1"/>
  <c r="C103" i="1"/>
  <c r="C104" i="1" s="1"/>
  <c r="I5" i="6"/>
  <c r="J5" i="6"/>
  <c r="E5" i="6"/>
  <c r="D5" i="6"/>
  <c r="G4" i="6"/>
  <c r="G3" i="6"/>
  <c r="B6" i="6"/>
  <c r="A7" i="6"/>
  <c r="C96" i="1" l="1"/>
  <c r="C39" i="1"/>
  <c r="C41" i="1" s="1"/>
  <c r="K5" i="6"/>
  <c r="L2" i="6"/>
  <c r="N2" i="6" s="1"/>
  <c r="O2" i="6" s="1"/>
  <c r="A8" i="6"/>
  <c r="B7" i="6"/>
  <c r="H4" i="6"/>
  <c r="L4" i="6"/>
  <c r="H3" i="6"/>
  <c r="L3" i="6"/>
  <c r="E6" i="6"/>
  <c r="D6" i="6"/>
  <c r="F6" i="6" s="1"/>
  <c r="G6" i="6" s="1"/>
  <c r="I6" i="6"/>
  <c r="J6" i="6"/>
  <c r="C40" i="1"/>
  <c r="C42" i="1" s="1"/>
  <c r="C60" i="1"/>
  <c r="E60" i="1" s="1"/>
  <c r="F5" i="6"/>
  <c r="G5" i="6" s="1"/>
  <c r="K6" i="6" l="1"/>
  <c r="L6" i="6" s="1"/>
  <c r="M2" i="6"/>
  <c r="C43" i="1"/>
  <c r="C63" i="1" s="1"/>
  <c r="M3" i="6"/>
  <c r="N3" i="6"/>
  <c r="O3" i="6" s="1"/>
  <c r="M4" i="6"/>
  <c r="N4" i="6"/>
  <c r="O4" i="6" s="1"/>
  <c r="H6" i="6"/>
  <c r="J7" i="6"/>
  <c r="I7" i="6"/>
  <c r="E7" i="6"/>
  <c r="D7" i="6"/>
  <c r="F7" i="6" s="1"/>
  <c r="G7" i="6" s="1"/>
  <c r="C116" i="1"/>
  <c r="C105" i="1"/>
  <c r="C108" i="1" s="1"/>
  <c r="L5" i="6"/>
  <c r="H5" i="6"/>
  <c r="A9" i="6"/>
  <c r="B8" i="6"/>
  <c r="C48" i="1" l="1"/>
  <c r="C49" i="1" s="1"/>
  <c r="E49" i="1" s="1"/>
  <c r="C57" i="1"/>
  <c r="N6" i="6"/>
  <c r="O6" i="6" s="1"/>
  <c r="M6" i="6"/>
  <c r="H7" i="6"/>
  <c r="K7" i="6"/>
  <c r="L7" i="6" s="1"/>
  <c r="M5" i="6"/>
  <c r="N5" i="6"/>
  <c r="O5" i="6" s="1"/>
  <c r="E8" i="6"/>
  <c r="J8" i="6"/>
  <c r="I8" i="6"/>
  <c r="K8" i="6" s="1"/>
  <c r="D8" i="6"/>
  <c r="F8" i="6" s="1"/>
  <c r="G8" i="6" s="1"/>
  <c r="A10" i="6"/>
  <c r="B9" i="6"/>
  <c r="C58" i="1" l="1"/>
  <c r="C64" i="1" s="1"/>
  <c r="E9" i="6"/>
  <c r="D9" i="6"/>
  <c r="F9" i="6" s="1"/>
  <c r="G9" i="6" s="1"/>
  <c r="I9" i="6"/>
  <c r="J9" i="6"/>
  <c r="L8" i="6"/>
  <c r="H8" i="6"/>
  <c r="B10" i="6"/>
  <c r="A11" i="6"/>
  <c r="M7" i="6"/>
  <c r="N7" i="6"/>
  <c r="O7" i="6" s="1"/>
  <c r="K9" i="6" l="1"/>
  <c r="L9" i="6" s="1"/>
  <c r="E58" i="1"/>
  <c r="E10" i="6"/>
  <c r="J10" i="6"/>
  <c r="I10" i="6"/>
  <c r="K10" i="6" s="1"/>
  <c r="D10" i="6"/>
  <c r="F10" i="6" s="1"/>
  <c r="G10" i="6" s="1"/>
  <c r="C71" i="1"/>
  <c r="E64" i="1"/>
  <c r="M8" i="6"/>
  <c r="N8" i="6"/>
  <c r="O8" i="6" s="1"/>
  <c r="H9" i="6"/>
  <c r="A12" i="6"/>
  <c r="B11" i="6"/>
  <c r="M9" i="6" l="1"/>
  <c r="N9" i="6"/>
  <c r="O9" i="6" s="1"/>
  <c r="E71" i="1"/>
  <c r="C83" i="1"/>
  <c r="H10" i="6"/>
  <c r="L10" i="6"/>
  <c r="J11" i="6"/>
  <c r="E11" i="6"/>
  <c r="I11" i="6"/>
  <c r="D11" i="6"/>
  <c r="B12" i="6"/>
  <c r="A13" i="6"/>
  <c r="K11" i="6" l="1"/>
  <c r="M10" i="6"/>
  <c r="N10" i="6"/>
  <c r="O10" i="6" s="1"/>
  <c r="A14" i="6"/>
  <c r="B13" i="6"/>
  <c r="C97" i="1"/>
  <c r="E83" i="1"/>
  <c r="D12" i="6"/>
  <c r="F12" i="6" s="1"/>
  <c r="G12" i="6" s="1"/>
  <c r="J12" i="6"/>
  <c r="I12" i="6"/>
  <c r="E12" i="6"/>
  <c r="F11" i="6"/>
  <c r="G11" i="6" s="1"/>
  <c r="H12" i="6" l="1"/>
  <c r="C109" i="1"/>
  <c r="E109" i="1" s="1"/>
  <c r="E97" i="1"/>
  <c r="I13" i="6"/>
  <c r="J13" i="6"/>
  <c r="D13" i="6"/>
  <c r="E13" i="6"/>
  <c r="H11" i="6"/>
  <c r="L11" i="6"/>
  <c r="B14" i="6"/>
  <c r="A15" i="6"/>
  <c r="K12" i="6"/>
  <c r="L12" i="6" s="1"/>
  <c r="K13" i="6" l="1"/>
  <c r="N12" i="6"/>
  <c r="O12" i="6" s="1"/>
  <c r="M12" i="6"/>
  <c r="F13" i="6"/>
  <c r="G13" i="6" s="1"/>
  <c r="A16" i="6"/>
  <c r="B15" i="6"/>
  <c r="D14" i="6"/>
  <c r="F14" i="6" s="1"/>
  <c r="G14" i="6" s="1"/>
  <c r="J14" i="6"/>
  <c r="E14" i="6"/>
  <c r="I14" i="6"/>
  <c r="N11" i="6"/>
  <c r="O11" i="6" s="1"/>
  <c r="M11" i="6"/>
  <c r="K14" i="6" l="1"/>
  <c r="L14" i="6" s="1"/>
  <c r="E15" i="6"/>
  <c r="J15" i="6"/>
  <c r="I15" i="6"/>
  <c r="D15" i="6"/>
  <c r="F15" i="6" s="1"/>
  <c r="G15" i="6" s="1"/>
  <c r="H14" i="6"/>
  <c r="A17" i="6"/>
  <c r="B16" i="6"/>
  <c r="H13" i="6"/>
  <c r="L13" i="6"/>
  <c r="K15" i="6" l="1"/>
  <c r="L15" i="6" s="1"/>
  <c r="I16" i="6"/>
  <c r="E16" i="6"/>
  <c r="J16" i="6"/>
  <c r="D16" i="6"/>
  <c r="F16" i="6" s="1"/>
  <c r="G16" i="6" s="1"/>
  <c r="M13" i="6"/>
  <c r="N13" i="6"/>
  <c r="O13" i="6" s="1"/>
  <c r="A18" i="6"/>
  <c r="B17" i="6"/>
  <c r="H15" i="6"/>
  <c r="N14" i="6"/>
  <c r="O14" i="6" s="1"/>
  <c r="M14" i="6"/>
  <c r="K16" i="6" l="1"/>
  <c r="L16" i="6" s="1"/>
  <c r="J17" i="6"/>
  <c r="E17" i="6"/>
  <c r="I17" i="6"/>
  <c r="D17" i="6"/>
  <c r="F17" i="6" s="1"/>
  <c r="G17" i="6" s="1"/>
  <c r="N15" i="6"/>
  <c r="O15" i="6" s="1"/>
  <c r="M15" i="6"/>
  <c r="A19" i="6"/>
  <c r="B18" i="6"/>
  <c r="H16" i="6"/>
  <c r="K17" i="6" l="1"/>
  <c r="L17" i="6" s="1"/>
  <c r="N16" i="6"/>
  <c r="O16" i="6" s="1"/>
  <c r="M16" i="6"/>
  <c r="E18" i="6"/>
  <c r="I18" i="6"/>
  <c r="J18" i="6"/>
  <c r="D18" i="6"/>
  <c r="F18" i="6" s="1"/>
  <c r="G18" i="6" s="1"/>
  <c r="B19" i="6"/>
  <c r="A20" i="6"/>
  <c r="H17" i="6"/>
  <c r="K18" i="6" l="1"/>
  <c r="L18" i="6" s="1"/>
  <c r="H18" i="6"/>
  <c r="A21" i="6"/>
  <c r="B20" i="6"/>
  <c r="J19" i="6"/>
  <c r="E19" i="6"/>
  <c r="I19" i="6"/>
  <c r="K19" i="6" s="1"/>
  <c r="D19" i="6"/>
  <c r="F19" i="6" s="1"/>
  <c r="G19" i="6" s="1"/>
  <c r="N17" i="6"/>
  <c r="O17" i="6" s="1"/>
  <c r="M17" i="6"/>
  <c r="H19" i="6" l="1"/>
  <c r="L19" i="6"/>
  <c r="I20" i="6"/>
  <c r="D20" i="6"/>
  <c r="J20" i="6"/>
  <c r="E20" i="6"/>
  <c r="A22" i="6"/>
  <c r="B21" i="6"/>
  <c r="M18" i="6"/>
  <c r="N18" i="6"/>
  <c r="O18" i="6" s="1"/>
  <c r="K20" i="6" l="1"/>
  <c r="J21" i="6"/>
  <c r="D21" i="6"/>
  <c r="F21" i="6" s="1"/>
  <c r="G21" i="6" s="1"/>
  <c r="I21" i="6"/>
  <c r="E21" i="6"/>
  <c r="A23" i="6"/>
  <c r="B22" i="6"/>
  <c r="F20" i="6"/>
  <c r="G20" i="6" s="1"/>
  <c r="N19" i="6"/>
  <c r="O19" i="6" s="1"/>
  <c r="M19" i="6"/>
  <c r="K21" i="6" l="1"/>
  <c r="L21" i="6" s="1"/>
  <c r="L20" i="6"/>
  <c r="H20" i="6"/>
  <c r="E22" i="6"/>
  <c r="D22" i="6"/>
  <c r="F22" i="6" s="1"/>
  <c r="G22" i="6" s="1"/>
  <c r="I22" i="6"/>
  <c r="J22" i="6"/>
  <c r="A24" i="6"/>
  <c r="B23" i="6"/>
  <c r="H21" i="6"/>
  <c r="K22" i="6" l="1"/>
  <c r="L22" i="6" s="1"/>
  <c r="J23" i="6"/>
  <c r="I23" i="6"/>
  <c r="E23" i="6"/>
  <c r="D23" i="6"/>
  <c r="F23" i="6" s="1"/>
  <c r="G23" i="6" s="1"/>
  <c r="B24" i="6"/>
  <c r="A25" i="6"/>
  <c r="H22" i="6"/>
  <c r="N21" i="6"/>
  <c r="O21" i="6" s="1"/>
  <c r="M21" i="6"/>
  <c r="N20" i="6"/>
  <c r="O20" i="6" s="1"/>
  <c r="M20" i="6"/>
  <c r="K23" i="6" l="1"/>
  <c r="L23" i="6" s="1"/>
  <c r="B25" i="6"/>
  <c r="A26" i="6"/>
  <c r="N22" i="6"/>
  <c r="O22" i="6" s="1"/>
  <c r="M22" i="6"/>
  <c r="J24" i="6"/>
  <c r="I24" i="6"/>
  <c r="E24" i="6"/>
  <c r="D24" i="6"/>
  <c r="F24" i="6" s="1"/>
  <c r="G24" i="6" s="1"/>
  <c r="H23" i="6"/>
  <c r="K24" i="6" l="1"/>
  <c r="L24" i="6" s="1"/>
  <c r="H24" i="6"/>
  <c r="A27" i="6"/>
  <c r="B26" i="6"/>
  <c r="M23" i="6"/>
  <c r="N23" i="6"/>
  <c r="O23" i="6" s="1"/>
  <c r="E25" i="6"/>
  <c r="R25" i="6"/>
  <c r="D25" i="6"/>
  <c r="J25" i="6"/>
  <c r="I25" i="6"/>
  <c r="K25" i="6" l="1"/>
  <c r="D26" i="6"/>
  <c r="E26" i="6"/>
  <c r="I26" i="6"/>
  <c r="J26" i="6"/>
  <c r="A28" i="6"/>
  <c r="B27" i="6"/>
  <c r="F25" i="6"/>
  <c r="G25" i="6" s="1"/>
  <c r="M24" i="6"/>
  <c r="N24" i="6"/>
  <c r="O24" i="6" s="1"/>
  <c r="K26" i="6" l="1"/>
  <c r="L25" i="6"/>
  <c r="H25" i="6"/>
  <c r="E27" i="6"/>
  <c r="I27" i="6"/>
  <c r="J27" i="6"/>
  <c r="D27" i="6"/>
  <c r="F27" i="6" s="1"/>
  <c r="G27" i="6" s="1"/>
  <c r="A29" i="6"/>
  <c r="B28" i="6"/>
  <c r="F26" i="6"/>
  <c r="G26" i="6" s="1"/>
  <c r="K27" i="6" l="1"/>
  <c r="L27" i="6" s="1"/>
  <c r="E28" i="6"/>
  <c r="D28" i="6"/>
  <c r="F28" i="6" s="1"/>
  <c r="G28" i="6" s="1"/>
  <c r="J28" i="6"/>
  <c r="I28" i="6"/>
  <c r="H27" i="6"/>
  <c r="B29" i="6"/>
  <c r="A30" i="6"/>
  <c r="H26" i="6"/>
  <c r="L26" i="6"/>
  <c r="N25" i="6"/>
  <c r="O25" i="6" s="1"/>
  <c r="M25" i="6"/>
  <c r="K28" i="6" l="1"/>
  <c r="L28" i="6" s="1"/>
  <c r="N27" i="6"/>
  <c r="O27" i="6" s="1"/>
  <c r="M27" i="6"/>
  <c r="N26" i="6"/>
  <c r="O26" i="6" s="1"/>
  <c r="M26" i="6"/>
  <c r="B30" i="6"/>
  <c r="A31" i="6"/>
  <c r="H28" i="6"/>
  <c r="J29" i="6"/>
  <c r="I29" i="6"/>
  <c r="E29" i="6"/>
  <c r="D29" i="6"/>
  <c r="F29" i="6" s="1"/>
  <c r="G29" i="6" s="1"/>
  <c r="K29" i="6" l="1"/>
  <c r="L29" i="6" s="1"/>
  <c r="M28" i="6"/>
  <c r="N28" i="6"/>
  <c r="O28" i="6" s="1"/>
  <c r="H29" i="6"/>
  <c r="B31" i="6"/>
  <c r="A32" i="6"/>
  <c r="J30" i="6"/>
  <c r="I30" i="6"/>
  <c r="D30" i="6"/>
  <c r="E30" i="6"/>
  <c r="K30" i="6" l="1"/>
  <c r="N29" i="6"/>
  <c r="O29" i="6" s="1"/>
  <c r="M29" i="6"/>
  <c r="F30" i="6"/>
  <c r="G30" i="6" s="1"/>
  <c r="A33" i="6"/>
  <c r="B32" i="6"/>
  <c r="I31" i="6"/>
  <c r="E31" i="6"/>
  <c r="J31" i="6"/>
  <c r="D31" i="6"/>
  <c r="F31" i="6" s="1"/>
  <c r="G31" i="6" s="1"/>
  <c r="K31" i="6" l="1"/>
  <c r="L31" i="6" s="1"/>
  <c r="E32" i="6"/>
  <c r="I32" i="6"/>
  <c r="D32" i="6"/>
  <c r="F32" i="6" s="1"/>
  <c r="G32" i="6" s="1"/>
  <c r="J32" i="6"/>
  <c r="A34" i="6"/>
  <c r="B33" i="6"/>
  <c r="L30" i="6"/>
  <c r="H30" i="6"/>
  <c r="H31" i="6"/>
  <c r="K32" i="6" l="1"/>
  <c r="L32" i="6" s="1"/>
  <c r="D33" i="6"/>
  <c r="F33" i="6" s="1"/>
  <c r="G33" i="6" s="1"/>
  <c r="J33" i="6"/>
  <c r="I33" i="6"/>
  <c r="E33" i="6"/>
  <c r="B34" i="6"/>
  <c r="A35" i="6"/>
  <c r="M30" i="6"/>
  <c r="N30" i="6"/>
  <c r="O30" i="6" s="1"/>
  <c r="H32" i="6"/>
  <c r="M31" i="6"/>
  <c r="N31" i="6"/>
  <c r="O31" i="6" s="1"/>
  <c r="K33" i="6" l="1"/>
  <c r="L33" i="6" s="1"/>
  <c r="B35" i="6"/>
  <c r="A36" i="6"/>
  <c r="M32" i="6"/>
  <c r="N32" i="6"/>
  <c r="O32" i="6" s="1"/>
  <c r="I34" i="6"/>
  <c r="J34" i="6"/>
  <c r="D34" i="6"/>
  <c r="F34" i="6" s="1"/>
  <c r="G34" i="6" s="1"/>
  <c r="E34" i="6"/>
  <c r="H33" i="6"/>
  <c r="K34" i="6" l="1"/>
  <c r="L34" i="6" s="1"/>
  <c r="H34" i="6"/>
  <c r="A37" i="6"/>
  <c r="B36" i="6"/>
  <c r="N33" i="6"/>
  <c r="O33" i="6" s="1"/>
  <c r="M33" i="6"/>
  <c r="D35" i="6"/>
  <c r="F35" i="6" s="1"/>
  <c r="G35" i="6" s="1"/>
  <c r="E35" i="6"/>
  <c r="I35" i="6"/>
  <c r="J35" i="6"/>
  <c r="K35" i="6" l="1"/>
  <c r="L35" i="6" s="1"/>
  <c r="H35" i="6"/>
  <c r="I36" i="6"/>
  <c r="E36" i="6"/>
  <c r="J36" i="6"/>
  <c r="D36" i="6"/>
  <c r="F36" i="6" s="1"/>
  <c r="G36" i="6" s="1"/>
  <c r="A38" i="6"/>
  <c r="B37" i="6"/>
  <c r="M34" i="6"/>
  <c r="N34" i="6"/>
  <c r="O34" i="6" s="1"/>
  <c r="H36" i="6" l="1"/>
  <c r="D37" i="6"/>
  <c r="I37" i="6"/>
  <c r="J37" i="6"/>
  <c r="E37" i="6"/>
  <c r="A39" i="6"/>
  <c r="B38" i="6"/>
  <c r="K36" i="6"/>
  <c r="L36" i="6" s="1"/>
  <c r="N35" i="6"/>
  <c r="O35" i="6" s="1"/>
  <c r="M35" i="6"/>
  <c r="M36" i="6" l="1"/>
  <c r="N36" i="6"/>
  <c r="O36" i="6" s="1"/>
  <c r="I38" i="6"/>
  <c r="D38" i="6"/>
  <c r="F38" i="6" s="1"/>
  <c r="G38" i="6" s="1"/>
  <c r="E38" i="6"/>
  <c r="J38" i="6"/>
  <c r="A40" i="6"/>
  <c r="B39" i="6"/>
  <c r="K37" i="6"/>
  <c r="F37" i="6"/>
  <c r="G37" i="6" s="1"/>
  <c r="K38" i="6" l="1"/>
  <c r="L38" i="6" s="1"/>
  <c r="J39" i="6"/>
  <c r="I39" i="6"/>
  <c r="E39" i="6"/>
  <c r="D39" i="6"/>
  <c r="F39" i="6" s="1"/>
  <c r="G39" i="6" s="1"/>
  <c r="B40" i="6"/>
  <c r="A41" i="6"/>
  <c r="H38" i="6"/>
  <c r="H37" i="6"/>
  <c r="L37" i="6"/>
  <c r="K39" i="6" l="1"/>
  <c r="L39" i="6" s="1"/>
  <c r="M37" i="6"/>
  <c r="N37" i="6"/>
  <c r="O37" i="6" s="1"/>
  <c r="A42" i="6"/>
  <c r="B41" i="6"/>
  <c r="N38" i="6"/>
  <c r="O38" i="6" s="1"/>
  <c r="M38" i="6"/>
  <c r="H39" i="6"/>
  <c r="I40" i="6"/>
  <c r="E40" i="6"/>
  <c r="J40" i="6"/>
  <c r="D40" i="6"/>
  <c r="F40" i="6" s="1"/>
  <c r="G40" i="6" s="1"/>
  <c r="K40" i="6" l="1"/>
  <c r="L40" i="6" s="1"/>
  <c r="N39" i="6"/>
  <c r="O39" i="6" s="1"/>
  <c r="M39" i="6"/>
  <c r="H40" i="6"/>
  <c r="I41" i="6"/>
  <c r="E41" i="6"/>
  <c r="D41" i="6"/>
  <c r="F41" i="6" s="1"/>
  <c r="G41" i="6" s="1"/>
  <c r="J41" i="6"/>
  <c r="A43" i="6"/>
  <c r="B42" i="6"/>
  <c r="K41" i="6" l="1"/>
  <c r="L41" i="6" s="1"/>
  <c r="M40" i="6"/>
  <c r="N40" i="6"/>
  <c r="O40" i="6" s="1"/>
  <c r="H41" i="6"/>
  <c r="I42" i="6"/>
  <c r="J42" i="6"/>
  <c r="E42" i="6"/>
  <c r="D42" i="6"/>
  <c r="F42" i="6" s="1"/>
  <c r="G42" i="6" s="1"/>
  <c r="B43" i="6"/>
  <c r="A44" i="6"/>
  <c r="H42" i="6" l="1"/>
  <c r="N41" i="6"/>
  <c r="O41" i="6" s="1"/>
  <c r="M41" i="6"/>
  <c r="K42" i="6"/>
  <c r="L42" i="6" s="1"/>
  <c r="A45" i="6"/>
  <c r="B44" i="6"/>
  <c r="I43" i="6"/>
  <c r="E43" i="6"/>
  <c r="J43" i="6"/>
  <c r="D43" i="6"/>
  <c r="F43" i="6" s="1"/>
  <c r="G43" i="6" s="1"/>
  <c r="K43" i="6" l="1"/>
  <c r="L43" i="6" s="1"/>
  <c r="N42" i="6"/>
  <c r="O42" i="6" s="1"/>
  <c r="M42" i="6"/>
  <c r="I44" i="6"/>
  <c r="E44" i="6"/>
  <c r="J44" i="6"/>
  <c r="D44" i="6"/>
  <c r="F44" i="6" s="1"/>
  <c r="G44" i="6" s="1"/>
  <c r="H43" i="6"/>
  <c r="A46" i="6"/>
  <c r="B45" i="6"/>
  <c r="N43" i="6" l="1"/>
  <c r="O43" i="6" s="1"/>
  <c r="M43" i="6"/>
  <c r="K44" i="6"/>
  <c r="L44" i="6" s="1"/>
  <c r="H44" i="6"/>
  <c r="D45" i="6"/>
  <c r="F45" i="6" s="1"/>
  <c r="G45" i="6" s="1"/>
  <c r="J45" i="6"/>
  <c r="I45" i="6"/>
  <c r="K45" i="6" s="1"/>
  <c r="E45" i="6"/>
  <c r="R45" i="6"/>
  <c r="A47" i="6"/>
  <c r="B46" i="6"/>
  <c r="L45" i="6" l="1"/>
  <c r="H45" i="6"/>
  <c r="E46" i="6"/>
  <c r="I46" i="6"/>
  <c r="D46" i="6"/>
  <c r="J46" i="6"/>
  <c r="N44" i="6"/>
  <c r="O44" i="6" s="1"/>
  <c r="M44" i="6"/>
  <c r="A48" i="6"/>
  <c r="B47" i="6"/>
  <c r="K46" i="6" l="1"/>
  <c r="F46" i="6"/>
  <c r="G46" i="6" s="1"/>
  <c r="E47" i="6"/>
  <c r="J47" i="6"/>
  <c r="I47" i="6"/>
  <c r="K47" i="6" s="1"/>
  <c r="D47" i="6"/>
  <c r="F47" i="6" s="1"/>
  <c r="G47" i="6" s="1"/>
  <c r="A49" i="6"/>
  <c r="B48" i="6"/>
  <c r="N45" i="6"/>
  <c r="O45" i="6" s="1"/>
  <c r="M45" i="6"/>
  <c r="B49" i="6" l="1"/>
  <c r="A50" i="6"/>
  <c r="D48" i="6"/>
  <c r="F48" i="6" s="1"/>
  <c r="G48" i="6" s="1"/>
  <c r="J48" i="6"/>
  <c r="E48" i="6"/>
  <c r="I48" i="6"/>
  <c r="H47" i="6"/>
  <c r="L47" i="6"/>
  <c r="H46" i="6"/>
  <c r="L46" i="6"/>
  <c r="K48" i="6" l="1"/>
  <c r="L48" i="6" s="1"/>
  <c r="M47" i="6"/>
  <c r="N47" i="6"/>
  <c r="O47" i="6" s="1"/>
  <c r="H48" i="6"/>
  <c r="M46" i="6"/>
  <c r="N46" i="6"/>
  <c r="O46" i="6" s="1"/>
  <c r="B50" i="6"/>
  <c r="A51" i="6"/>
  <c r="J49" i="6"/>
  <c r="E49" i="6"/>
  <c r="I49" i="6"/>
  <c r="D49" i="6"/>
  <c r="F49" i="6" s="1"/>
  <c r="G49" i="6" s="1"/>
  <c r="K49" i="6" l="1"/>
  <c r="L49" i="6" s="1"/>
  <c r="B51" i="6"/>
  <c r="A52" i="6"/>
  <c r="E50" i="6"/>
  <c r="D50" i="6"/>
  <c r="F50" i="6" s="1"/>
  <c r="G50" i="6" s="1"/>
  <c r="I50" i="6"/>
  <c r="J50" i="6"/>
  <c r="M48" i="6"/>
  <c r="N48" i="6"/>
  <c r="O48" i="6" s="1"/>
  <c r="H49" i="6"/>
  <c r="H50" i="6" l="1"/>
  <c r="M49" i="6"/>
  <c r="N49" i="6"/>
  <c r="O49" i="6" s="1"/>
  <c r="B52" i="6"/>
  <c r="A53" i="6"/>
  <c r="K50" i="6"/>
  <c r="L50" i="6" s="1"/>
  <c r="J51" i="6"/>
  <c r="E51" i="6"/>
  <c r="D51" i="6"/>
  <c r="F51" i="6" s="1"/>
  <c r="G51" i="6" s="1"/>
  <c r="I51" i="6"/>
  <c r="K51" i="6" l="1"/>
  <c r="L51" i="6" s="1"/>
  <c r="N50" i="6"/>
  <c r="O50" i="6" s="1"/>
  <c r="M50" i="6"/>
  <c r="B53" i="6"/>
  <c r="A54" i="6"/>
  <c r="H51" i="6"/>
  <c r="J52" i="6"/>
  <c r="I52" i="6"/>
  <c r="D52" i="6"/>
  <c r="F52" i="6" s="1"/>
  <c r="G52" i="6" s="1"/>
  <c r="E52" i="6"/>
  <c r="K52" i="6" l="1"/>
  <c r="L52" i="6" s="1"/>
  <c r="A55" i="6"/>
  <c r="B54" i="6"/>
  <c r="M51" i="6"/>
  <c r="N51" i="6"/>
  <c r="O51" i="6" s="1"/>
  <c r="J53" i="6"/>
  <c r="I53" i="6"/>
  <c r="E53" i="6"/>
  <c r="D53" i="6"/>
  <c r="F53" i="6" s="1"/>
  <c r="G53" i="6" s="1"/>
  <c r="H52" i="6"/>
  <c r="K53" i="6" l="1"/>
  <c r="L53" i="6" s="1"/>
  <c r="H53" i="6"/>
  <c r="D54" i="6"/>
  <c r="F54" i="6" s="1"/>
  <c r="G54" i="6" s="1"/>
  <c r="E54" i="6"/>
  <c r="J54" i="6"/>
  <c r="I54" i="6"/>
  <c r="K54" i="6" s="1"/>
  <c r="M52" i="6"/>
  <c r="N52" i="6"/>
  <c r="O52" i="6" s="1"/>
  <c r="A56" i="6"/>
  <c r="B55" i="6"/>
  <c r="H54" i="6" l="1"/>
  <c r="L54" i="6"/>
  <c r="N53" i="6"/>
  <c r="O53" i="6" s="1"/>
  <c r="M53" i="6"/>
  <c r="I55" i="6"/>
  <c r="J55" i="6"/>
  <c r="E55" i="6"/>
  <c r="D55" i="6"/>
  <c r="F55" i="6" s="1"/>
  <c r="G55" i="6" s="1"/>
  <c r="A57" i="6"/>
  <c r="B56" i="6"/>
  <c r="K55" i="6" l="1"/>
  <c r="L55" i="6" s="1"/>
  <c r="H55" i="6"/>
  <c r="N54" i="6"/>
  <c r="O54" i="6" s="1"/>
  <c r="M54" i="6"/>
  <c r="E56" i="6"/>
  <c r="I56" i="6"/>
  <c r="D56" i="6"/>
  <c r="F56" i="6" s="1"/>
  <c r="G56" i="6" s="1"/>
  <c r="J56" i="6"/>
  <c r="A58" i="6"/>
  <c r="B57" i="6"/>
  <c r="K56" i="6" l="1"/>
  <c r="L56" i="6" s="1"/>
  <c r="H56" i="6"/>
  <c r="A59" i="6"/>
  <c r="B58" i="6"/>
  <c r="D57" i="6"/>
  <c r="F57" i="6" s="1"/>
  <c r="G57" i="6" s="1"/>
  <c r="E57" i="6"/>
  <c r="J57" i="6"/>
  <c r="I57" i="6"/>
  <c r="M55" i="6"/>
  <c r="N55" i="6"/>
  <c r="O55" i="6" s="1"/>
  <c r="K57" i="6" l="1"/>
  <c r="L57" i="6" s="1"/>
  <c r="J58" i="6"/>
  <c r="E58" i="6"/>
  <c r="D58" i="6"/>
  <c r="F58" i="6" s="1"/>
  <c r="G58" i="6" s="1"/>
  <c r="I58" i="6"/>
  <c r="H57" i="6"/>
  <c r="B59" i="6"/>
  <c r="A60" i="6"/>
  <c r="M56" i="6"/>
  <c r="N56" i="6"/>
  <c r="O56" i="6" s="1"/>
  <c r="K58" i="6" l="1"/>
  <c r="L58" i="6" s="1"/>
  <c r="N57" i="6"/>
  <c r="O57" i="6" s="1"/>
  <c r="M57" i="6"/>
  <c r="B60" i="6"/>
  <c r="A61" i="6"/>
  <c r="J59" i="6"/>
  <c r="I59" i="6"/>
  <c r="E59" i="6"/>
  <c r="D59" i="6"/>
  <c r="F59" i="6" s="1"/>
  <c r="G59" i="6" s="1"/>
  <c r="H58" i="6"/>
  <c r="K59" i="6" l="1"/>
  <c r="L59" i="6" s="1"/>
  <c r="H59" i="6"/>
  <c r="A62" i="6"/>
  <c r="B61" i="6"/>
  <c r="J60" i="6"/>
  <c r="D60" i="6"/>
  <c r="E60" i="6"/>
  <c r="I60" i="6"/>
  <c r="N58" i="6"/>
  <c r="O58" i="6" s="1"/>
  <c r="M58" i="6"/>
  <c r="K60" i="6" l="1"/>
  <c r="F60" i="6"/>
  <c r="G60" i="6" s="1"/>
  <c r="I61" i="6"/>
  <c r="E61" i="6"/>
  <c r="J61" i="6"/>
  <c r="D61" i="6"/>
  <c r="F61" i="6" s="1"/>
  <c r="G61" i="6" s="1"/>
  <c r="A63" i="6"/>
  <c r="B62" i="6"/>
  <c r="M59" i="6"/>
  <c r="N59" i="6"/>
  <c r="O59" i="6" s="1"/>
  <c r="K61" i="6" l="1"/>
  <c r="L61" i="6" s="1"/>
  <c r="A64" i="6"/>
  <c r="B63" i="6"/>
  <c r="E62" i="6"/>
  <c r="I62" i="6"/>
  <c r="J62" i="6"/>
  <c r="D62" i="6"/>
  <c r="F62" i="6" s="1"/>
  <c r="G62" i="6" s="1"/>
  <c r="H61" i="6"/>
  <c r="L60" i="6"/>
  <c r="H60" i="6"/>
  <c r="K62" i="6" l="1"/>
  <c r="L62" i="6" s="1"/>
  <c r="M61" i="6"/>
  <c r="N61" i="6"/>
  <c r="O61" i="6" s="1"/>
  <c r="E63" i="6"/>
  <c r="D63" i="6"/>
  <c r="F63" i="6" s="1"/>
  <c r="G63" i="6" s="1"/>
  <c r="I63" i="6"/>
  <c r="J63" i="6"/>
  <c r="H62" i="6"/>
  <c r="M60" i="6"/>
  <c r="N60" i="6"/>
  <c r="O60" i="6" s="1"/>
  <c r="A65" i="6"/>
  <c r="B64" i="6"/>
  <c r="K63" i="6" l="1"/>
  <c r="L63" i="6" s="1"/>
  <c r="M62" i="6"/>
  <c r="N62" i="6"/>
  <c r="O62" i="6" s="1"/>
  <c r="H63" i="6"/>
  <c r="J64" i="6"/>
  <c r="I64" i="6"/>
  <c r="E64" i="6"/>
  <c r="D64" i="6"/>
  <c r="F64" i="6" s="1"/>
  <c r="G64" i="6" s="1"/>
  <c r="A66" i="6"/>
  <c r="B65" i="6"/>
  <c r="K64" i="6" l="1"/>
  <c r="L64" i="6" s="1"/>
  <c r="H64" i="6"/>
  <c r="M63" i="6"/>
  <c r="N63" i="6"/>
  <c r="O63" i="6" s="1"/>
  <c r="J65" i="6"/>
  <c r="I65" i="6"/>
  <c r="D65" i="6"/>
  <c r="F65" i="6" s="1"/>
  <c r="G65" i="6" s="1"/>
  <c r="E65" i="6"/>
  <c r="A67" i="6"/>
  <c r="B66" i="6"/>
  <c r="K65" i="6" l="1"/>
  <c r="L65" i="6" s="1"/>
  <c r="H65" i="6"/>
  <c r="E66" i="6"/>
  <c r="J66" i="6"/>
  <c r="D66" i="6"/>
  <c r="F66" i="6" s="1"/>
  <c r="G66" i="6" s="1"/>
  <c r="I66" i="6"/>
  <c r="K66" i="6" s="1"/>
  <c r="B67" i="6"/>
  <c r="A68" i="6"/>
  <c r="N64" i="6"/>
  <c r="O64" i="6" s="1"/>
  <c r="M64" i="6"/>
  <c r="B68" i="6" l="1"/>
  <c r="A69" i="6"/>
  <c r="E67" i="6"/>
  <c r="J67" i="6"/>
  <c r="I67" i="6"/>
  <c r="D67" i="6"/>
  <c r="F67" i="6" s="1"/>
  <c r="G67" i="6" s="1"/>
  <c r="H66" i="6"/>
  <c r="L66" i="6"/>
  <c r="M65" i="6"/>
  <c r="N65" i="6"/>
  <c r="O65" i="6" s="1"/>
  <c r="K67" i="6" l="1"/>
  <c r="L67" i="6" s="1"/>
  <c r="N66" i="6"/>
  <c r="O66" i="6" s="1"/>
  <c r="M66" i="6"/>
  <c r="H67" i="6"/>
  <c r="B69" i="6"/>
  <c r="A70" i="6"/>
  <c r="E68" i="6"/>
  <c r="D68" i="6"/>
  <c r="F68" i="6" s="1"/>
  <c r="G68" i="6" s="1"/>
  <c r="I68" i="6"/>
  <c r="J68" i="6"/>
  <c r="K68" i="6" l="1"/>
  <c r="L68" i="6" s="1"/>
  <c r="H68" i="6"/>
  <c r="I69" i="6"/>
  <c r="E69" i="6"/>
  <c r="J69" i="6"/>
  <c r="D69" i="6"/>
  <c r="F69" i="6" s="1"/>
  <c r="G69" i="6" s="1"/>
  <c r="A71" i="6"/>
  <c r="B70" i="6"/>
  <c r="M67" i="6"/>
  <c r="N67" i="6"/>
  <c r="O67" i="6" s="1"/>
  <c r="D70" i="6" l="1"/>
  <c r="F70" i="6" s="1"/>
  <c r="G70" i="6" s="1"/>
  <c r="E70" i="6"/>
  <c r="J70" i="6"/>
  <c r="I70" i="6"/>
  <c r="A72" i="6"/>
  <c r="B71" i="6"/>
  <c r="K69" i="6"/>
  <c r="L69" i="6" s="1"/>
  <c r="H69" i="6"/>
  <c r="M68" i="6"/>
  <c r="N68" i="6"/>
  <c r="O68" i="6" s="1"/>
  <c r="K70" i="6" l="1"/>
  <c r="L70" i="6" s="1"/>
  <c r="M69" i="6"/>
  <c r="N69" i="6"/>
  <c r="O69" i="6" s="1"/>
  <c r="J71" i="6"/>
  <c r="I71" i="6"/>
  <c r="E71" i="6"/>
  <c r="D71" i="6"/>
  <c r="F71" i="6" s="1"/>
  <c r="G71" i="6" s="1"/>
  <c r="A73" i="6"/>
  <c r="B72" i="6"/>
  <c r="H70" i="6"/>
  <c r="K71" i="6" l="1"/>
  <c r="L71" i="6" s="1"/>
  <c r="J72" i="6"/>
  <c r="I72" i="6"/>
  <c r="K72" i="6" s="1"/>
  <c r="D72" i="6"/>
  <c r="F72" i="6" s="1"/>
  <c r="G72" i="6" s="1"/>
  <c r="E72" i="6"/>
  <c r="A74" i="6"/>
  <c r="B73" i="6"/>
  <c r="H71" i="6"/>
  <c r="M70" i="6"/>
  <c r="N70" i="6"/>
  <c r="O70" i="6" s="1"/>
  <c r="N71" i="6" l="1"/>
  <c r="O71" i="6" s="1"/>
  <c r="M71" i="6"/>
  <c r="I73" i="6"/>
  <c r="E73" i="6"/>
  <c r="J73" i="6"/>
  <c r="D73" i="6"/>
  <c r="F73" i="6" s="1"/>
  <c r="G73" i="6" s="1"/>
  <c r="A75" i="6"/>
  <c r="B74" i="6"/>
  <c r="L72" i="6"/>
  <c r="H72" i="6"/>
  <c r="K73" i="6" l="1"/>
  <c r="L73" i="6" s="1"/>
  <c r="E74" i="6"/>
  <c r="D74" i="6"/>
  <c r="F74" i="6" s="1"/>
  <c r="G74" i="6" s="1"/>
  <c r="J74" i="6"/>
  <c r="I74" i="6"/>
  <c r="A76" i="6"/>
  <c r="B75" i="6"/>
  <c r="H73" i="6"/>
  <c r="M72" i="6"/>
  <c r="N72" i="6"/>
  <c r="O72" i="6" s="1"/>
  <c r="K74" i="6" l="1"/>
  <c r="L74" i="6" s="1"/>
  <c r="N73" i="6"/>
  <c r="O73" i="6" s="1"/>
  <c r="M73" i="6"/>
  <c r="E75" i="6"/>
  <c r="J75" i="6"/>
  <c r="I75" i="6"/>
  <c r="K75" i="6" s="1"/>
  <c r="D75" i="6"/>
  <c r="F75" i="6" s="1"/>
  <c r="G75" i="6" s="1"/>
  <c r="A77" i="6"/>
  <c r="B76" i="6"/>
  <c r="H74" i="6"/>
  <c r="D76" i="6" l="1"/>
  <c r="F76" i="6" s="1"/>
  <c r="G76" i="6" s="1"/>
  <c r="E76" i="6"/>
  <c r="I76" i="6"/>
  <c r="J76" i="6"/>
  <c r="A78" i="6"/>
  <c r="B77" i="6"/>
  <c r="M74" i="6"/>
  <c r="N74" i="6"/>
  <c r="O74" i="6" s="1"/>
  <c r="H75" i="6"/>
  <c r="L75" i="6"/>
  <c r="K76" i="6" l="1"/>
  <c r="L76" i="6" s="1"/>
  <c r="D77" i="6"/>
  <c r="F77" i="6" s="1"/>
  <c r="G77" i="6" s="1"/>
  <c r="J77" i="6"/>
  <c r="E77" i="6"/>
  <c r="I77" i="6"/>
  <c r="B78" i="6"/>
  <c r="A79" i="6"/>
  <c r="M75" i="6"/>
  <c r="N75" i="6"/>
  <c r="O75" i="6" s="1"/>
  <c r="H76" i="6"/>
  <c r="K77" i="6" l="1"/>
  <c r="L77" i="6" s="1"/>
  <c r="M76" i="6"/>
  <c r="N76" i="6"/>
  <c r="O76" i="6" s="1"/>
  <c r="B79" i="6"/>
  <c r="A80" i="6"/>
  <c r="I78" i="6"/>
  <c r="E78" i="6"/>
  <c r="D78" i="6"/>
  <c r="F78" i="6" s="1"/>
  <c r="G78" i="6" s="1"/>
  <c r="J78" i="6"/>
  <c r="H77" i="6"/>
  <c r="K78" i="6" l="1"/>
  <c r="L78" i="6" s="1"/>
  <c r="H78" i="6"/>
  <c r="A81" i="6"/>
  <c r="B80" i="6"/>
  <c r="E79" i="6"/>
  <c r="D79" i="6"/>
  <c r="F79" i="6" s="1"/>
  <c r="G79" i="6" s="1"/>
  <c r="J79" i="6"/>
  <c r="I79" i="6"/>
  <c r="K79" i="6" s="1"/>
  <c r="M77" i="6"/>
  <c r="N77" i="6"/>
  <c r="O77" i="6" s="1"/>
  <c r="L79" i="6" l="1"/>
  <c r="H79" i="6"/>
  <c r="D80" i="6"/>
  <c r="F80" i="6" s="1"/>
  <c r="G80" i="6" s="1"/>
  <c r="J80" i="6"/>
  <c r="I80" i="6"/>
  <c r="K80" i="6" s="1"/>
  <c r="E80" i="6"/>
  <c r="B81" i="6"/>
  <c r="A82" i="6"/>
  <c r="M78" i="6"/>
  <c r="N78" i="6"/>
  <c r="O78" i="6" s="1"/>
  <c r="A83" i="6" l="1"/>
  <c r="B82" i="6"/>
  <c r="D81" i="6"/>
  <c r="F81" i="6" s="1"/>
  <c r="G81" i="6" s="1"/>
  <c r="J81" i="6"/>
  <c r="I81" i="6"/>
  <c r="E81" i="6"/>
  <c r="L80" i="6"/>
  <c r="H80" i="6"/>
  <c r="M79" i="6"/>
  <c r="N79" i="6"/>
  <c r="O79" i="6" s="1"/>
  <c r="K81" i="6" l="1"/>
  <c r="L81" i="6" s="1"/>
  <c r="H81" i="6"/>
  <c r="N80" i="6"/>
  <c r="O80" i="6" s="1"/>
  <c r="M80" i="6"/>
  <c r="E82" i="6"/>
  <c r="J82" i="6"/>
  <c r="I82" i="6"/>
  <c r="D82" i="6"/>
  <c r="F82" i="6" s="1"/>
  <c r="G82" i="6" s="1"/>
  <c r="B83" i="6"/>
  <c r="A84" i="6"/>
  <c r="K82" i="6" l="1"/>
  <c r="L82" i="6" s="1"/>
  <c r="H82" i="6"/>
  <c r="A85" i="6"/>
  <c r="B84" i="6"/>
  <c r="D83" i="6"/>
  <c r="F83" i="6" s="1"/>
  <c r="G83" i="6" s="1"/>
  <c r="E83" i="6"/>
  <c r="I83" i="6"/>
  <c r="J83" i="6"/>
  <c r="M81" i="6"/>
  <c r="N81" i="6"/>
  <c r="O81" i="6" s="1"/>
  <c r="K83" i="6" l="1"/>
  <c r="L83" i="6" s="1"/>
  <c r="H83" i="6"/>
  <c r="J84" i="6"/>
  <c r="E84" i="6"/>
  <c r="D84" i="6"/>
  <c r="F84" i="6" s="1"/>
  <c r="G84" i="6" s="1"/>
  <c r="I84" i="6"/>
  <c r="K84" i="6" s="1"/>
  <c r="R84" i="6"/>
  <c r="B85" i="6"/>
  <c r="A86" i="6"/>
  <c r="M82" i="6"/>
  <c r="N82" i="6"/>
  <c r="O82" i="6" s="1"/>
  <c r="I85" i="6" l="1"/>
  <c r="E85" i="6"/>
  <c r="J85" i="6"/>
  <c r="D85" i="6"/>
  <c r="F85" i="6" s="1"/>
  <c r="G85" i="6" s="1"/>
  <c r="L84" i="6"/>
  <c r="H84" i="6"/>
  <c r="B86" i="6"/>
  <c r="A87" i="6"/>
  <c r="N83" i="6"/>
  <c r="O83" i="6" s="1"/>
  <c r="M83" i="6"/>
  <c r="K85" i="6" l="1"/>
  <c r="L85" i="6" s="1"/>
  <c r="A88" i="6"/>
  <c r="B87" i="6"/>
  <c r="I86" i="6"/>
  <c r="E86" i="6"/>
  <c r="D86" i="6"/>
  <c r="F86" i="6" s="1"/>
  <c r="G86" i="6" s="1"/>
  <c r="J86" i="6"/>
  <c r="N84" i="6"/>
  <c r="O84" i="6" s="1"/>
  <c r="M84" i="6"/>
  <c r="H85" i="6"/>
  <c r="K86" i="6" l="1"/>
  <c r="L86" i="6" s="1"/>
  <c r="N85" i="6"/>
  <c r="O85" i="6" s="1"/>
  <c r="M85" i="6"/>
  <c r="E87" i="6"/>
  <c r="J87" i="6"/>
  <c r="D87" i="6"/>
  <c r="F87" i="6" s="1"/>
  <c r="G87" i="6" s="1"/>
  <c r="I87" i="6"/>
  <c r="H86" i="6"/>
  <c r="B88" i="6"/>
  <c r="A89" i="6"/>
  <c r="K87" i="6" l="1"/>
  <c r="L87" i="6" s="1"/>
  <c r="M86" i="6"/>
  <c r="N86" i="6"/>
  <c r="O86" i="6" s="1"/>
  <c r="A90" i="6"/>
  <c r="B89" i="6"/>
  <c r="H87" i="6"/>
  <c r="E88" i="6"/>
  <c r="J88" i="6"/>
  <c r="I88" i="6"/>
  <c r="D88" i="6"/>
  <c r="F88" i="6" s="1"/>
  <c r="G88" i="6" s="1"/>
  <c r="M87" i="6" l="1"/>
  <c r="N87" i="6"/>
  <c r="O87" i="6" s="1"/>
  <c r="E89" i="6"/>
  <c r="D89" i="6"/>
  <c r="F89" i="6" s="1"/>
  <c r="G89" i="6" s="1"/>
  <c r="J89" i="6"/>
  <c r="I89" i="6"/>
  <c r="K89" i="6" s="1"/>
  <c r="A91" i="6"/>
  <c r="B90" i="6"/>
  <c r="H88" i="6"/>
  <c r="K88" i="6"/>
  <c r="L88" i="6" s="1"/>
  <c r="M88" i="6" l="1"/>
  <c r="N88" i="6"/>
  <c r="O88" i="6" s="1"/>
  <c r="E90" i="6"/>
  <c r="J90" i="6"/>
  <c r="D90" i="6"/>
  <c r="F90" i="6" s="1"/>
  <c r="G90" i="6" s="1"/>
  <c r="I90" i="6"/>
  <c r="A92" i="6"/>
  <c r="B91" i="6"/>
  <c r="L89" i="6"/>
  <c r="H89" i="6"/>
  <c r="K90" i="6" l="1"/>
  <c r="L90" i="6" s="1"/>
  <c r="D91" i="6"/>
  <c r="I91" i="6"/>
  <c r="J91" i="6"/>
  <c r="E91" i="6"/>
  <c r="B92" i="6"/>
  <c r="A93" i="6"/>
  <c r="H90" i="6"/>
  <c r="M89" i="6"/>
  <c r="N89" i="6"/>
  <c r="O89" i="6" s="1"/>
  <c r="M90" i="6" l="1"/>
  <c r="N90" i="6"/>
  <c r="O90" i="6" s="1"/>
  <c r="A94" i="6"/>
  <c r="B93" i="6"/>
  <c r="E92" i="6"/>
  <c r="D92" i="6"/>
  <c r="F92" i="6" s="1"/>
  <c r="G92" i="6" s="1"/>
  <c r="J92" i="6"/>
  <c r="I92" i="6"/>
  <c r="K92" i="6" s="1"/>
  <c r="K91" i="6"/>
  <c r="F91" i="6"/>
  <c r="G91" i="6" s="1"/>
  <c r="H92" i="6" l="1"/>
  <c r="L92" i="6"/>
  <c r="D93" i="6"/>
  <c r="F93" i="6" s="1"/>
  <c r="G93" i="6" s="1"/>
  <c r="E93" i="6"/>
  <c r="J93" i="6"/>
  <c r="I93" i="6"/>
  <c r="B94" i="6"/>
  <c r="A95" i="6"/>
  <c r="L91" i="6"/>
  <c r="H91" i="6"/>
  <c r="A96" i="6" l="1"/>
  <c r="B95" i="6"/>
  <c r="I94" i="6"/>
  <c r="E94" i="6"/>
  <c r="D94" i="6"/>
  <c r="F94" i="6" s="1"/>
  <c r="G94" i="6" s="1"/>
  <c r="J94" i="6"/>
  <c r="H93" i="6"/>
  <c r="M92" i="6"/>
  <c r="N92" i="6"/>
  <c r="O92" i="6" s="1"/>
  <c r="K93" i="6"/>
  <c r="L93" i="6" s="1"/>
  <c r="M91" i="6"/>
  <c r="N91" i="6"/>
  <c r="O91" i="6" s="1"/>
  <c r="M93" i="6" l="1"/>
  <c r="N93" i="6"/>
  <c r="O93" i="6" s="1"/>
  <c r="H94" i="6"/>
  <c r="K94" i="6"/>
  <c r="L94" i="6" s="1"/>
  <c r="I95" i="6"/>
  <c r="D95" i="6"/>
  <c r="F95" i="6" s="1"/>
  <c r="G95" i="6" s="1"/>
  <c r="E95" i="6"/>
  <c r="J95" i="6"/>
  <c r="B96" i="6"/>
  <c r="A97" i="6"/>
  <c r="K95" i="6" l="1"/>
  <c r="L95" i="6" s="1"/>
  <c r="N94" i="6"/>
  <c r="O94" i="6" s="1"/>
  <c r="M94" i="6"/>
  <c r="H95" i="6"/>
  <c r="B97" i="6"/>
  <c r="A98" i="6"/>
  <c r="D96" i="6"/>
  <c r="F96" i="6" s="1"/>
  <c r="G96" i="6" s="1"/>
  <c r="J96" i="6"/>
  <c r="I96" i="6"/>
  <c r="E96" i="6"/>
  <c r="H96" i="6" l="1"/>
  <c r="I97" i="6"/>
  <c r="E97" i="6"/>
  <c r="J97" i="6"/>
  <c r="D97" i="6"/>
  <c r="F97" i="6" s="1"/>
  <c r="G97" i="6" s="1"/>
  <c r="B98" i="6"/>
  <c r="A99" i="6"/>
  <c r="N95" i="6"/>
  <c r="O95" i="6" s="1"/>
  <c r="M95" i="6"/>
  <c r="K96" i="6"/>
  <c r="L96" i="6" s="1"/>
  <c r="K97" i="6" l="1"/>
  <c r="L97" i="6" s="1"/>
  <c r="M96" i="6"/>
  <c r="N96" i="6"/>
  <c r="O96" i="6" s="1"/>
  <c r="H97" i="6"/>
  <c r="A100" i="6"/>
  <c r="B99" i="6"/>
  <c r="E98" i="6"/>
  <c r="I98" i="6"/>
  <c r="D98" i="6"/>
  <c r="J98" i="6"/>
  <c r="K98" i="6" l="1"/>
  <c r="E99" i="6"/>
  <c r="J99" i="6"/>
  <c r="I99" i="6"/>
  <c r="D99" i="6"/>
  <c r="F99" i="6" s="1"/>
  <c r="G99" i="6" s="1"/>
  <c r="A101" i="6"/>
  <c r="B101" i="6" s="1"/>
  <c r="B100" i="6"/>
  <c r="N97" i="6"/>
  <c r="O97" i="6" s="1"/>
  <c r="M97" i="6"/>
  <c r="F98" i="6"/>
  <c r="G98" i="6" s="1"/>
  <c r="K99" i="6" l="1"/>
  <c r="L99" i="6" s="1"/>
  <c r="H98" i="6"/>
  <c r="L98" i="6"/>
  <c r="E100" i="6"/>
  <c r="D100" i="6"/>
  <c r="F100" i="6" s="1"/>
  <c r="G100" i="6" s="1"/>
  <c r="J100" i="6"/>
  <c r="I100" i="6"/>
  <c r="J101" i="6"/>
  <c r="R101" i="6"/>
  <c r="E101" i="6"/>
  <c r="I101" i="6"/>
  <c r="D101" i="6"/>
  <c r="F101" i="6" s="1"/>
  <c r="G101" i="6" s="1"/>
  <c r="H99" i="6"/>
  <c r="K100" i="6" l="1"/>
  <c r="L100" i="6" s="1"/>
  <c r="K101" i="6"/>
  <c r="L101" i="6" s="1"/>
  <c r="H100" i="6"/>
  <c r="H101" i="6"/>
  <c r="N98" i="6"/>
  <c r="O98" i="6" s="1"/>
  <c r="M98" i="6"/>
  <c r="M99" i="6"/>
  <c r="N99" i="6"/>
  <c r="O99" i="6" s="1"/>
  <c r="M100" i="6" l="1"/>
  <c r="N100" i="6"/>
  <c r="O100" i="6" s="1"/>
  <c r="M101" i="6"/>
  <c r="N101" i="6"/>
  <c r="O101" i="6" s="1"/>
</calcChain>
</file>

<file path=xl/sharedStrings.xml><?xml version="1.0" encoding="utf-8"?>
<sst xmlns="http://schemas.openxmlformats.org/spreadsheetml/2006/main" count="620" uniqueCount="342">
  <si>
    <t>This spreadsheet guides the User through the design process for a CONTINUOUS CONDUCTION MODE PFC BOOST converter using the UCC28019 controller.</t>
  </si>
  <si>
    <t>1. The Macros must be ENABLED.</t>
  </si>
  <si>
    <t>2. The Analysis ToolPak Add-In must be checked.</t>
  </si>
  <si>
    <t>• This feature can be found in the Tools Menu.</t>
  </si>
  <si>
    <t>• Select Add-Ins</t>
  </si>
  <si>
    <t>• Check the box next to Analysis ToolPak</t>
  </si>
  <si>
    <t>3. Enter the desired design parameters in the YELLOW shaded boxes</t>
  </si>
  <si>
    <t>5. Actual standard values must be entered for the spreadsheet to calculate the gain-phase plots.</t>
  </si>
  <si>
    <t>Design Specifications</t>
  </si>
  <si>
    <t>Description</t>
  </si>
  <si>
    <t xml:space="preserve">Minimum </t>
  </si>
  <si>
    <t>Maximum</t>
  </si>
  <si>
    <t xml:space="preserve">Typical </t>
  </si>
  <si>
    <t>Input Voltage</t>
  </si>
  <si>
    <t>Output Voltage</t>
  </si>
  <si>
    <t>Allowable Output Voltage
Transients (90% Load Step)</t>
  </si>
  <si>
    <t>Unit</t>
  </si>
  <si>
    <t>V</t>
  </si>
  <si>
    <t>W</t>
  </si>
  <si>
    <t xml:space="preserve"> </t>
  </si>
  <si>
    <t>kHz</t>
  </si>
  <si>
    <r>
      <t>Output Power (P</t>
    </r>
    <r>
      <rPr>
        <b/>
        <vertAlign val="subscript"/>
        <sz val="12"/>
        <rFont val="Arial"/>
        <family val="2"/>
      </rPr>
      <t>OUT</t>
    </r>
    <r>
      <rPr>
        <b/>
        <sz val="12"/>
        <rFont val="Arial"/>
        <family val="2"/>
      </rPr>
      <t>)</t>
    </r>
  </si>
  <si>
    <r>
      <t>Inductor (L</t>
    </r>
    <r>
      <rPr>
        <b/>
        <vertAlign val="subscript"/>
        <sz val="12"/>
        <rFont val="Arial"/>
        <family val="2"/>
      </rPr>
      <t>OUT</t>
    </r>
    <r>
      <rPr>
        <b/>
        <sz val="12"/>
        <rFont val="Arial"/>
        <family val="2"/>
      </rPr>
      <t>) Switching Frequency</t>
    </r>
  </si>
  <si>
    <t>Full Load Efficiency</t>
  </si>
  <si>
    <r>
      <t>P</t>
    </r>
    <r>
      <rPr>
        <b/>
        <vertAlign val="subscript"/>
        <sz val="12"/>
        <rFont val="Arial"/>
        <family val="2"/>
      </rPr>
      <t>BUDGET</t>
    </r>
  </si>
  <si>
    <r>
      <t>V</t>
    </r>
    <r>
      <rPr>
        <b/>
        <vertAlign val="subscript"/>
        <sz val="12"/>
        <rFont val="Arial"/>
        <family val="2"/>
      </rPr>
      <t>RDSON</t>
    </r>
  </si>
  <si>
    <t>a1</t>
  </si>
  <si>
    <t>Variable</t>
  </si>
  <si>
    <r>
      <t>T1 Transformer Turns Ratio=N</t>
    </r>
    <r>
      <rPr>
        <b/>
        <vertAlign val="subscript"/>
        <sz val="12"/>
        <rFont val="Arial"/>
        <family val="2"/>
      </rPr>
      <t>P</t>
    </r>
    <r>
      <rPr>
        <b/>
        <sz val="12"/>
        <rFont val="Arial"/>
        <family val="2"/>
      </rPr>
      <t>/N</t>
    </r>
    <r>
      <rPr>
        <b/>
        <vertAlign val="subscript"/>
        <sz val="12"/>
        <rFont val="Arial"/>
        <family val="2"/>
      </rPr>
      <t>S</t>
    </r>
  </si>
  <si>
    <t>Maximum Duty Cycle Nominal</t>
  </si>
  <si>
    <t>Typical Duty Cycle</t>
  </si>
  <si>
    <r>
      <t>D</t>
    </r>
    <r>
      <rPr>
        <b/>
        <vertAlign val="subscript"/>
        <sz val="12"/>
        <rFont val="Arial"/>
        <family val="2"/>
      </rPr>
      <t>MAX</t>
    </r>
  </si>
  <si>
    <r>
      <t>D</t>
    </r>
    <r>
      <rPr>
        <b/>
        <vertAlign val="subscript"/>
        <sz val="12"/>
        <rFont val="Arial"/>
        <family val="2"/>
      </rPr>
      <t>TYP</t>
    </r>
  </si>
  <si>
    <t>Inductor Ripple Current</t>
  </si>
  <si>
    <t>A</t>
  </si>
  <si>
    <r>
      <t>L</t>
    </r>
    <r>
      <rPr>
        <b/>
        <vertAlign val="subscript"/>
        <sz val="12"/>
        <rFont val="Arial"/>
        <family val="2"/>
      </rPr>
      <t>MAG</t>
    </r>
  </si>
  <si>
    <t>mH</t>
  </si>
  <si>
    <r>
      <t>I</t>
    </r>
    <r>
      <rPr>
        <b/>
        <vertAlign val="subscript"/>
        <sz val="12"/>
        <rFont val="Arial"/>
        <family val="2"/>
      </rPr>
      <t>PS</t>
    </r>
  </si>
  <si>
    <r>
      <t>I</t>
    </r>
    <r>
      <rPr>
        <b/>
        <vertAlign val="subscript"/>
        <sz val="12"/>
        <rFont val="Arial"/>
        <family val="2"/>
      </rPr>
      <t>MS</t>
    </r>
  </si>
  <si>
    <r>
      <t>I</t>
    </r>
    <r>
      <rPr>
        <b/>
        <vertAlign val="subscript"/>
        <sz val="12"/>
        <rFont val="Arial"/>
        <family val="2"/>
      </rPr>
      <t>SRMS1</t>
    </r>
  </si>
  <si>
    <r>
      <t>I</t>
    </r>
    <r>
      <rPr>
        <b/>
        <vertAlign val="subscript"/>
        <sz val="12"/>
        <rFont val="Arial"/>
        <family val="2"/>
      </rPr>
      <t>MS2</t>
    </r>
  </si>
  <si>
    <r>
      <t>I</t>
    </r>
    <r>
      <rPr>
        <b/>
        <vertAlign val="subscript"/>
        <sz val="12"/>
        <rFont val="Arial"/>
        <family val="2"/>
      </rPr>
      <t>SRMS2</t>
    </r>
  </si>
  <si>
    <r>
      <t>I</t>
    </r>
    <r>
      <rPr>
        <b/>
        <vertAlign val="subscript"/>
        <sz val="12"/>
        <rFont val="Arial"/>
        <family val="2"/>
      </rPr>
      <t>SRMS3</t>
    </r>
  </si>
  <si>
    <r>
      <t>I</t>
    </r>
    <r>
      <rPr>
        <b/>
        <vertAlign val="subscript"/>
        <sz val="12"/>
        <rFont val="Arial"/>
        <family val="2"/>
      </rPr>
      <t>SRMS</t>
    </r>
  </si>
  <si>
    <r>
      <t>dIL</t>
    </r>
    <r>
      <rPr>
        <b/>
        <vertAlign val="subscript"/>
        <sz val="12"/>
        <rFont val="Arial"/>
        <family val="2"/>
      </rPr>
      <t>MAG</t>
    </r>
  </si>
  <si>
    <r>
      <t>I</t>
    </r>
    <r>
      <rPr>
        <b/>
        <vertAlign val="subscript"/>
        <sz val="12"/>
        <rFont val="Arial"/>
        <family val="2"/>
      </rPr>
      <t>PP</t>
    </r>
  </si>
  <si>
    <r>
      <t>I</t>
    </r>
    <r>
      <rPr>
        <b/>
        <vertAlign val="subscript"/>
        <sz val="12"/>
        <rFont val="Arial"/>
        <family val="2"/>
      </rPr>
      <t>MP</t>
    </r>
  </si>
  <si>
    <r>
      <t>I</t>
    </r>
    <r>
      <rPr>
        <b/>
        <vertAlign val="subscript"/>
        <sz val="12"/>
        <rFont val="Arial"/>
        <family val="2"/>
      </rPr>
      <t>MP2</t>
    </r>
  </si>
  <si>
    <r>
      <t>I</t>
    </r>
    <r>
      <rPr>
        <b/>
        <vertAlign val="subscript"/>
        <sz val="12"/>
        <rFont val="Arial"/>
        <family val="2"/>
      </rPr>
      <t>PRMS1</t>
    </r>
  </si>
  <si>
    <r>
      <t>I</t>
    </r>
    <r>
      <rPr>
        <b/>
        <vertAlign val="subscript"/>
        <sz val="12"/>
        <rFont val="Arial"/>
        <family val="2"/>
      </rPr>
      <t>PRMS2</t>
    </r>
  </si>
  <si>
    <r>
      <t>DCR</t>
    </r>
    <r>
      <rPr>
        <b/>
        <vertAlign val="subscript"/>
        <sz val="12"/>
        <rFont val="Arial"/>
        <family val="2"/>
      </rPr>
      <t>P</t>
    </r>
  </si>
  <si>
    <r>
      <t>I</t>
    </r>
    <r>
      <rPr>
        <b/>
        <vertAlign val="subscript"/>
        <sz val="12"/>
        <rFont val="Arial"/>
        <family val="2"/>
      </rPr>
      <t>PRMS</t>
    </r>
  </si>
  <si>
    <r>
      <t>DCR</t>
    </r>
    <r>
      <rPr>
        <b/>
        <vertAlign val="subscript"/>
        <sz val="12"/>
        <rFont val="Arial"/>
        <family val="2"/>
      </rPr>
      <t>S</t>
    </r>
  </si>
  <si>
    <r>
      <t>P</t>
    </r>
    <r>
      <rPr>
        <b/>
        <vertAlign val="subscript"/>
        <sz val="12"/>
        <rFont val="Arial"/>
        <family val="2"/>
      </rPr>
      <t>T1</t>
    </r>
  </si>
  <si>
    <t>Transformer Primary DC Resistance</t>
  </si>
  <si>
    <t>Transformer Secondary DC Resistance</t>
  </si>
  <si>
    <t>Estimated transform loss, 2X Copper Losses</t>
  </si>
  <si>
    <t>Recalculate Power Budget</t>
  </si>
  <si>
    <t>QA, QB, QC, QD FET selection:</t>
  </si>
  <si>
    <r>
      <t>R</t>
    </r>
    <r>
      <rPr>
        <b/>
        <vertAlign val="subscript"/>
        <sz val="12"/>
        <rFont val="Arial"/>
        <family val="2"/>
      </rPr>
      <t>ds(on)QA</t>
    </r>
  </si>
  <si>
    <t>FET drain to source on resistance</t>
  </si>
  <si>
    <t>FET Specified Coss</t>
  </si>
  <si>
    <t>pF</t>
  </si>
  <si>
    <r>
      <t>C</t>
    </r>
    <r>
      <rPr>
        <b/>
        <vertAlign val="subscript"/>
        <sz val="12"/>
        <rFont val="Arial"/>
        <family val="2"/>
      </rPr>
      <t>OSS_QA_SPEC</t>
    </r>
  </si>
  <si>
    <r>
      <t>V</t>
    </r>
    <r>
      <rPr>
        <b/>
        <vertAlign val="subscript"/>
        <sz val="12"/>
        <rFont val="Arial"/>
        <family val="2"/>
      </rPr>
      <t>dsQA</t>
    </r>
  </si>
  <si>
    <r>
      <t>Calculate average C</t>
    </r>
    <r>
      <rPr>
        <b/>
        <vertAlign val="subscript"/>
        <sz val="12"/>
        <rFont val="Arial"/>
        <family val="2"/>
      </rPr>
      <t xml:space="preserve">OSS </t>
    </r>
  </si>
  <si>
    <r>
      <t>C</t>
    </r>
    <r>
      <rPr>
        <b/>
        <vertAlign val="subscript"/>
        <sz val="12"/>
        <rFont val="Arial"/>
        <family val="2"/>
      </rPr>
      <t>OSS_QA_AVG</t>
    </r>
  </si>
  <si>
    <r>
      <t>P</t>
    </r>
    <r>
      <rPr>
        <b/>
        <vertAlign val="subscript"/>
        <sz val="12"/>
        <rFont val="Arial"/>
        <family val="2"/>
      </rPr>
      <t>QA</t>
    </r>
  </si>
  <si>
    <t xml:space="preserve">Calculate QA losses </t>
  </si>
  <si>
    <r>
      <t>V</t>
    </r>
    <r>
      <rPr>
        <b/>
        <vertAlign val="subscript"/>
        <sz val="12"/>
        <rFont val="Arial"/>
        <family val="2"/>
      </rPr>
      <t>g</t>
    </r>
  </si>
  <si>
    <r>
      <t>QA</t>
    </r>
    <r>
      <rPr>
        <b/>
        <vertAlign val="subscript"/>
        <sz val="12"/>
        <rFont val="Arial"/>
        <family val="2"/>
      </rPr>
      <t>g</t>
    </r>
  </si>
  <si>
    <t>nC</t>
  </si>
  <si>
    <t>Primary Magnetizing Inductance</t>
  </si>
  <si>
    <r>
      <t>L</t>
    </r>
    <r>
      <rPr>
        <b/>
        <vertAlign val="subscript"/>
        <sz val="12"/>
        <rFont val="Arial"/>
        <family val="2"/>
      </rPr>
      <t>S</t>
    </r>
  </si>
  <si>
    <t>uH</t>
  </si>
  <si>
    <r>
      <t>DCR</t>
    </r>
    <r>
      <rPr>
        <b/>
        <vertAlign val="subscript"/>
        <sz val="12"/>
        <rFont val="Arial"/>
        <family val="2"/>
      </rPr>
      <t>LS</t>
    </r>
  </si>
  <si>
    <r>
      <t>L</t>
    </r>
    <r>
      <rPr>
        <b/>
        <vertAlign val="subscript"/>
        <sz val="12"/>
        <rFont val="Arial"/>
        <family val="2"/>
      </rPr>
      <t>S</t>
    </r>
    <r>
      <rPr>
        <b/>
        <sz val="12"/>
        <rFont val="Arial"/>
        <family val="2"/>
      </rPr>
      <t xml:space="preserve"> DC Resistance</t>
    </r>
  </si>
  <si>
    <r>
      <t>Estimate L</t>
    </r>
    <r>
      <rPr>
        <b/>
        <vertAlign val="subscript"/>
        <sz val="12"/>
        <rFont val="Arial"/>
        <family val="2"/>
      </rPr>
      <t xml:space="preserve">S </t>
    </r>
    <r>
      <rPr>
        <b/>
        <sz val="12"/>
        <rFont val="Arial"/>
        <family val="2"/>
      </rPr>
      <t>power loss (P</t>
    </r>
    <r>
      <rPr>
        <b/>
        <vertAlign val="subscript"/>
        <sz val="12"/>
        <rFont val="Arial"/>
        <family val="2"/>
      </rPr>
      <t>LS</t>
    </r>
    <r>
      <rPr>
        <b/>
        <sz val="12"/>
        <rFont val="Arial"/>
        <family val="2"/>
      </rPr>
      <t xml:space="preserve">) </t>
    </r>
  </si>
  <si>
    <r>
      <t>P</t>
    </r>
    <r>
      <rPr>
        <b/>
        <vertAlign val="subscript"/>
        <sz val="12"/>
        <rFont val="Arial"/>
        <family val="2"/>
      </rPr>
      <t>LS</t>
    </r>
  </si>
  <si>
    <r>
      <t>L</t>
    </r>
    <r>
      <rPr>
        <b/>
        <vertAlign val="subscript"/>
        <sz val="12"/>
        <rFont val="Arial"/>
        <family val="2"/>
      </rPr>
      <t>OUT</t>
    </r>
  </si>
  <si>
    <r>
      <t>DCR</t>
    </r>
    <r>
      <rPr>
        <b/>
        <vertAlign val="subscript"/>
        <sz val="12"/>
        <rFont val="Arial"/>
        <family val="2"/>
      </rPr>
      <t>LOUT</t>
    </r>
  </si>
  <si>
    <r>
      <t>Estimate L</t>
    </r>
    <r>
      <rPr>
        <b/>
        <vertAlign val="subscript"/>
        <sz val="12"/>
        <rFont val="Arial"/>
        <family val="2"/>
      </rPr>
      <t xml:space="preserve">OUT </t>
    </r>
    <r>
      <rPr>
        <b/>
        <sz val="12"/>
        <rFont val="Arial"/>
        <family val="2"/>
      </rPr>
      <t>power loss</t>
    </r>
  </si>
  <si>
    <r>
      <t>P</t>
    </r>
    <r>
      <rPr>
        <b/>
        <vertAlign val="subscript"/>
        <sz val="12"/>
        <rFont val="Arial"/>
        <family val="2"/>
      </rPr>
      <t>LOUT</t>
    </r>
  </si>
  <si>
    <r>
      <t>Calculate L</t>
    </r>
    <r>
      <rPr>
        <b/>
        <vertAlign val="subscript"/>
        <sz val="12"/>
        <rFont val="Arial"/>
        <family val="2"/>
      </rPr>
      <t>OUT</t>
    </r>
    <r>
      <rPr>
        <b/>
        <sz val="12"/>
        <rFont val="Arial"/>
        <family val="2"/>
      </rPr>
      <t xml:space="preserve"> RMS Current</t>
    </r>
  </si>
  <si>
    <r>
      <t>I</t>
    </r>
    <r>
      <rPr>
        <b/>
        <vertAlign val="subscript"/>
        <sz val="12"/>
        <rFont val="Arial"/>
        <family val="2"/>
      </rPr>
      <t>LOUT_RMS</t>
    </r>
  </si>
  <si>
    <t>Calculated Shim Inductance</t>
  </si>
  <si>
    <t>Calculate Output Inductance</t>
  </si>
  <si>
    <r>
      <t>t</t>
    </r>
    <r>
      <rPr>
        <b/>
        <vertAlign val="subscript"/>
        <sz val="12"/>
        <rFont val="Arial"/>
        <family val="2"/>
      </rPr>
      <t>HU</t>
    </r>
  </si>
  <si>
    <r>
      <t>Time it takes L</t>
    </r>
    <r>
      <rPr>
        <b/>
        <vertAlign val="subscript"/>
        <sz val="12"/>
        <rFont val="Arial"/>
        <family val="2"/>
      </rPr>
      <t xml:space="preserve">OUT </t>
    </r>
    <r>
      <rPr>
        <b/>
        <sz val="12"/>
        <rFont val="Arial"/>
        <family val="2"/>
      </rPr>
      <t>to change 90% of its full load current</t>
    </r>
  </si>
  <si>
    <t>us</t>
  </si>
  <si>
    <r>
      <t>ESR</t>
    </r>
    <r>
      <rPr>
        <b/>
        <vertAlign val="subscript"/>
        <sz val="12"/>
        <rFont val="Arial"/>
        <family val="2"/>
      </rPr>
      <t>COUT</t>
    </r>
  </si>
  <si>
    <r>
      <t>C</t>
    </r>
    <r>
      <rPr>
        <b/>
        <vertAlign val="subscript"/>
        <sz val="12"/>
        <rFont val="Arial"/>
        <family val="2"/>
      </rPr>
      <t>OUT</t>
    </r>
  </si>
  <si>
    <t>uF</t>
  </si>
  <si>
    <t>n</t>
  </si>
  <si>
    <t>Single Capacitor Capacitance</t>
  </si>
  <si>
    <t>Single Capacitor ESR</t>
  </si>
  <si>
    <t>Total Output Capacitance</t>
  </si>
  <si>
    <r>
      <t>I</t>
    </r>
    <r>
      <rPr>
        <b/>
        <vertAlign val="subscript"/>
        <sz val="12"/>
        <rFont val="Arial"/>
        <family val="2"/>
      </rPr>
      <t>COUT_RMS</t>
    </r>
  </si>
  <si>
    <t>Output Capacitance RMS Current</t>
  </si>
  <si>
    <t>Calculate Output Capacitance Loss</t>
  </si>
  <si>
    <r>
      <t>P</t>
    </r>
    <r>
      <rPr>
        <b/>
        <vertAlign val="subscript"/>
        <sz val="12"/>
        <rFont val="Arial"/>
        <family val="2"/>
      </rPr>
      <t>COUT</t>
    </r>
  </si>
  <si>
    <r>
      <t>V</t>
    </r>
    <r>
      <rPr>
        <b/>
        <vertAlign val="subscript"/>
        <sz val="12"/>
        <rFont val="Arial"/>
        <family val="2"/>
      </rPr>
      <t>DROP</t>
    </r>
  </si>
  <si>
    <t>Minimum Input During Line Dropout</t>
  </si>
  <si>
    <r>
      <t>C</t>
    </r>
    <r>
      <rPr>
        <b/>
        <vertAlign val="subscript"/>
        <sz val="12"/>
        <rFont val="Arial"/>
        <family val="2"/>
      </rPr>
      <t>IN</t>
    </r>
  </si>
  <si>
    <t>Calculate Minimum Input Capacitance</t>
  </si>
  <si>
    <r>
      <t>High Frequency C</t>
    </r>
    <r>
      <rPr>
        <b/>
        <vertAlign val="subscript"/>
        <sz val="12"/>
        <rFont val="Arial"/>
        <family val="2"/>
      </rPr>
      <t>IN</t>
    </r>
    <r>
      <rPr>
        <b/>
        <sz val="12"/>
        <rFont val="Arial"/>
        <family val="2"/>
      </rPr>
      <t xml:space="preserve"> RMS Current</t>
    </r>
  </si>
  <si>
    <r>
      <t>I</t>
    </r>
    <r>
      <rPr>
        <b/>
        <vertAlign val="subscript"/>
        <sz val="12"/>
        <rFont val="Arial"/>
        <family val="2"/>
      </rPr>
      <t>CINRMS</t>
    </r>
  </si>
  <si>
    <r>
      <t>ESR</t>
    </r>
    <r>
      <rPr>
        <b/>
        <vertAlign val="subscript"/>
        <sz val="12"/>
        <rFont val="Arial"/>
        <family val="2"/>
      </rPr>
      <t>CIN</t>
    </r>
  </si>
  <si>
    <r>
      <t>P</t>
    </r>
    <r>
      <rPr>
        <b/>
        <vertAlign val="subscript"/>
        <sz val="12"/>
        <rFont val="Arial"/>
        <family val="2"/>
      </rPr>
      <t>CIN</t>
    </r>
  </si>
  <si>
    <t>Select FETs QE and QF:</t>
  </si>
  <si>
    <r>
      <t>QE</t>
    </r>
    <r>
      <rPr>
        <b/>
        <vertAlign val="subscript"/>
        <sz val="12"/>
        <rFont val="Arial"/>
        <family val="2"/>
      </rPr>
      <t>g</t>
    </r>
  </si>
  <si>
    <r>
      <t>R</t>
    </r>
    <r>
      <rPr>
        <b/>
        <vertAlign val="subscript"/>
        <sz val="12"/>
        <rFont val="Arial"/>
        <family val="2"/>
      </rPr>
      <t>ds(on)QE</t>
    </r>
  </si>
  <si>
    <t>QE and QF Gate Charge</t>
  </si>
  <si>
    <t xml:space="preserve">Set Initial Power Budget </t>
  </si>
  <si>
    <t>Estimated FET Voltage Drop</t>
  </si>
  <si>
    <t>QA FET Gate Charge</t>
  </si>
  <si>
    <r>
      <t>Voltage Across Drain to Source Where C</t>
    </r>
    <r>
      <rPr>
        <b/>
        <vertAlign val="subscript"/>
        <sz val="12"/>
        <rFont val="Arial"/>
        <family val="2"/>
      </rPr>
      <t xml:space="preserve">OSS </t>
    </r>
    <r>
      <rPr>
        <b/>
        <sz val="12"/>
        <color indexed="8"/>
        <rFont val="Arial"/>
        <family val="2"/>
      </rPr>
      <t>was Measured, Data Sheet Parameter</t>
    </r>
  </si>
  <si>
    <r>
      <t>V</t>
    </r>
    <r>
      <rPr>
        <b/>
        <vertAlign val="subscript"/>
        <sz val="12"/>
        <rFont val="Arial"/>
        <family val="2"/>
      </rPr>
      <t>dsQE</t>
    </r>
  </si>
  <si>
    <r>
      <t>V</t>
    </r>
    <r>
      <rPr>
        <b/>
        <vertAlign val="subscript"/>
        <sz val="12"/>
        <rFont val="Arial"/>
        <family val="2"/>
      </rPr>
      <t>dsQE_SPEC</t>
    </r>
  </si>
  <si>
    <r>
      <t>Voltage Specified at C</t>
    </r>
    <r>
      <rPr>
        <b/>
        <vertAlign val="subscript"/>
        <sz val="12"/>
        <rFont val="Arial"/>
        <family val="2"/>
      </rPr>
      <t>OSS</t>
    </r>
    <r>
      <rPr>
        <b/>
        <sz val="12"/>
        <rFont val="Arial"/>
        <family val="2"/>
      </rPr>
      <t xml:space="preserve"> Specified in the Data Sheet</t>
    </r>
  </si>
  <si>
    <r>
      <t>C</t>
    </r>
    <r>
      <rPr>
        <b/>
        <vertAlign val="subscript"/>
        <sz val="12"/>
        <rFont val="Arial"/>
        <family val="2"/>
      </rPr>
      <t>OSS_SPEC</t>
    </r>
  </si>
  <si>
    <r>
      <t>Specified QE and QF C</t>
    </r>
    <r>
      <rPr>
        <b/>
        <vertAlign val="subscript"/>
        <sz val="12"/>
        <rFont val="Arial"/>
        <family val="2"/>
      </rPr>
      <t xml:space="preserve">OSS </t>
    </r>
    <r>
      <rPr>
        <b/>
        <sz val="12"/>
        <rFont val="Arial"/>
        <family val="2"/>
      </rPr>
      <t>From the Data Sheet</t>
    </r>
  </si>
  <si>
    <r>
      <t>C</t>
    </r>
    <r>
      <rPr>
        <b/>
        <vertAlign val="subscript"/>
        <sz val="12"/>
        <rFont val="Arial"/>
        <family val="2"/>
      </rPr>
      <t>OSS_QE_AVG</t>
    </r>
  </si>
  <si>
    <r>
      <t>Average QE and QF C</t>
    </r>
    <r>
      <rPr>
        <b/>
        <vertAlign val="subscript"/>
        <sz val="12"/>
        <rFont val="Arial"/>
        <family val="2"/>
      </rPr>
      <t>OSS</t>
    </r>
  </si>
  <si>
    <t>QE and QF RMS Current</t>
  </si>
  <si>
    <r>
      <t>I</t>
    </r>
    <r>
      <rPr>
        <b/>
        <vertAlign val="subscript"/>
        <sz val="12"/>
        <rFont val="Arial"/>
        <family val="2"/>
      </rPr>
      <t>QE_RMS</t>
    </r>
  </si>
  <si>
    <r>
      <t>QE</t>
    </r>
    <r>
      <rPr>
        <b/>
        <vertAlign val="subscript"/>
        <sz val="12"/>
        <rFont val="Arial"/>
        <family val="2"/>
      </rPr>
      <t>MILLER_MAX</t>
    </r>
  </si>
  <si>
    <r>
      <t>QE</t>
    </r>
    <r>
      <rPr>
        <b/>
        <vertAlign val="subscript"/>
        <sz val="12"/>
        <rFont val="Arial"/>
        <family val="2"/>
      </rPr>
      <t>MILLER_MIN</t>
    </r>
  </si>
  <si>
    <t>Maximum Gate Charge at the end of the Miller Plateau</t>
  </si>
  <si>
    <t>Peak Current Gate of QE and QF is Driven with</t>
  </si>
  <si>
    <r>
      <t>I</t>
    </r>
    <r>
      <rPr>
        <b/>
        <vertAlign val="subscript"/>
        <sz val="12"/>
        <rFont val="Arial"/>
        <family val="2"/>
      </rPr>
      <t>P</t>
    </r>
  </si>
  <si>
    <r>
      <t>t</t>
    </r>
    <r>
      <rPr>
        <b/>
        <vertAlign val="subscript"/>
        <sz val="12"/>
        <rFont val="Arial"/>
        <family val="2"/>
      </rPr>
      <t>r</t>
    </r>
    <r>
      <rPr>
        <b/>
        <sz val="12"/>
        <rFont val="Arial"/>
        <family val="2"/>
      </rPr>
      <t xml:space="preserve"> ≈ t</t>
    </r>
    <r>
      <rPr>
        <b/>
        <vertAlign val="subscript"/>
        <sz val="12"/>
        <rFont val="Arial"/>
        <family val="2"/>
      </rPr>
      <t>f</t>
    </r>
  </si>
  <si>
    <t>ns</t>
  </si>
  <si>
    <t>Estimate QE FET Losses</t>
  </si>
  <si>
    <r>
      <t>P</t>
    </r>
    <r>
      <rPr>
        <b/>
        <vertAlign val="subscript"/>
        <sz val="12"/>
        <rFont val="Arial"/>
        <family val="2"/>
      </rPr>
      <t>QE</t>
    </r>
  </si>
  <si>
    <t>Maximum Voltage Across QE and QF</t>
  </si>
  <si>
    <t>a2</t>
  </si>
  <si>
    <r>
      <t>Select CT and Enter Turns Ratio a2 = I</t>
    </r>
    <r>
      <rPr>
        <b/>
        <vertAlign val="subscript"/>
        <sz val="12"/>
        <rFont val="Arial"/>
        <family val="2"/>
      </rPr>
      <t>P</t>
    </r>
    <r>
      <rPr>
        <b/>
        <sz val="12"/>
        <rFont val="Arial"/>
        <family val="2"/>
      </rPr>
      <t>/I</t>
    </r>
    <r>
      <rPr>
        <b/>
        <vertAlign val="subscript"/>
        <sz val="12"/>
        <rFont val="Arial"/>
        <family val="2"/>
      </rPr>
      <t>S</t>
    </r>
  </si>
  <si>
    <t>Std. Resistors</t>
  </si>
  <si>
    <t>Capacitors</t>
  </si>
  <si>
    <t>Enter resistor value</t>
  </si>
  <si>
    <t>E6</t>
  </si>
  <si>
    <t>E96</t>
  </si>
  <si>
    <t>Cap value</t>
  </si>
  <si>
    <t>Closest E6 Value</t>
  </si>
  <si>
    <t>Closest E12 Value</t>
  </si>
  <si>
    <t>C values up to 10nF</t>
  </si>
  <si>
    <t>Closest E24 Value</t>
  </si>
  <si>
    <t>Closest E48 Value</t>
  </si>
  <si>
    <t>Closest E96 Value</t>
  </si>
  <si>
    <t>E12</t>
  </si>
  <si>
    <t>C values greater than 10nF</t>
  </si>
  <si>
    <t>E24</t>
  </si>
  <si>
    <t>E48</t>
  </si>
  <si>
    <r>
      <t>R</t>
    </r>
    <r>
      <rPr>
        <b/>
        <vertAlign val="subscript"/>
        <sz val="12"/>
        <rFont val="Arial"/>
        <family val="2"/>
      </rPr>
      <t>S</t>
    </r>
  </si>
  <si>
    <t>Calculate Current Sense Resistor</t>
  </si>
  <si>
    <t>Ω</t>
  </si>
  <si>
    <r>
      <t>I</t>
    </r>
    <r>
      <rPr>
        <b/>
        <vertAlign val="subscript"/>
        <sz val="12"/>
        <rFont val="Arial"/>
        <family val="2"/>
      </rPr>
      <t>P1</t>
    </r>
  </si>
  <si>
    <r>
      <t>Calculate nominal peak current (I</t>
    </r>
    <r>
      <rPr>
        <b/>
        <vertAlign val="subscript"/>
        <sz val="12"/>
        <rFont val="Arial"/>
        <family val="2"/>
      </rPr>
      <t>P1</t>
    </r>
    <r>
      <rPr>
        <b/>
        <sz val="12"/>
        <rFont val="Arial"/>
        <family val="2"/>
      </rPr>
      <t>) at V</t>
    </r>
    <r>
      <rPr>
        <b/>
        <vertAlign val="subscript"/>
        <sz val="12"/>
        <rFont val="Arial"/>
        <family val="2"/>
      </rPr>
      <t>INMIN</t>
    </r>
  </si>
  <si>
    <t>Select Current Sense Resistor for Your Design</t>
  </si>
  <si>
    <t>Estimate Rs Power Loss</t>
  </si>
  <si>
    <r>
      <t>P</t>
    </r>
    <r>
      <rPr>
        <b/>
        <vertAlign val="subscript"/>
        <sz val="12"/>
        <rFont val="Arial"/>
        <family val="2"/>
      </rPr>
      <t>RS</t>
    </r>
  </si>
  <si>
    <r>
      <t>V</t>
    </r>
    <r>
      <rPr>
        <b/>
        <vertAlign val="subscript"/>
        <sz val="12"/>
        <rFont val="Arial"/>
        <family val="2"/>
      </rPr>
      <t>DA</t>
    </r>
  </si>
  <si>
    <r>
      <t>Maximum Diode D</t>
    </r>
    <r>
      <rPr>
        <b/>
        <vertAlign val="subscript"/>
        <sz val="12"/>
        <rFont val="Arial"/>
        <family val="2"/>
      </rPr>
      <t>A</t>
    </r>
    <r>
      <rPr>
        <b/>
        <sz val="12"/>
        <rFont val="Arial"/>
        <family val="2"/>
      </rPr>
      <t xml:space="preserve"> Reverse Voltage</t>
    </r>
  </si>
  <si>
    <r>
      <t>t</t>
    </r>
    <r>
      <rPr>
        <b/>
        <vertAlign val="subscript"/>
        <sz val="12"/>
        <rFont val="Arial"/>
        <family val="2"/>
      </rPr>
      <t>DELAY</t>
    </r>
  </si>
  <si>
    <t>fr</t>
  </si>
  <si>
    <t>Calculate Resonant Tank Frequency</t>
  </si>
  <si>
    <t>Possible Delay That will Be Required for ZVS</t>
  </si>
  <si>
    <r>
      <t>D</t>
    </r>
    <r>
      <rPr>
        <b/>
        <vertAlign val="subscript"/>
        <sz val="12"/>
        <rFont val="Arial"/>
        <family val="2"/>
      </rPr>
      <t>CLAMP</t>
    </r>
  </si>
  <si>
    <r>
      <t>t</t>
    </r>
    <r>
      <rPr>
        <b/>
        <vertAlign val="subscript"/>
        <sz val="12"/>
        <rFont val="Arial"/>
        <family val="2"/>
      </rPr>
      <t>DELAY</t>
    </r>
    <r>
      <rPr>
        <b/>
        <sz val="12"/>
        <rFont val="Arial"/>
        <family val="2"/>
      </rPr>
      <t xml:space="preserve"> will act as a duty cycle clamp</t>
    </r>
  </si>
  <si>
    <t>Switching Cycle Period</t>
  </si>
  <si>
    <t>ts</t>
  </si>
  <si>
    <t>Shim Inductance Used</t>
  </si>
  <si>
    <t>Output Inductance Used</t>
  </si>
  <si>
    <t>Selecting Power Transformer (T1)</t>
  </si>
  <si>
    <t>Number of Output Capacitors Used</t>
  </si>
  <si>
    <t>Input Capacitance Used</t>
  </si>
  <si>
    <r>
      <t>Estimate D</t>
    </r>
    <r>
      <rPr>
        <b/>
        <vertAlign val="subscript"/>
        <sz val="12"/>
        <rFont val="Arial"/>
        <family val="2"/>
      </rPr>
      <t>A</t>
    </r>
    <r>
      <rPr>
        <b/>
        <sz val="12"/>
        <rFont val="Arial"/>
        <family val="2"/>
      </rPr>
      <t xml:space="preserve"> Losses</t>
    </r>
  </si>
  <si>
    <r>
      <t>P</t>
    </r>
    <r>
      <rPr>
        <b/>
        <vertAlign val="subscript"/>
        <sz val="12"/>
        <rFont val="Arial"/>
        <family val="2"/>
      </rPr>
      <t>DA</t>
    </r>
  </si>
  <si>
    <t>V1</t>
  </si>
  <si>
    <r>
      <t>R</t>
    </r>
    <r>
      <rPr>
        <b/>
        <vertAlign val="subscript"/>
        <sz val="12"/>
        <rFont val="Arial"/>
        <family val="2"/>
      </rPr>
      <t>B</t>
    </r>
  </si>
  <si>
    <t>Select Standard Resistor</t>
  </si>
  <si>
    <r>
      <t>R</t>
    </r>
    <r>
      <rPr>
        <b/>
        <vertAlign val="subscript"/>
        <sz val="12"/>
        <rFont val="Arial"/>
        <family val="2"/>
      </rPr>
      <t>A</t>
    </r>
  </si>
  <si>
    <t>Calculated Resistance</t>
  </si>
  <si>
    <r>
      <t>R</t>
    </r>
    <r>
      <rPr>
        <b/>
        <vertAlign val="subscript"/>
        <sz val="12"/>
        <rFont val="Arial"/>
        <family val="2"/>
      </rPr>
      <t>C</t>
    </r>
  </si>
  <si>
    <r>
      <t>R</t>
    </r>
    <r>
      <rPr>
        <b/>
        <vertAlign val="subscript"/>
        <sz val="12"/>
        <rFont val="Arial"/>
        <family val="2"/>
      </rPr>
      <t>I</t>
    </r>
  </si>
  <si>
    <r>
      <t>f</t>
    </r>
    <r>
      <rPr>
        <b/>
        <vertAlign val="subscript"/>
        <sz val="12"/>
        <rFont val="Arial"/>
        <family val="2"/>
      </rPr>
      <t>C</t>
    </r>
  </si>
  <si>
    <t>Voltage Loop Crossover Frequency</t>
  </si>
  <si>
    <r>
      <t>R</t>
    </r>
    <r>
      <rPr>
        <b/>
        <vertAlign val="subscript"/>
        <sz val="12"/>
        <rFont val="Arial"/>
        <family val="2"/>
      </rPr>
      <t>LOAD</t>
    </r>
  </si>
  <si>
    <t>a1*a2*rload/rs</t>
  </si>
  <si>
    <t>Constant</t>
  </si>
  <si>
    <t>n1/d1</t>
  </si>
  <si>
    <t>n1divd1</t>
  </si>
  <si>
    <t>1/d2</t>
  </si>
  <si>
    <t>n1/(d1*d2)</t>
  </si>
  <si>
    <t>a1*a2*rload/rs*(n1/(d1*d2))</t>
  </si>
  <si>
    <t>absolute maximum(a1*a2*rload/rs*(n1/(d1*d2)))</t>
  </si>
  <si>
    <t>n1</t>
  </si>
  <si>
    <t>|Gco(fc)|</t>
  </si>
  <si>
    <r>
      <t>R</t>
    </r>
    <r>
      <rPr>
        <b/>
        <vertAlign val="subscript"/>
        <sz val="12"/>
        <rFont val="Arial"/>
        <family val="2"/>
      </rPr>
      <t>F</t>
    </r>
  </si>
  <si>
    <t>Calculate Feedback Resistor</t>
  </si>
  <si>
    <r>
      <t>C</t>
    </r>
    <r>
      <rPr>
        <b/>
        <vertAlign val="subscript"/>
        <sz val="12"/>
        <rFont val="Arial"/>
        <family val="2"/>
      </rPr>
      <t>Z</t>
    </r>
  </si>
  <si>
    <t>nF</t>
  </si>
  <si>
    <t>Calculate Pole Capacitor</t>
  </si>
  <si>
    <t>Calculate Zero Capacitor</t>
  </si>
  <si>
    <t>mΩ</t>
  </si>
  <si>
    <t>Output Capacitance ESR  ≤</t>
  </si>
  <si>
    <t>Output Capacitance Cout  ≥</t>
  </si>
  <si>
    <t>kΩ</t>
  </si>
  <si>
    <r>
      <t>C</t>
    </r>
    <r>
      <rPr>
        <b/>
        <vertAlign val="subscript"/>
        <sz val="12"/>
        <rFont val="Arial"/>
        <family val="2"/>
      </rPr>
      <t>P</t>
    </r>
  </si>
  <si>
    <t>Cz</t>
  </si>
  <si>
    <t>values up to 10 nF</t>
  </si>
  <si>
    <t>values greater than 10nf</t>
  </si>
  <si>
    <r>
      <t>t</t>
    </r>
    <r>
      <rPr>
        <b/>
        <vertAlign val="subscript"/>
        <sz val="12"/>
        <rFont val="Arial"/>
        <family val="2"/>
      </rPr>
      <t>SS</t>
    </r>
  </si>
  <si>
    <t>Soft Start Time</t>
  </si>
  <si>
    <t>ms</t>
  </si>
  <si>
    <r>
      <t>C</t>
    </r>
    <r>
      <rPr>
        <b/>
        <vertAlign val="subscript"/>
        <sz val="12"/>
        <rFont val="Arial"/>
        <family val="2"/>
      </rPr>
      <t>SS</t>
    </r>
  </si>
  <si>
    <t>values greater than 10 nf</t>
  </si>
  <si>
    <r>
      <t>t</t>
    </r>
    <r>
      <rPr>
        <b/>
        <vertAlign val="subscript"/>
        <sz val="12"/>
        <rFont val="Arial"/>
        <family val="2"/>
      </rPr>
      <t>ABSET</t>
    </r>
  </si>
  <si>
    <r>
      <t>R</t>
    </r>
    <r>
      <rPr>
        <b/>
        <vertAlign val="subscript"/>
        <sz val="12"/>
        <rFont val="Arial"/>
        <family val="2"/>
      </rPr>
      <t>DELAB</t>
    </r>
  </si>
  <si>
    <r>
      <t>R</t>
    </r>
    <r>
      <rPr>
        <b/>
        <vertAlign val="subscript"/>
        <sz val="12"/>
        <rFont val="Arial"/>
        <family val="2"/>
      </rPr>
      <t>DELCD</t>
    </r>
  </si>
  <si>
    <r>
      <t>t</t>
    </r>
    <r>
      <rPr>
        <b/>
        <vertAlign val="subscript"/>
        <sz val="12"/>
        <rFont val="Arial"/>
        <family val="2"/>
      </rPr>
      <t>CDSET</t>
    </r>
  </si>
  <si>
    <r>
      <t>Set to half of t</t>
    </r>
    <r>
      <rPr>
        <b/>
        <vertAlign val="subscript"/>
        <sz val="12"/>
        <rFont val="Arial"/>
        <family val="2"/>
      </rPr>
      <t>ABSET</t>
    </r>
  </si>
  <si>
    <r>
      <t>R</t>
    </r>
    <r>
      <rPr>
        <b/>
        <vertAlign val="subscript"/>
        <sz val="12"/>
        <rFont val="Arial"/>
        <family val="2"/>
      </rPr>
      <t>DELEF</t>
    </r>
  </si>
  <si>
    <t>Setting Minimum on Time</t>
  </si>
  <si>
    <t>Minimum on Time</t>
  </si>
  <si>
    <r>
      <t>t</t>
    </r>
    <r>
      <rPr>
        <b/>
        <vertAlign val="subscript"/>
        <sz val="12"/>
        <rFont val="Arial"/>
        <family val="2"/>
      </rPr>
      <t>MIN</t>
    </r>
  </si>
  <si>
    <r>
      <t>R</t>
    </r>
    <r>
      <rPr>
        <b/>
        <vertAlign val="subscript"/>
        <sz val="12"/>
        <rFont val="Arial"/>
        <family val="2"/>
      </rPr>
      <t>TMIN</t>
    </r>
  </si>
  <si>
    <r>
      <t>Calculate R</t>
    </r>
    <r>
      <rPr>
        <b/>
        <vertAlign val="subscript"/>
        <sz val="12"/>
        <rFont val="Arial"/>
        <family val="2"/>
      </rPr>
      <t>TMIN</t>
    </r>
  </si>
  <si>
    <t>Setup PWM Switching Frequency</t>
  </si>
  <si>
    <r>
      <t>Calculate R</t>
    </r>
    <r>
      <rPr>
        <b/>
        <vertAlign val="subscript"/>
        <sz val="12"/>
        <rFont val="Arial"/>
        <family val="2"/>
      </rPr>
      <t>T</t>
    </r>
    <r>
      <rPr>
        <b/>
        <sz val="12"/>
        <rFont val="Arial"/>
        <family val="2"/>
      </rPr>
      <t xml:space="preserve"> Value</t>
    </r>
  </si>
  <si>
    <r>
      <t>R</t>
    </r>
    <r>
      <rPr>
        <b/>
        <vertAlign val="subscript"/>
        <sz val="12"/>
        <rFont val="Arial"/>
        <family val="2"/>
      </rPr>
      <t>T</t>
    </r>
  </si>
  <si>
    <t>Setup Slope Compensation</t>
  </si>
  <si>
    <t>V/us</t>
  </si>
  <si>
    <r>
      <t>Calculate V</t>
    </r>
    <r>
      <rPr>
        <b/>
        <vertAlign val="subscript"/>
        <sz val="12"/>
        <rFont val="Arial"/>
        <family val="2"/>
      </rPr>
      <t>SLOPE</t>
    </r>
  </si>
  <si>
    <r>
      <t>V</t>
    </r>
    <r>
      <rPr>
        <b/>
        <vertAlign val="subscript"/>
        <sz val="12"/>
        <rFont val="Arial"/>
        <family val="2"/>
      </rPr>
      <t>SLOPE</t>
    </r>
  </si>
  <si>
    <r>
      <t>Calculate R</t>
    </r>
    <r>
      <rPr>
        <b/>
        <vertAlign val="subscript"/>
        <sz val="12"/>
        <rFont val="Arial"/>
        <family val="2"/>
      </rPr>
      <t>SUM</t>
    </r>
  </si>
  <si>
    <r>
      <t>R</t>
    </r>
    <r>
      <rPr>
        <b/>
        <vertAlign val="subscript"/>
        <sz val="12"/>
        <rFont val="Arial"/>
        <family val="2"/>
      </rPr>
      <t>SUM</t>
    </r>
  </si>
  <si>
    <r>
      <t>Voltage across R</t>
    </r>
    <r>
      <rPr>
        <b/>
        <vertAlign val="subscript"/>
        <sz val="12"/>
        <rFont val="Arial"/>
        <family val="2"/>
      </rPr>
      <t>S</t>
    </r>
    <r>
      <rPr>
        <b/>
        <sz val="12"/>
        <rFont val="Arial"/>
        <family val="2"/>
      </rPr>
      <t xml:space="preserve"> at 15% load</t>
    </r>
  </si>
  <si>
    <r>
      <t>V</t>
    </r>
    <r>
      <rPr>
        <b/>
        <vertAlign val="subscript"/>
        <sz val="12"/>
        <rFont val="Arial"/>
        <family val="2"/>
      </rPr>
      <t>RS</t>
    </r>
  </si>
  <si>
    <r>
      <t>R</t>
    </r>
    <r>
      <rPr>
        <b/>
        <vertAlign val="subscript"/>
        <sz val="12"/>
        <rFont val="Arial"/>
        <family val="2"/>
      </rPr>
      <t>G</t>
    </r>
  </si>
  <si>
    <r>
      <t>R</t>
    </r>
    <r>
      <rPr>
        <b/>
        <vertAlign val="subscript"/>
        <sz val="12"/>
        <rFont val="Arial"/>
        <family val="2"/>
      </rPr>
      <t>E</t>
    </r>
  </si>
  <si>
    <r>
      <t>Calculate R</t>
    </r>
    <r>
      <rPr>
        <b/>
        <vertAlign val="subscript"/>
        <sz val="12"/>
        <rFont val="Arial"/>
        <family val="2"/>
      </rPr>
      <t xml:space="preserve">E </t>
    </r>
  </si>
  <si>
    <r>
      <t>Δ</t>
    </r>
    <r>
      <rPr>
        <b/>
        <sz val="12"/>
        <rFont val="Arial"/>
        <family val="2"/>
      </rPr>
      <t>I</t>
    </r>
    <r>
      <rPr>
        <b/>
        <vertAlign val="subscript"/>
        <sz val="12"/>
        <rFont val="Arial"/>
        <family val="2"/>
      </rPr>
      <t>LOUT</t>
    </r>
  </si>
  <si>
    <t>Partial RMS Current</t>
  </si>
  <si>
    <t>Counter</t>
  </si>
  <si>
    <t>Gco n1/d1</t>
  </si>
  <si>
    <t>Gco 1/d2</t>
  </si>
  <si>
    <t>Gco n1/(d1*d2)</t>
  </si>
  <si>
    <t>Gco(f)</t>
  </si>
  <si>
    <t>|Gco(f)|</t>
  </si>
  <si>
    <t>Gc n1/n1</t>
  </si>
  <si>
    <t>Gc 1/n2</t>
  </si>
  <si>
    <t>Gc(f)</t>
  </si>
  <si>
    <t>Gc(f)*Gco(f)</t>
  </si>
  <si>
    <t>TvdB(f)</t>
  </si>
  <si>
    <r>
      <t>ӨT</t>
    </r>
    <r>
      <rPr>
        <vertAlign val="subscript"/>
        <sz val="10"/>
        <rFont val="Arial"/>
        <family val="2"/>
      </rPr>
      <t>V</t>
    </r>
    <r>
      <rPr>
        <sz val="10"/>
        <rFont val="Arial"/>
      </rPr>
      <t>(f)</t>
    </r>
  </si>
  <si>
    <t>frequency</t>
  </si>
  <si>
    <t>TvdB(f)
MathCad Check</t>
  </si>
  <si>
    <r>
      <t>ӨT</t>
    </r>
    <r>
      <rPr>
        <vertAlign val="subscript"/>
        <sz val="10"/>
        <rFont val="Arial"/>
        <family val="2"/>
      </rPr>
      <t>V</t>
    </r>
    <r>
      <rPr>
        <sz val="10"/>
        <rFont val="Arial"/>
      </rPr>
      <t>(f)
MathCAD
Check</t>
    </r>
  </si>
  <si>
    <t>Frequency</t>
  </si>
  <si>
    <t>ӨTv(f)</t>
  </si>
  <si>
    <t>T1 Primary Magnetizing Inductance &gt; or =</t>
  </si>
  <si>
    <r>
      <t>Calculate T1 Secondary RMS Current (I</t>
    </r>
    <r>
      <rPr>
        <b/>
        <vertAlign val="subscript"/>
        <sz val="12"/>
        <rFont val="Arial"/>
        <family val="2"/>
      </rPr>
      <t>SRMS</t>
    </r>
    <r>
      <rPr>
        <b/>
        <sz val="12"/>
        <rFont val="Arial"/>
        <family val="2"/>
      </rPr>
      <t>)</t>
    </r>
  </si>
  <si>
    <r>
      <t>L</t>
    </r>
    <r>
      <rPr>
        <b/>
        <vertAlign val="subscript"/>
        <sz val="12"/>
        <rFont val="Arial"/>
        <family val="2"/>
      </rPr>
      <t>OUT</t>
    </r>
    <r>
      <rPr>
        <b/>
        <sz val="12"/>
        <rFont val="Arial"/>
        <family val="2"/>
      </rPr>
      <t xml:space="preserve"> equivalent series resistance</t>
    </r>
  </si>
  <si>
    <t>Total Equivalent Series Resistance</t>
  </si>
  <si>
    <t>QE and QF on Resistance</t>
  </si>
  <si>
    <t>Minimum Gate Charge at the beginning of the Miller Plateau</t>
  </si>
  <si>
    <r>
      <t>Approximate QE and QF V</t>
    </r>
    <r>
      <rPr>
        <b/>
        <vertAlign val="subscript"/>
        <sz val="12"/>
        <rFont val="Arial"/>
        <family val="2"/>
      </rPr>
      <t>ds</t>
    </r>
    <r>
      <rPr>
        <b/>
        <sz val="12"/>
        <rFont val="Arial"/>
        <family val="2"/>
      </rPr>
      <t xml:space="preserve"> Rise and Fall Times</t>
    </r>
  </si>
  <si>
    <t>Equivalent Series Resistance</t>
  </si>
  <si>
    <r>
      <t>Estimate C</t>
    </r>
    <r>
      <rPr>
        <b/>
        <vertAlign val="subscript"/>
        <sz val="12"/>
        <rFont val="Arial"/>
        <family val="2"/>
      </rPr>
      <t>IN</t>
    </r>
    <r>
      <rPr>
        <b/>
        <sz val="12"/>
        <rFont val="Arial"/>
        <family val="2"/>
      </rPr>
      <t xml:space="preserve"> Power Dissipation</t>
    </r>
  </si>
  <si>
    <t>Programmed Voltage Reference, Needs to be &lt; 5V</t>
  </si>
  <si>
    <t>Load Impedance at 10% Load</t>
  </si>
  <si>
    <t>Calculate Soft Start Capacitor</t>
  </si>
  <si>
    <t>Calculate 1/4 LC Tank Frequency and set AB Initial Delay</t>
  </si>
  <si>
    <t>Calculate AB timing resistor</t>
  </si>
  <si>
    <r>
      <t>Set Initial CD delay to AB Delay t</t>
    </r>
    <r>
      <rPr>
        <b/>
        <vertAlign val="subscript"/>
        <sz val="12"/>
        <rFont val="Arial"/>
        <family val="2"/>
      </rPr>
      <t>ABSET</t>
    </r>
    <r>
      <rPr>
        <b/>
        <sz val="12"/>
        <rFont val="Arial"/>
        <family val="2"/>
      </rPr>
      <t xml:space="preserve"> = t</t>
    </r>
    <r>
      <rPr>
        <b/>
        <vertAlign val="subscript"/>
        <sz val="12"/>
        <rFont val="Arial"/>
        <family val="2"/>
      </rPr>
      <t>CDSET</t>
    </r>
  </si>
  <si>
    <r>
      <t>Calculate Magnetizing Current during I</t>
    </r>
    <r>
      <rPr>
        <b/>
        <vertAlign val="subscript"/>
        <sz val="12"/>
        <rFont val="Arial"/>
        <family val="2"/>
      </rPr>
      <t>LOUT</t>
    </r>
    <r>
      <rPr>
        <b/>
        <sz val="12"/>
        <rFont val="Arial"/>
        <family val="2"/>
      </rPr>
      <t xml:space="preserve"> down slope</t>
    </r>
  </si>
  <si>
    <t>Setup DCM Comparator</t>
  </si>
  <si>
    <t>Voltage Applied to FET Gate ≈ VDD</t>
  </si>
  <si>
    <r>
      <t>Double pole of G</t>
    </r>
    <r>
      <rPr>
        <b/>
        <vertAlign val="subscript"/>
        <sz val="12"/>
        <rFont val="Arial"/>
        <family val="2"/>
      </rPr>
      <t>CO</t>
    </r>
    <r>
      <rPr>
        <b/>
        <sz val="12"/>
        <rFont val="Arial"/>
        <family val="2"/>
      </rPr>
      <t>(f)</t>
    </r>
  </si>
  <si>
    <r>
      <t>f</t>
    </r>
    <r>
      <rPr>
        <b/>
        <vertAlign val="subscript"/>
        <sz val="12"/>
        <rFont val="Arial"/>
        <family val="2"/>
      </rPr>
      <t>PP</t>
    </r>
  </si>
  <si>
    <r>
      <t>Select Shim Inductor (L</t>
    </r>
    <r>
      <rPr>
        <b/>
        <vertAlign val="subscript"/>
        <sz val="12"/>
        <color indexed="9"/>
        <rFont val="Arial"/>
        <family val="2"/>
      </rPr>
      <t>S</t>
    </r>
    <r>
      <rPr>
        <b/>
        <sz val="12"/>
        <color indexed="9"/>
        <rFont val="Arial"/>
        <family val="2"/>
      </rPr>
      <t>)</t>
    </r>
  </si>
  <si>
    <r>
      <t>Selecting Output Inductor (L</t>
    </r>
    <r>
      <rPr>
        <b/>
        <vertAlign val="subscript"/>
        <sz val="12"/>
        <color indexed="9"/>
        <rFont val="Arial"/>
        <family val="2"/>
      </rPr>
      <t>OUT</t>
    </r>
    <r>
      <rPr>
        <b/>
        <sz val="12"/>
        <color indexed="9"/>
        <rFont val="Arial"/>
        <family val="2"/>
      </rPr>
      <t>)</t>
    </r>
  </si>
  <si>
    <r>
      <t>Selecting Output Capacitance (C</t>
    </r>
    <r>
      <rPr>
        <b/>
        <vertAlign val="subscript"/>
        <sz val="12"/>
        <color indexed="9"/>
        <rFont val="Arial"/>
        <family val="2"/>
      </rPr>
      <t>OUT</t>
    </r>
    <r>
      <rPr>
        <b/>
        <sz val="12"/>
        <color indexed="9"/>
        <rFont val="Arial"/>
        <family val="2"/>
      </rPr>
      <t>)</t>
    </r>
  </si>
  <si>
    <r>
      <t>Input Capacitance Calculations (C</t>
    </r>
    <r>
      <rPr>
        <b/>
        <vertAlign val="subscript"/>
        <sz val="12"/>
        <color indexed="9"/>
        <rFont val="Arial"/>
        <family val="2"/>
      </rPr>
      <t>IN</t>
    </r>
    <r>
      <rPr>
        <b/>
        <sz val="12"/>
        <color indexed="9"/>
        <rFont val="Arial"/>
        <family val="2"/>
      </rPr>
      <t>)</t>
    </r>
  </si>
  <si>
    <t>Recalculate Power Budget 
This is the remaining power left for the CT network, IC and IC sensing resistors</t>
  </si>
  <si>
    <r>
      <t>Setting up Voltage Amplifier Reference G</t>
    </r>
    <r>
      <rPr>
        <b/>
        <vertAlign val="subscript"/>
        <sz val="12"/>
        <color indexed="9"/>
        <rFont val="Arial"/>
        <family val="2"/>
      </rPr>
      <t>C</t>
    </r>
    <r>
      <rPr>
        <b/>
        <sz val="12"/>
        <color indexed="9"/>
        <rFont val="Arial"/>
        <family val="2"/>
      </rPr>
      <t>(f)</t>
    </r>
  </si>
  <si>
    <r>
      <t>Select Soft Start Capacitor (C</t>
    </r>
    <r>
      <rPr>
        <b/>
        <vertAlign val="subscript"/>
        <sz val="12"/>
        <color indexed="9"/>
        <rFont val="Arial"/>
        <family val="2"/>
      </rPr>
      <t>SS</t>
    </r>
    <r>
      <rPr>
        <b/>
        <sz val="12"/>
        <color indexed="9"/>
        <rFont val="Arial"/>
        <family val="2"/>
      </rPr>
      <t>)</t>
    </r>
  </si>
  <si>
    <t>It is recommended that you read this application note before using this design tool</t>
  </si>
  <si>
    <t>Please Refer to Figure of T1 Current</t>
  </si>
  <si>
    <r>
      <t>Primary Magnetizing Current Based on L</t>
    </r>
    <r>
      <rPr>
        <b/>
        <vertAlign val="subscript"/>
        <sz val="12"/>
        <rFont val="Arial"/>
        <family val="2"/>
      </rPr>
      <t>MAG</t>
    </r>
  </si>
  <si>
    <r>
      <t>Calculate T1 Primary RMS Current (I</t>
    </r>
    <r>
      <rPr>
        <b/>
        <vertAlign val="subscript"/>
        <sz val="12"/>
        <rFont val="Arial"/>
        <family val="2"/>
      </rPr>
      <t>PRMS</t>
    </r>
    <r>
      <rPr>
        <b/>
        <sz val="12"/>
        <rFont val="Arial"/>
        <family val="2"/>
      </rPr>
      <t>)</t>
    </r>
  </si>
  <si>
    <r>
      <t>Setting up the current sense network (CT, R</t>
    </r>
    <r>
      <rPr>
        <b/>
        <vertAlign val="subscript"/>
        <sz val="12"/>
        <color indexed="9"/>
        <rFont val="Arial"/>
        <family val="2"/>
      </rPr>
      <t>S</t>
    </r>
    <r>
      <rPr>
        <b/>
        <sz val="12"/>
        <color indexed="9"/>
        <rFont val="Arial"/>
        <family val="2"/>
      </rPr>
      <t>, R</t>
    </r>
    <r>
      <rPr>
        <b/>
        <vertAlign val="subscript"/>
        <sz val="12"/>
        <color indexed="9"/>
        <rFont val="Arial"/>
        <family val="2"/>
      </rPr>
      <t xml:space="preserve">RE, </t>
    </r>
    <r>
      <rPr>
        <b/>
        <sz val="12"/>
        <color indexed="9"/>
        <rFont val="Arial"/>
        <family val="2"/>
      </rPr>
      <t>D</t>
    </r>
    <r>
      <rPr>
        <b/>
        <vertAlign val="subscript"/>
        <sz val="12"/>
        <color indexed="9"/>
        <rFont val="Arial"/>
        <family val="2"/>
      </rPr>
      <t>A</t>
    </r>
    <r>
      <rPr>
        <b/>
        <sz val="12"/>
        <color indexed="9"/>
        <rFont val="Arial"/>
        <family val="2"/>
      </rPr>
      <t>):</t>
    </r>
  </si>
  <si>
    <t>Closest Standard Capacitor Value</t>
  </si>
  <si>
    <t>Closest Standard Resistor Value (E48)</t>
  </si>
  <si>
    <t>4. The spreadsheet will calculate the ideal values and display the results in red type.</t>
  </si>
  <si>
    <r>
      <t>L</t>
    </r>
    <r>
      <rPr>
        <b/>
        <vertAlign val="subscript"/>
        <sz val="12"/>
        <rFont val="Arial"/>
        <family val="2"/>
      </rPr>
      <t>LK</t>
    </r>
  </si>
  <si>
    <t>Measured Transformer Primary Leakage Inductance</t>
  </si>
  <si>
    <t>&gt; Invalid parameters entered in yellow cells</t>
  </si>
  <si>
    <t>&gt; Design cannot calculate realistic values for your design parameters</t>
  </si>
  <si>
    <t>&gt; Efficiency goal with selected components may not be achievable</t>
  </si>
  <si>
    <t>Warning Negative Numbers in Calculated Values Could Indicate</t>
  </si>
  <si>
    <t>Select Transformer Turns Ratio</t>
  </si>
  <si>
    <r>
      <t>R</t>
    </r>
    <r>
      <rPr>
        <b/>
        <vertAlign val="subscript"/>
        <sz val="12"/>
        <rFont val="Arial"/>
        <family val="2"/>
      </rPr>
      <t>DA1</t>
    </r>
  </si>
  <si>
    <r>
      <t>V</t>
    </r>
    <r>
      <rPr>
        <b/>
        <vertAlign val="subscript"/>
        <sz val="12"/>
        <rFont val="Arial"/>
        <family val="2"/>
      </rPr>
      <t>ADEL</t>
    </r>
  </si>
  <si>
    <t>Calculate Voltage at ADEL pin to Meet Delay Range</t>
  </si>
  <si>
    <r>
      <t>Select Standard Resistor for R</t>
    </r>
    <r>
      <rPr>
        <b/>
        <vertAlign val="subscript"/>
        <sz val="12"/>
        <rFont val="Arial"/>
        <family val="2"/>
      </rPr>
      <t xml:space="preserve">DA1 </t>
    </r>
    <r>
      <rPr>
        <b/>
        <sz val="12"/>
        <rFont val="Arial"/>
        <family val="2"/>
      </rPr>
      <t>for t</t>
    </r>
    <r>
      <rPr>
        <b/>
        <vertAlign val="subscript"/>
        <sz val="12"/>
        <rFont val="Arial"/>
        <family val="2"/>
      </rPr>
      <t xml:space="preserve">ABSET </t>
    </r>
    <r>
      <rPr>
        <b/>
        <sz val="12"/>
        <rFont val="Arial"/>
        <family val="2"/>
      </rPr>
      <t>Delay Range</t>
    </r>
  </si>
  <si>
    <r>
      <t>Calculate R</t>
    </r>
    <r>
      <rPr>
        <b/>
        <vertAlign val="subscript"/>
        <sz val="12"/>
        <rFont val="Arial"/>
        <family val="2"/>
      </rPr>
      <t>DA2</t>
    </r>
  </si>
  <si>
    <r>
      <t>R</t>
    </r>
    <r>
      <rPr>
        <b/>
        <vertAlign val="subscript"/>
        <sz val="12"/>
        <rFont val="Arial"/>
        <family val="2"/>
      </rPr>
      <t>DA2</t>
    </r>
  </si>
  <si>
    <r>
      <t>Select Standard Resistor for R</t>
    </r>
    <r>
      <rPr>
        <b/>
        <vertAlign val="subscript"/>
        <sz val="12"/>
        <rFont val="Arial"/>
        <family val="2"/>
      </rPr>
      <t xml:space="preserve">DA2 </t>
    </r>
    <r>
      <rPr>
        <b/>
        <sz val="12"/>
        <rFont val="Arial"/>
        <family val="2"/>
      </rPr>
      <t>for t</t>
    </r>
    <r>
      <rPr>
        <b/>
        <vertAlign val="subscript"/>
        <sz val="12"/>
        <rFont val="Arial"/>
        <family val="2"/>
      </rPr>
      <t xml:space="preserve">ABSET </t>
    </r>
    <r>
      <rPr>
        <b/>
        <sz val="12"/>
        <rFont val="Arial"/>
        <family val="2"/>
      </rPr>
      <t>Delay Range</t>
    </r>
  </si>
  <si>
    <r>
      <t>Recalculate V</t>
    </r>
    <r>
      <rPr>
        <b/>
        <vertAlign val="subscript"/>
        <sz val="12"/>
        <rFont val="Arial"/>
        <family val="2"/>
      </rPr>
      <t>ADEL</t>
    </r>
    <r>
      <rPr>
        <b/>
        <sz val="12"/>
        <rFont val="Arial"/>
        <family val="2"/>
      </rPr>
      <t xml:space="preserve"> Based on R</t>
    </r>
    <r>
      <rPr>
        <b/>
        <vertAlign val="subscript"/>
        <sz val="12"/>
        <rFont val="Arial"/>
        <family val="2"/>
      </rPr>
      <t>DA1</t>
    </r>
    <r>
      <rPr>
        <b/>
        <sz val="12"/>
        <rFont val="Arial"/>
        <family val="2"/>
      </rPr>
      <t xml:space="preserve"> and R</t>
    </r>
    <r>
      <rPr>
        <b/>
        <vertAlign val="subscript"/>
        <sz val="12"/>
        <rFont val="Arial"/>
        <family val="2"/>
      </rPr>
      <t>DA2</t>
    </r>
    <r>
      <rPr>
        <b/>
        <sz val="12"/>
        <rFont val="Arial"/>
        <family val="2"/>
      </rPr>
      <t xml:space="preserve"> Selection</t>
    </r>
  </si>
  <si>
    <r>
      <t>Enter/Fine Tune t</t>
    </r>
    <r>
      <rPr>
        <b/>
        <vertAlign val="subscript"/>
        <sz val="12"/>
        <rFont val="Arial"/>
        <family val="2"/>
      </rPr>
      <t>ABSET</t>
    </r>
    <r>
      <rPr>
        <b/>
        <sz val="12"/>
        <rFont val="Arial"/>
        <family val="2"/>
      </rPr>
      <t xml:space="preserve"> Based on Valley Switching/ZVS</t>
    </r>
  </si>
  <si>
    <r>
      <t>Setting AB Initial Turn-on Delay (t</t>
    </r>
    <r>
      <rPr>
        <b/>
        <vertAlign val="subscript"/>
        <sz val="12"/>
        <color indexed="9"/>
        <rFont val="Arial"/>
        <family val="2"/>
      </rPr>
      <t>ABSET</t>
    </r>
    <r>
      <rPr>
        <b/>
        <sz val="12"/>
        <color indexed="9"/>
        <rFont val="Arial"/>
        <family val="2"/>
      </rPr>
      <t>)</t>
    </r>
  </si>
  <si>
    <r>
      <t>Setting CD Initial Turn-on Delay (t</t>
    </r>
    <r>
      <rPr>
        <b/>
        <vertAlign val="subscript"/>
        <sz val="12"/>
        <color indexed="9"/>
        <rFont val="Arial"/>
        <family val="2"/>
      </rPr>
      <t>CDSET</t>
    </r>
    <r>
      <rPr>
        <b/>
        <sz val="12"/>
        <color indexed="9"/>
        <rFont val="Arial"/>
        <family val="2"/>
      </rPr>
      <t>)</t>
    </r>
  </si>
  <si>
    <r>
      <t>R</t>
    </r>
    <r>
      <rPr>
        <b/>
        <vertAlign val="subscript"/>
        <sz val="12"/>
        <rFont val="Arial"/>
        <family val="2"/>
      </rPr>
      <t>CA1</t>
    </r>
  </si>
  <si>
    <r>
      <t>Select Standard Resistor for R</t>
    </r>
    <r>
      <rPr>
        <b/>
        <vertAlign val="subscript"/>
        <sz val="12"/>
        <rFont val="Arial"/>
        <family val="2"/>
      </rPr>
      <t xml:space="preserve">CA1 </t>
    </r>
    <r>
      <rPr>
        <b/>
        <sz val="12"/>
        <rFont val="Arial"/>
        <family val="2"/>
      </rPr>
      <t>for t</t>
    </r>
    <r>
      <rPr>
        <b/>
        <vertAlign val="subscript"/>
        <sz val="12"/>
        <rFont val="Arial"/>
        <family val="2"/>
      </rPr>
      <t xml:space="preserve">AFSET </t>
    </r>
    <r>
      <rPr>
        <b/>
        <sz val="12"/>
        <rFont val="Arial"/>
        <family val="2"/>
      </rPr>
      <t>Delay Range</t>
    </r>
  </si>
  <si>
    <r>
      <t>Calculate R</t>
    </r>
    <r>
      <rPr>
        <b/>
        <vertAlign val="subscript"/>
        <sz val="12"/>
        <rFont val="Arial"/>
        <family val="2"/>
      </rPr>
      <t>CA2</t>
    </r>
  </si>
  <si>
    <r>
      <t>R</t>
    </r>
    <r>
      <rPr>
        <b/>
        <vertAlign val="subscript"/>
        <sz val="12"/>
        <rFont val="Arial"/>
        <family val="2"/>
      </rPr>
      <t>CA2</t>
    </r>
  </si>
  <si>
    <t>Calculate Voltage at ADELEF pin to Meet Delay Range</t>
  </si>
  <si>
    <r>
      <t>V</t>
    </r>
    <r>
      <rPr>
        <b/>
        <vertAlign val="subscript"/>
        <sz val="12"/>
        <rFont val="Arial"/>
        <family val="2"/>
      </rPr>
      <t>ADELEF</t>
    </r>
  </si>
  <si>
    <r>
      <t>t</t>
    </r>
    <r>
      <rPr>
        <b/>
        <vertAlign val="subscript"/>
        <sz val="12"/>
        <rFont val="Arial"/>
        <family val="2"/>
      </rPr>
      <t xml:space="preserve">AFSET </t>
    </r>
    <r>
      <rPr>
        <b/>
        <sz val="12"/>
        <rFont val="Arial"/>
        <family val="2"/>
      </rPr>
      <t>= t</t>
    </r>
    <r>
      <rPr>
        <b/>
        <vertAlign val="subscript"/>
        <sz val="12"/>
        <rFont val="Arial"/>
        <family val="2"/>
      </rPr>
      <t>BESET</t>
    </r>
  </si>
  <si>
    <r>
      <t>Enter/Fine Tune t</t>
    </r>
    <r>
      <rPr>
        <b/>
        <vertAlign val="subscript"/>
        <sz val="12"/>
        <rFont val="Arial"/>
        <family val="2"/>
      </rPr>
      <t xml:space="preserve">AFSET </t>
    </r>
    <r>
      <rPr>
        <b/>
        <sz val="12"/>
        <rFont val="Arial"/>
        <family val="2"/>
      </rPr>
      <t>and t</t>
    </r>
    <r>
      <rPr>
        <b/>
        <vertAlign val="subscript"/>
        <sz val="12"/>
        <rFont val="Arial"/>
        <family val="2"/>
      </rPr>
      <t>AFSET</t>
    </r>
  </si>
  <si>
    <t>Select Standard Resistor Value</t>
  </si>
  <si>
    <r>
      <t>Setting AF and BE turnoff delay (t</t>
    </r>
    <r>
      <rPr>
        <b/>
        <vertAlign val="subscript"/>
        <sz val="12"/>
        <color indexed="9"/>
        <rFont val="Arial"/>
        <family val="2"/>
      </rPr>
      <t>AFSET</t>
    </r>
    <r>
      <rPr>
        <b/>
        <sz val="12"/>
        <color indexed="9"/>
        <rFont val="Arial"/>
        <family val="2"/>
      </rPr>
      <t>, t</t>
    </r>
    <r>
      <rPr>
        <b/>
        <vertAlign val="subscript"/>
        <sz val="12"/>
        <color indexed="9"/>
        <rFont val="Arial"/>
        <family val="2"/>
      </rPr>
      <t>BESET</t>
    </r>
    <r>
      <rPr>
        <b/>
        <sz val="12"/>
        <color indexed="9"/>
        <rFont val="Arial"/>
        <family val="2"/>
      </rPr>
      <t>)</t>
    </r>
  </si>
  <si>
    <t>Select Standard Capacitor Value</t>
  </si>
  <si>
    <t>Select Standard Resistor Value (Between 13K and 90K ohm)</t>
  </si>
  <si>
    <t>Select Standard Resistor Value(Between 13K and 90K ohm)</t>
  </si>
  <si>
    <t>This design tool was generated based on the information in application report SLUA560</t>
  </si>
  <si>
    <r>
      <t>Δ</t>
    </r>
    <r>
      <rPr>
        <b/>
        <sz val="12"/>
        <rFont val="Arial"/>
        <family val="2"/>
      </rPr>
      <t>I</t>
    </r>
    <r>
      <rPr>
        <b/>
        <vertAlign val="subscript"/>
        <sz val="12"/>
        <rFont val="Arial"/>
        <family val="2"/>
      </rPr>
      <t>LMAG</t>
    </r>
  </si>
  <si>
    <t>6. Note this design tool was generated to accompany application report     SLUA560</t>
  </si>
  <si>
    <t>Enter Design Parameters and Chosen Component Values in Yellow Cells</t>
  </si>
  <si>
    <r>
      <t>V</t>
    </r>
    <r>
      <rPr>
        <b/>
        <vertAlign val="subscript"/>
        <sz val="12"/>
        <rFont val="Arial"/>
        <family val="2"/>
      </rPr>
      <t>SLOPE1</t>
    </r>
  </si>
  <si>
    <r>
      <t>V</t>
    </r>
    <r>
      <rPr>
        <b/>
        <vertAlign val="subscript"/>
        <sz val="12"/>
        <rFont val="Arial"/>
        <family val="2"/>
      </rPr>
      <t>SLOPE2</t>
    </r>
  </si>
  <si>
    <r>
      <t>Calculate V</t>
    </r>
    <r>
      <rPr>
        <b/>
        <vertAlign val="subscript"/>
        <sz val="12"/>
        <rFont val="Arial"/>
        <family val="2"/>
      </rPr>
      <t>SLOPE1</t>
    </r>
  </si>
  <si>
    <r>
      <t>Calculate V</t>
    </r>
    <r>
      <rPr>
        <b/>
        <vertAlign val="subscript"/>
        <sz val="12"/>
        <rFont val="Arial"/>
        <family val="2"/>
      </rPr>
      <t>SLOPE2</t>
    </r>
  </si>
  <si>
    <t>Assumes the centre tapped secondary - as per Functional Schematic</t>
  </si>
  <si>
    <t>UCC28950 and UCC28951 Design Calculator</t>
  </si>
  <si>
    <t>Revision: E</t>
  </si>
  <si>
    <t>UCC28950 and UCC28951 Excel Design Tool: SLUC222E</t>
  </si>
  <si>
    <t>Important Notice and Disclaimer</t>
  </si>
  <si>
    <t xml:space="preserve">
TI PROVIDES TECHNICAL AND RELIABILITY DATA (INCLUDING DATASHEETS), DESIGN RESOURCES (INCLUDING REFERENCE DESIGNS), APPLICATION OR OTHER DESIGN ADVICE, WEB TOOLS, SAFETY INFORMATION, AND OTHER RESOURCES “AS IS” AND WITH ALL FAULTS, AND DISCLAIMS ALL WARRANTIES, EXPRESS AND IMPLIED, INCLUDING WITHOUT LIMITATION ANY IMPLIED WARRANTIES OF MERCHANTABILITY, FITNESS FOR A PARTICULAR PURPOSE OR NON-INFRINGEMENT OF THIRD PARTY INTELLECTUAL PROPERTY RIGHTS.
These resources are intended for skilled developers designing with TI products. You are solely responsible for (1) selecting the appropriate TI products for your application, (2) designing, validating and testing your application, and (3) ensuring your application meets applicable standards, and any other safety, security, regulatory or other requirements.
These resources are subject to change without notice. TI grants you permission to use these resources only for development of an application that uses the TI products described in the resource. Other reproduction and display of these resources is prohibited. No license is granted to any other TI intellectual property right or to any third party intellectual property right. TI disclaims responsibility for, and you will fully indemnify TI and its representatives against, any claims, damages, costs, losses, and liabilities arising out of your use of these resources.
TI’s products are provided subject to TI’s Terms of Sale or other applicable terms available either on ti.com or provided in conjunction with such TI products. TI’s provision of these resources does not expand or otherwise alter TI’s applicable warranties or warranty disclaimers for TI products.  
TI objects to and rejects any additional or different terms you may have proposed.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</si>
</sst>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35" x14ac:knownFonts="1">
    <font>
      <sz val="10"/>
      <name val="Arial"/>
    </font>
    <font>
      <sz val="10"/>
      <name val="Arial"/>
    </font>
    <font>
      <b/>
      <sz val="12"/>
      <name val="Arial"/>
      <family val="2"/>
    </font>
    <font>
      <b/>
      <sz val="26"/>
      <color indexed="10"/>
      <name val="Arial"/>
      <family val="2"/>
    </font>
    <font>
      <sz val="20"/>
      <name val="Arial"/>
      <family val="2"/>
    </font>
    <font>
      <b/>
      <vertAlign val="subscript"/>
      <sz val="12"/>
      <name val="Arial"/>
      <family val="2"/>
    </font>
    <font>
      <b/>
      <sz val="12"/>
      <color indexed="8"/>
      <name val="Arial"/>
      <family val="2"/>
    </font>
    <font>
      <sz val="10"/>
      <color indexed="10"/>
      <name val="Arial"/>
      <family val="2"/>
    </font>
    <font>
      <b/>
      <sz val="14"/>
      <color indexed="10"/>
      <name val="Arial"/>
      <family val="2"/>
    </font>
    <font>
      <b/>
      <sz val="10"/>
      <color indexed="12"/>
      <name val="Arial"/>
      <family val="2"/>
    </font>
    <font>
      <b/>
      <sz val="10"/>
      <color indexed="8"/>
      <name val="Arial"/>
      <family val="2"/>
    </font>
    <font>
      <b/>
      <sz val="10"/>
      <color indexed="17"/>
      <name val="Arial"/>
      <family val="2"/>
    </font>
    <font>
      <sz val="10"/>
      <color indexed="9"/>
      <name val="Arial"/>
      <family val="2"/>
    </font>
    <font>
      <b/>
      <sz val="10"/>
      <color indexed="9"/>
      <name val="Arial"/>
      <family val="2"/>
    </font>
    <font>
      <b/>
      <sz val="8"/>
      <name val="Arial"/>
      <family val="2"/>
    </font>
    <font>
      <sz val="8"/>
      <name val="Verdana"/>
      <family val="2"/>
    </font>
    <font>
      <sz val="10"/>
      <name val="Arial"/>
      <family val="2"/>
    </font>
    <font>
      <b/>
      <sz val="10"/>
      <color indexed="10"/>
      <name val="Arial"/>
      <family val="2"/>
    </font>
    <font>
      <sz val="10"/>
      <color indexed="22"/>
      <name val="Arial"/>
      <family val="2"/>
    </font>
    <font>
      <sz val="14"/>
      <name val="Arial"/>
      <family val="2"/>
    </font>
    <font>
      <sz val="12"/>
      <name val="Times New Roman"/>
      <family val="1"/>
    </font>
    <font>
      <sz val="8"/>
      <name val="Arial"/>
      <family val="2"/>
    </font>
    <font>
      <sz val="12"/>
      <name val="Arial"/>
      <family val="2"/>
    </font>
    <font>
      <b/>
      <sz val="12"/>
      <name val="Arial"/>
      <family val="2"/>
    </font>
    <font>
      <sz val="12"/>
      <name val="Arial"/>
      <family val="2"/>
    </font>
    <font>
      <vertAlign val="subscript"/>
      <sz val="10"/>
      <name val="Arial"/>
      <family val="2"/>
    </font>
    <font>
      <b/>
      <sz val="12"/>
      <color indexed="9"/>
      <name val="Arial"/>
      <family val="2"/>
    </font>
    <font>
      <b/>
      <vertAlign val="subscript"/>
      <sz val="12"/>
      <color indexed="9"/>
      <name val="Arial"/>
      <family val="2"/>
    </font>
    <font>
      <b/>
      <sz val="12"/>
      <color indexed="10"/>
      <name val="Arial"/>
      <family val="2"/>
    </font>
    <font>
      <b/>
      <sz val="12"/>
      <color indexed="53"/>
      <name val="Arial"/>
      <family val="2"/>
    </font>
    <font>
      <b/>
      <sz val="12"/>
      <color rgb="FFFF0000"/>
      <name val="Arial"/>
      <family val="2"/>
    </font>
    <font>
      <sz val="11"/>
      <color rgb="FF00B050"/>
      <name val="Calibri"/>
      <family val="2"/>
    </font>
    <font>
      <b/>
      <sz val="12"/>
      <color rgb="FF00B050"/>
      <name val="Arial"/>
      <family val="2"/>
    </font>
    <font>
      <sz val="26"/>
      <color rgb="FF000000"/>
      <name val="Arial Nova"/>
      <family val="2"/>
    </font>
    <font>
      <sz val="12"/>
      <color rgb="FF555555"/>
      <name val="Arial Nova"/>
      <family val="2"/>
    </font>
  </fonts>
  <fills count="1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indexed="31"/>
        <bgColor indexed="64"/>
      </patternFill>
    </fill>
    <fill>
      <patternFill patternType="solid">
        <fgColor indexed="26"/>
        <bgColor indexed="64"/>
      </patternFill>
    </fill>
    <fill>
      <patternFill patternType="solid">
        <fgColor indexed="34"/>
        <bgColor indexed="64"/>
      </patternFill>
    </fill>
    <fill>
      <patternFill patternType="solid">
        <fgColor indexed="8"/>
        <bgColor indexed="64"/>
      </patternFill>
    </fill>
    <fill>
      <patternFill patternType="solid">
        <fgColor indexed="12"/>
        <bgColor indexed="64"/>
      </patternFill>
    </fill>
    <fill>
      <patternFill patternType="solid">
        <fgColor indexed="10"/>
        <bgColor indexed="64"/>
      </patternFill>
    </fill>
    <fill>
      <patternFill patternType="solid">
        <fgColor indexed="13"/>
        <bgColor indexed="64"/>
      </patternFill>
    </fill>
    <fill>
      <patternFill patternType="solid">
        <fgColor indexed="23"/>
        <bgColor indexed="64"/>
      </patternFill>
    </fill>
  </fills>
  <borders count="22">
    <border>
      <left/>
      <right/>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9"/>
      </left>
      <right style="medium">
        <color indexed="9"/>
      </right>
      <top style="medium">
        <color indexed="9"/>
      </top>
      <bottom/>
      <diagonal/>
    </border>
    <border>
      <left style="medium">
        <color indexed="9"/>
      </left>
      <right style="medium">
        <color indexed="9"/>
      </right>
      <top/>
      <bottom/>
      <diagonal/>
    </border>
    <border>
      <left style="medium">
        <color indexed="9"/>
      </left>
      <right style="medium">
        <color indexed="9"/>
      </right>
      <top/>
      <bottom style="medium">
        <color indexed="9"/>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9"/>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9"/>
      </left>
      <right/>
      <top/>
      <bottom/>
      <diagonal/>
    </border>
    <border>
      <left style="medium">
        <color indexed="9"/>
      </left>
      <right/>
      <top style="medium">
        <color indexed="9"/>
      </top>
      <bottom/>
      <diagonal/>
    </border>
    <border>
      <left/>
      <right style="medium">
        <color indexed="9"/>
      </right>
      <top style="medium">
        <color indexed="9"/>
      </top>
      <bottom/>
      <diagonal/>
    </border>
  </borders>
  <cellStyleXfs count="1">
    <xf numFmtId="0" fontId="0" fillId="0" borderId="0"/>
  </cellStyleXfs>
  <cellXfs count="119">
    <xf numFmtId="0" fontId="0" fillId="0" borderId="0" xfId="0"/>
    <xf numFmtId="0" fontId="4" fillId="2" borderId="0" xfId="0" applyFont="1" applyFill="1" applyAlignment="1">
      <alignment vertical="center"/>
    </xf>
    <xf numFmtId="0" fontId="7" fillId="3" borderId="0" xfId="0" applyFont="1" applyFill="1" applyProtection="1">
      <protection hidden="1"/>
    </xf>
    <xf numFmtId="0" fontId="1" fillId="3" borderId="0" xfId="0" applyFont="1" applyFill="1" applyProtection="1">
      <protection hidden="1"/>
    </xf>
    <xf numFmtId="0" fontId="8" fillId="3" borderId="0" xfId="0" applyFont="1" applyFill="1" applyProtection="1">
      <protection hidden="1"/>
    </xf>
    <xf numFmtId="49" fontId="1" fillId="3" borderId="0" xfId="0" applyNumberFormat="1" applyFont="1" applyFill="1" applyProtection="1">
      <protection hidden="1"/>
    </xf>
    <xf numFmtId="0" fontId="7" fillId="3" borderId="1" xfId="0" applyFont="1" applyFill="1" applyBorder="1" applyProtection="1">
      <protection hidden="1"/>
    </xf>
    <xf numFmtId="0" fontId="1" fillId="3" borderId="2" xfId="0" applyFont="1" applyFill="1" applyBorder="1" applyProtection="1">
      <protection hidden="1"/>
    </xf>
    <xf numFmtId="0" fontId="9" fillId="4" borderId="3" xfId="0" applyFont="1" applyFill="1" applyBorder="1" applyProtection="1">
      <protection hidden="1"/>
    </xf>
    <xf numFmtId="1" fontId="7" fillId="3" borderId="0" xfId="0" applyNumberFormat="1" applyFont="1" applyFill="1" applyProtection="1">
      <protection hidden="1"/>
    </xf>
    <xf numFmtId="1" fontId="11" fillId="5" borderId="4" xfId="0" applyNumberFormat="1" applyFont="1" applyFill="1" applyBorder="1" applyAlignment="1" applyProtection="1">
      <alignment horizontal="center"/>
      <protection hidden="1"/>
    </xf>
    <xf numFmtId="0" fontId="11" fillId="5" borderId="5" xfId="0" applyFont="1" applyFill="1" applyBorder="1" applyProtection="1">
      <protection hidden="1"/>
    </xf>
    <xf numFmtId="0" fontId="10" fillId="6" borderId="6" xfId="0" applyFont="1" applyFill="1" applyBorder="1" applyAlignment="1">
      <alignment horizontal="center" wrapText="1"/>
    </xf>
    <xf numFmtId="0" fontId="10" fillId="6" borderId="7" xfId="0" applyFont="1" applyFill="1" applyBorder="1" applyAlignment="1">
      <alignment horizontal="center" wrapText="1"/>
    </xf>
    <xf numFmtId="0" fontId="10" fillId="7" borderId="6" xfId="0" applyFont="1" applyFill="1" applyBorder="1" applyAlignment="1">
      <alignment horizontal="center" wrapText="1"/>
    </xf>
    <xf numFmtId="0" fontId="10" fillId="7" borderId="8" xfId="0" applyFont="1" applyFill="1" applyBorder="1" applyAlignment="1">
      <alignment horizontal="center" wrapText="1"/>
    </xf>
    <xf numFmtId="0" fontId="9" fillId="4" borderId="9" xfId="0" applyFont="1" applyFill="1" applyBorder="1" applyAlignment="1" applyProtection="1">
      <alignment horizontal="center"/>
      <protection hidden="1"/>
    </xf>
    <xf numFmtId="0" fontId="9" fillId="4" borderId="10" xfId="0" applyFont="1" applyFill="1" applyBorder="1" applyProtection="1">
      <protection hidden="1"/>
    </xf>
    <xf numFmtId="0" fontId="1" fillId="3" borderId="11" xfId="0" applyFont="1" applyFill="1" applyBorder="1" applyProtection="1">
      <protection hidden="1"/>
    </xf>
    <xf numFmtId="1" fontId="12" fillId="3" borderId="0" xfId="0" applyNumberFormat="1" applyFont="1" applyFill="1" applyProtection="1">
      <protection hidden="1"/>
    </xf>
    <xf numFmtId="165" fontId="13" fillId="3" borderId="0" xfId="0" applyNumberFormat="1" applyFont="1" applyFill="1" applyAlignment="1" applyProtection="1">
      <alignment horizontal="center"/>
      <protection hidden="1"/>
    </xf>
    <xf numFmtId="2" fontId="12" fillId="3" borderId="0" xfId="0" applyNumberFormat="1" applyFont="1" applyFill="1" applyAlignment="1" applyProtection="1">
      <alignment horizontal="center"/>
      <protection hidden="1"/>
    </xf>
    <xf numFmtId="0" fontId="1" fillId="3" borderId="12" xfId="0" applyFont="1" applyFill="1" applyBorder="1" applyProtection="1">
      <protection hidden="1"/>
    </xf>
    <xf numFmtId="0" fontId="14" fillId="3" borderId="0" xfId="0" applyFont="1" applyFill="1" applyProtection="1">
      <protection hidden="1"/>
    </xf>
    <xf numFmtId="0" fontId="15" fillId="3" borderId="0" xfId="0" applyFont="1" applyFill="1" applyAlignment="1" applyProtection="1">
      <alignment horizontal="center" wrapText="1"/>
      <protection hidden="1"/>
    </xf>
    <xf numFmtId="2" fontId="1" fillId="3" borderId="0" xfId="0" applyNumberFormat="1" applyFont="1" applyFill="1" applyAlignment="1" applyProtection="1">
      <alignment horizontal="center"/>
      <protection hidden="1"/>
    </xf>
    <xf numFmtId="1" fontId="16" fillId="3" borderId="0" xfId="0" applyNumberFormat="1" applyFont="1" applyFill="1"/>
    <xf numFmtId="0" fontId="1" fillId="3" borderId="13" xfId="0" applyFont="1" applyFill="1" applyBorder="1" applyProtection="1">
      <protection hidden="1"/>
    </xf>
    <xf numFmtId="0" fontId="10" fillId="8" borderId="14" xfId="0" applyFont="1" applyFill="1" applyBorder="1" applyAlignment="1">
      <alignment horizontal="center" wrapText="1"/>
    </xf>
    <xf numFmtId="0" fontId="16" fillId="3" borderId="0" xfId="0" applyFont="1" applyFill="1" applyProtection="1">
      <protection hidden="1"/>
    </xf>
    <xf numFmtId="0" fontId="10" fillId="8" borderId="6" xfId="0" applyFont="1" applyFill="1" applyBorder="1" applyAlignment="1">
      <alignment horizontal="center" wrapText="1"/>
    </xf>
    <xf numFmtId="0" fontId="10" fillId="8" borderId="7" xfId="0" applyFont="1" applyFill="1" applyBorder="1" applyAlignment="1">
      <alignment horizontal="center" wrapText="1"/>
    </xf>
    <xf numFmtId="0" fontId="1" fillId="3" borderId="0" xfId="0" applyFont="1" applyFill="1" applyAlignment="1" applyProtection="1">
      <alignment horizontal="center"/>
      <protection hidden="1"/>
    </xf>
    <xf numFmtId="0" fontId="0" fillId="3" borderId="0" xfId="0" applyFill="1" applyAlignment="1">
      <alignment horizontal="center"/>
    </xf>
    <xf numFmtId="0" fontId="11" fillId="3" borderId="0" xfId="0" applyFont="1" applyFill="1" applyProtection="1">
      <protection hidden="1"/>
    </xf>
    <xf numFmtId="0" fontId="1" fillId="3" borderId="0" xfId="0" applyFont="1" applyFill="1"/>
    <xf numFmtId="49" fontId="17" fillId="5" borderId="6" xfId="0" applyNumberFormat="1" applyFont="1" applyFill="1" applyBorder="1" applyAlignment="1">
      <alignment horizontal="center" wrapText="1"/>
    </xf>
    <xf numFmtId="49" fontId="17" fillId="5" borderId="7" xfId="0" applyNumberFormat="1" applyFont="1" applyFill="1" applyBorder="1" applyAlignment="1">
      <alignment horizontal="center" wrapText="1"/>
    </xf>
    <xf numFmtId="0" fontId="18" fillId="3" borderId="0" xfId="0" applyFont="1" applyFill="1"/>
    <xf numFmtId="49" fontId="0" fillId="3" borderId="0" xfId="0" applyNumberFormat="1" applyFill="1"/>
    <xf numFmtId="49" fontId="17" fillId="5" borderId="8" xfId="0" applyNumberFormat="1" applyFont="1" applyFill="1" applyBorder="1" applyAlignment="1">
      <alignment horizontal="center" wrapText="1"/>
    </xf>
    <xf numFmtId="49" fontId="12" fillId="3" borderId="0" xfId="0" applyNumberFormat="1" applyFont="1" applyFill="1" applyProtection="1">
      <protection hidden="1"/>
    </xf>
    <xf numFmtId="0" fontId="12" fillId="3" borderId="0" xfId="0" applyFont="1" applyFill="1" applyProtection="1">
      <protection hidden="1"/>
    </xf>
    <xf numFmtId="0" fontId="17" fillId="3" borderId="0" xfId="0" applyFont="1" applyFill="1" applyAlignment="1" applyProtection="1">
      <alignment horizontal="center" wrapText="1"/>
      <protection hidden="1"/>
    </xf>
    <xf numFmtId="0" fontId="12" fillId="3" borderId="0" xfId="0" applyFont="1" applyFill="1"/>
    <xf numFmtId="0" fontId="19" fillId="3" borderId="0" xfId="0" applyFont="1" applyFill="1" applyProtection="1">
      <protection hidden="1"/>
    </xf>
    <xf numFmtId="0" fontId="0" fillId="3" borderId="0" xfId="0" applyFill="1" applyAlignment="1">
      <alignment wrapText="1"/>
    </xf>
    <xf numFmtId="0" fontId="0" fillId="3" borderId="0" xfId="0" applyFill="1" applyProtection="1">
      <protection hidden="1"/>
    </xf>
    <xf numFmtId="0" fontId="2" fillId="3" borderId="15" xfId="0" applyFont="1" applyFill="1" applyBorder="1" applyAlignment="1">
      <alignment horizontal="left"/>
    </xf>
    <xf numFmtId="0" fontId="2" fillId="9" borderId="15" xfId="0" applyFont="1" applyFill="1" applyBorder="1" applyAlignment="1" applyProtection="1">
      <alignment horizontal="left"/>
      <protection locked="0"/>
    </xf>
    <xf numFmtId="9" fontId="2" fillId="9" borderId="15" xfId="0" applyNumberFormat="1" applyFont="1" applyFill="1" applyBorder="1" applyAlignment="1" applyProtection="1">
      <alignment horizontal="left"/>
      <protection locked="0"/>
    </xf>
    <xf numFmtId="0" fontId="22" fillId="0" borderId="15" xfId="0" applyFont="1" applyBorder="1" applyAlignment="1">
      <alignment horizontal="left"/>
    </xf>
    <xf numFmtId="0" fontId="2" fillId="0" borderId="15" xfId="0" applyFont="1" applyBorder="1" applyAlignment="1">
      <alignment horizontal="left"/>
    </xf>
    <xf numFmtId="14" fontId="2" fillId="0" borderId="15" xfId="0" applyNumberFormat="1" applyFont="1" applyBorder="1" applyAlignment="1">
      <alignment horizontal="left"/>
    </xf>
    <xf numFmtId="0" fontId="2" fillId="0" borderId="15" xfId="0" applyFont="1" applyBorder="1" applyAlignment="1">
      <alignment horizontal="left" wrapText="1"/>
    </xf>
    <xf numFmtId="0" fontId="2" fillId="10" borderId="15" xfId="0" applyFont="1" applyFill="1" applyBorder="1" applyAlignment="1">
      <alignment horizontal="left"/>
    </xf>
    <xf numFmtId="0" fontId="2" fillId="11" borderId="15" xfId="0" applyFont="1" applyFill="1" applyBorder="1" applyAlignment="1">
      <alignment horizontal="left"/>
    </xf>
    <xf numFmtId="164" fontId="2" fillId="0" borderId="15" xfId="0" applyNumberFormat="1" applyFont="1" applyBorder="1" applyAlignment="1">
      <alignment horizontal="left"/>
    </xf>
    <xf numFmtId="2" fontId="2" fillId="0" borderId="15" xfId="0" applyNumberFormat="1" applyFont="1" applyBorder="1" applyAlignment="1">
      <alignment horizontal="left"/>
    </xf>
    <xf numFmtId="0" fontId="6" fillId="0" borderId="15" xfId="0" applyFont="1" applyBorder="1" applyAlignment="1">
      <alignment horizontal="left"/>
    </xf>
    <xf numFmtId="0" fontId="6" fillId="3" borderId="15" xfId="0" applyFont="1" applyFill="1" applyBorder="1" applyAlignment="1">
      <alignment horizontal="left"/>
    </xf>
    <xf numFmtId="0" fontId="2" fillId="3" borderId="15" xfId="0" applyFont="1" applyFill="1" applyBorder="1" applyAlignment="1">
      <alignment horizontal="left" wrapText="1"/>
    </xf>
    <xf numFmtId="1" fontId="2" fillId="3" borderId="15" xfId="0" applyNumberFormat="1" applyFont="1" applyFill="1" applyBorder="1" applyAlignment="1">
      <alignment horizontal="left"/>
    </xf>
    <xf numFmtId="0" fontId="22" fillId="3" borderId="15" xfId="0" applyFont="1" applyFill="1" applyBorder="1" applyAlignment="1">
      <alignment horizontal="left" wrapText="1"/>
    </xf>
    <xf numFmtId="0" fontId="2" fillId="0" borderId="15" xfId="0" applyFont="1" applyBorder="1" applyAlignment="1" applyProtection="1">
      <alignment horizontal="left"/>
      <protection locked="0"/>
    </xf>
    <xf numFmtId="0" fontId="2" fillId="11" borderId="15" xfId="0" applyFont="1" applyFill="1" applyBorder="1" applyAlignment="1">
      <alignment horizontal="left" wrapText="1"/>
    </xf>
    <xf numFmtId="164" fontId="11" fillId="5" borderId="16" xfId="0" applyNumberFormat="1" applyFont="1" applyFill="1" applyBorder="1" applyProtection="1">
      <protection hidden="1"/>
    </xf>
    <xf numFmtId="164" fontId="11" fillId="5" borderId="17" xfId="0" applyNumberFormat="1" applyFont="1" applyFill="1" applyBorder="1" applyProtection="1">
      <protection hidden="1"/>
    </xf>
    <xf numFmtId="164" fontId="11" fillId="5" borderId="18" xfId="0" applyNumberFormat="1" applyFont="1" applyFill="1" applyBorder="1" applyProtection="1">
      <protection hidden="1"/>
    </xf>
    <xf numFmtId="0" fontId="23" fillId="0" borderId="15" xfId="0" applyFont="1" applyBorder="1" applyAlignment="1">
      <alignment horizontal="left"/>
    </xf>
    <xf numFmtId="0" fontId="0" fillId="0" borderId="15" xfId="0" applyBorder="1"/>
    <xf numFmtId="0" fontId="0" fillId="0" borderId="15" xfId="0" applyBorder="1" applyAlignment="1">
      <alignment horizontal="left"/>
    </xf>
    <xf numFmtId="165" fontId="0" fillId="0" borderId="15" xfId="0" applyNumberFormat="1" applyBorder="1"/>
    <xf numFmtId="0" fontId="24" fillId="0" borderId="15" xfId="0" applyFont="1" applyBorder="1"/>
    <xf numFmtId="0" fontId="0" fillId="0" borderId="15" xfId="0" applyBorder="1" applyAlignment="1">
      <alignment wrapText="1"/>
    </xf>
    <xf numFmtId="0" fontId="26" fillId="11" borderId="15" xfId="0" applyFont="1" applyFill="1" applyBorder="1" applyAlignment="1">
      <alignment horizontal="left"/>
    </xf>
    <xf numFmtId="0" fontId="26" fillId="12" borderId="15" xfId="0" applyFont="1" applyFill="1" applyBorder="1" applyAlignment="1">
      <alignment horizontal="left"/>
    </xf>
    <xf numFmtId="14" fontId="26" fillId="12" borderId="15" xfId="0" applyNumberFormat="1" applyFont="1" applyFill="1" applyBorder="1" applyAlignment="1">
      <alignment horizontal="left"/>
    </xf>
    <xf numFmtId="0" fontId="28" fillId="0" borderId="15" xfId="0" applyFont="1" applyBorder="1" applyAlignment="1">
      <alignment horizontal="left"/>
    </xf>
    <xf numFmtId="0" fontId="28" fillId="3" borderId="15" xfId="0" applyFont="1" applyFill="1" applyBorder="1" applyAlignment="1">
      <alignment horizontal="left"/>
    </xf>
    <xf numFmtId="0" fontId="4" fillId="2" borderId="0" xfId="0" applyFont="1" applyFill="1" applyAlignment="1">
      <alignment horizontal="left" vertical="center" wrapText="1"/>
    </xf>
    <xf numFmtId="0" fontId="6" fillId="13" borderId="15" xfId="0" applyFont="1" applyFill="1" applyBorder="1" applyAlignment="1">
      <alignment horizontal="left"/>
    </xf>
    <xf numFmtId="14" fontId="6" fillId="13" borderId="15" xfId="0" applyNumberFormat="1" applyFont="1" applyFill="1" applyBorder="1" applyAlignment="1">
      <alignment horizontal="left"/>
    </xf>
    <xf numFmtId="0" fontId="26" fillId="14" borderId="15" xfId="0" applyFont="1" applyFill="1" applyBorder="1" applyAlignment="1">
      <alignment horizontal="left"/>
    </xf>
    <xf numFmtId="14" fontId="26" fillId="14" borderId="15" xfId="0" applyNumberFormat="1" applyFont="1" applyFill="1" applyBorder="1" applyAlignment="1">
      <alignment horizontal="left"/>
    </xf>
    <xf numFmtId="0" fontId="29" fillId="0" borderId="15" xfId="0" applyFont="1" applyBorder="1" applyAlignment="1">
      <alignment horizontal="left"/>
    </xf>
    <xf numFmtId="2" fontId="28" fillId="0" borderId="15" xfId="0" applyNumberFormat="1" applyFont="1" applyBorder="1" applyAlignment="1">
      <alignment horizontal="left"/>
    </xf>
    <xf numFmtId="2" fontId="2" fillId="13" borderId="15" xfId="0" applyNumberFormat="1" applyFont="1" applyFill="1" applyBorder="1" applyAlignment="1" applyProtection="1">
      <alignment horizontal="left"/>
      <protection locked="0"/>
    </xf>
    <xf numFmtId="2" fontId="2" fillId="3" borderId="15" xfId="0" applyNumberFormat="1" applyFont="1" applyFill="1" applyBorder="1" applyAlignment="1">
      <alignment horizontal="left"/>
    </xf>
    <xf numFmtId="2" fontId="26" fillId="12" borderId="15" xfId="0" applyNumberFormat="1" applyFont="1" applyFill="1" applyBorder="1" applyAlignment="1">
      <alignment horizontal="left"/>
    </xf>
    <xf numFmtId="2" fontId="6" fillId="13" borderId="15" xfId="0" applyNumberFormat="1" applyFont="1" applyFill="1" applyBorder="1" applyAlignment="1">
      <alignment horizontal="left"/>
    </xf>
    <xf numFmtId="2" fontId="26" fillId="14" borderId="15" xfId="0" applyNumberFormat="1" applyFont="1" applyFill="1" applyBorder="1" applyAlignment="1">
      <alignment horizontal="left"/>
    </xf>
    <xf numFmtId="2" fontId="2" fillId="9" borderId="15" xfId="0" applyNumberFormat="1" applyFont="1" applyFill="1" applyBorder="1" applyAlignment="1" applyProtection="1">
      <alignment horizontal="left"/>
      <protection locked="0"/>
    </xf>
    <xf numFmtId="2" fontId="2" fillId="10" borderId="15" xfId="0" applyNumberFormat="1" applyFont="1" applyFill="1" applyBorder="1" applyAlignment="1">
      <alignment horizontal="left"/>
    </xf>
    <xf numFmtId="2" fontId="26" fillId="11" borderId="15" xfId="0" applyNumberFormat="1" applyFont="1" applyFill="1" applyBorder="1" applyAlignment="1">
      <alignment horizontal="left"/>
    </xf>
    <xf numFmtId="2" fontId="2" fillId="11" borderId="15" xfId="0" applyNumberFormat="1" applyFont="1" applyFill="1" applyBorder="1" applyAlignment="1">
      <alignment horizontal="left"/>
    </xf>
    <xf numFmtId="2" fontId="22" fillId="0" borderId="15" xfId="0" applyNumberFormat="1" applyFont="1" applyBorder="1" applyAlignment="1">
      <alignment horizontal="left"/>
    </xf>
    <xf numFmtId="2" fontId="6" fillId="3" borderId="15" xfId="0" applyNumberFormat="1" applyFont="1" applyFill="1" applyBorder="1" applyAlignment="1">
      <alignment horizontal="left"/>
    </xf>
    <xf numFmtId="2" fontId="20" fillId="0" borderId="15" xfId="0" applyNumberFormat="1" applyFont="1" applyBorder="1" applyAlignment="1">
      <alignment horizontal="left"/>
    </xf>
    <xf numFmtId="0" fontId="30" fillId="0" borderId="15" xfId="0" applyFont="1" applyBorder="1" applyAlignment="1">
      <alignment horizontal="left"/>
    </xf>
    <xf numFmtId="0" fontId="31" fillId="0" borderId="0" xfId="0" applyFont="1" applyAlignment="1">
      <alignment vertical="center"/>
    </xf>
    <xf numFmtId="0" fontId="32" fillId="0" borderId="15" xfId="0" applyFont="1" applyBorder="1" applyAlignment="1">
      <alignment horizontal="left"/>
    </xf>
    <xf numFmtId="165" fontId="2" fillId="13" borderId="15" xfId="0" applyNumberFormat="1" applyFont="1" applyFill="1" applyBorder="1" applyAlignment="1" applyProtection="1">
      <alignment horizontal="left"/>
      <protection locked="0"/>
    </xf>
    <xf numFmtId="0" fontId="4" fillId="2" borderId="0" xfId="0" applyFont="1" applyFill="1" applyAlignment="1">
      <alignment horizontal="left" vertical="center" wrapText="1"/>
    </xf>
    <xf numFmtId="0" fontId="0" fillId="2" borderId="0" xfId="0" applyFill="1" applyAlignment="1">
      <alignment horizontal="center"/>
    </xf>
    <xf numFmtId="0" fontId="4" fillId="2" borderId="0" xfId="0" applyFont="1" applyFill="1" applyAlignment="1">
      <alignment horizontal="left" vertical="center"/>
    </xf>
    <xf numFmtId="0" fontId="3" fillId="2" borderId="0" xfId="0" applyFont="1" applyFill="1" applyAlignment="1">
      <alignment horizontal="center" vertical="center"/>
    </xf>
    <xf numFmtId="0" fontId="4" fillId="2" borderId="0" xfId="0" applyFont="1" applyFill="1" applyAlignment="1">
      <alignment vertical="center" wrapText="1"/>
    </xf>
    <xf numFmtId="0" fontId="33" fillId="0" borderId="0" xfId="0" applyFont="1" applyAlignment="1">
      <alignment horizontal="left" vertical="center"/>
    </xf>
    <xf numFmtId="0" fontId="34" fillId="0" borderId="0" xfId="0" applyFont="1" applyAlignment="1">
      <alignment horizontal="left" vertical="top" wrapText="1"/>
    </xf>
    <xf numFmtId="0" fontId="17" fillId="3" borderId="0" xfId="0" applyFont="1" applyFill="1" applyAlignment="1" applyProtection="1">
      <alignment horizontal="center" wrapText="1"/>
      <protection hidden="1"/>
    </xf>
    <xf numFmtId="0" fontId="10" fillId="6" borderId="19" xfId="0" applyFont="1" applyFill="1" applyBorder="1" applyAlignment="1">
      <alignment horizontal="center" wrapText="1"/>
    </xf>
    <xf numFmtId="0" fontId="10" fillId="6" borderId="14" xfId="0" applyFont="1" applyFill="1" applyBorder="1" applyAlignment="1">
      <alignment horizontal="center" wrapText="1"/>
    </xf>
    <xf numFmtId="0" fontId="10" fillId="7" borderId="20" xfId="0" applyFont="1" applyFill="1" applyBorder="1" applyAlignment="1">
      <alignment horizontal="center" wrapText="1"/>
    </xf>
    <xf numFmtId="0" fontId="10" fillId="7" borderId="21" xfId="0" applyFont="1" applyFill="1" applyBorder="1" applyAlignment="1">
      <alignment horizontal="center" wrapText="1"/>
    </xf>
    <xf numFmtId="0" fontId="10" fillId="8" borderId="19" xfId="0" applyFont="1" applyFill="1" applyBorder="1" applyAlignment="1">
      <alignment horizontal="center" wrapText="1"/>
    </xf>
    <xf numFmtId="0" fontId="10" fillId="8" borderId="14" xfId="0" applyFont="1" applyFill="1" applyBorder="1" applyAlignment="1">
      <alignment horizontal="center" wrapText="1"/>
    </xf>
    <xf numFmtId="49" fontId="17" fillId="5" borderId="19" xfId="0" applyNumberFormat="1" applyFont="1" applyFill="1" applyBorder="1" applyAlignment="1">
      <alignment horizontal="center" wrapText="1"/>
    </xf>
    <xf numFmtId="49" fontId="17" fillId="5" borderId="0" xfId="0" applyNumberFormat="1"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Tv(f) Frequency Response</a:t>
            </a:r>
          </a:p>
        </c:rich>
      </c:tx>
      <c:layout>
        <c:manualLayout>
          <c:xMode val="edge"/>
          <c:yMode val="edge"/>
          <c:x val="0.35753466278671686"/>
          <c:y val="3.0022812568989622E-2"/>
        </c:manualLayout>
      </c:layout>
      <c:overlay val="0"/>
      <c:spPr>
        <a:noFill/>
        <a:ln w="25400">
          <a:noFill/>
        </a:ln>
      </c:spPr>
    </c:title>
    <c:autoTitleDeleted val="0"/>
    <c:plotArea>
      <c:layout>
        <c:manualLayout>
          <c:layoutTarget val="inner"/>
          <c:xMode val="edge"/>
          <c:yMode val="edge"/>
          <c:x val="0.10273979474782932"/>
          <c:y val="0.11778304275115783"/>
          <c:w val="0.78630189580338705"/>
          <c:h val="0.72979297077187988"/>
        </c:manualLayout>
      </c:layout>
      <c:scatterChart>
        <c:scatterStyle val="smoothMarker"/>
        <c:varyColors val="0"/>
        <c:ser>
          <c:idx val="0"/>
          <c:order val="0"/>
          <c:tx>
            <c:strRef>
              <c:f>'Voltage Loop'!$M$1</c:f>
              <c:strCache>
                <c:ptCount val="1"/>
                <c:pt idx="0">
                  <c:v>TvdB(f)</c:v>
                </c:pt>
              </c:strCache>
            </c:strRef>
          </c:tx>
          <c:spPr>
            <a:ln w="25400">
              <a:solidFill>
                <a:srgbClr val="000000"/>
              </a:solidFill>
              <a:prstDash val="solid"/>
            </a:ln>
          </c:spPr>
          <c:marker>
            <c:symbol val="none"/>
          </c:marker>
          <c:xVal>
            <c:numRef>
              <c:f>'Voltage Loop'!$B$2:$B$101</c:f>
              <c:numCache>
                <c:formatCode>General</c:formatCode>
                <c:ptCount val="100"/>
                <c:pt idx="0">
                  <c:v>100</c:v>
                </c:pt>
                <c:pt idx="1">
                  <c:v>1000</c:v>
                </c:pt>
                <c:pt idx="2">
                  <c:v>3000</c:v>
                </c:pt>
                <c:pt idx="3">
                  <c:v>4000</c:v>
                </c:pt>
                <c:pt idx="4">
                  <c:v>5000</c:v>
                </c:pt>
                <c:pt idx="5">
                  <c:v>6000</c:v>
                </c:pt>
                <c:pt idx="6">
                  <c:v>7000.0000000000009</c:v>
                </c:pt>
                <c:pt idx="7">
                  <c:v>8000</c:v>
                </c:pt>
                <c:pt idx="8">
                  <c:v>9000</c:v>
                </c:pt>
                <c:pt idx="9">
                  <c:v>10000</c:v>
                </c:pt>
                <c:pt idx="10">
                  <c:v>11000</c:v>
                </c:pt>
                <c:pt idx="11">
                  <c:v>12000</c:v>
                </c:pt>
                <c:pt idx="12">
                  <c:v>13000</c:v>
                </c:pt>
                <c:pt idx="13">
                  <c:v>14000.000000000002</c:v>
                </c:pt>
                <c:pt idx="14">
                  <c:v>15000</c:v>
                </c:pt>
                <c:pt idx="15">
                  <c:v>16000</c:v>
                </c:pt>
                <c:pt idx="16">
                  <c:v>17000</c:v>
                </c:pt>
                <c:pt idx="17">
                  <c:v>18000</c:v>
                </c:pt>
                <c:pt idx="18">
                  <c:v>19000</c:v>
                </c:pt>
                <c:pt idx="19">
                  <c:v>20000</c:v>
                </c:pt>
                <c:pt idx="20">
                  <c:v>21000</c:v>
                </c:pt>
                <c:pt idx="21">
                  <c:v>22000</c:v>
                </c:pt>
                <c:pt idx="22">
                  <c:v>23000</c:v>
                </c:pt>
                <c:pt idx="23">
                  <c:v>24000</c:v>
                </c:pt>
                <c:pt idx="24">
                  <c:v>25000</c:v>
                </c:pt>
                <c:pt idx="25">
                  <c:v>26000</c:v>
                </c:pt>
                <c:pt idx="26">
                  <c:v>27000</c:v>
                </c:pt>
                <c:pt idx="27">
                  <c:v>28000.000000000004</c:v>
                </c:pt>
                <c:pt idx="28">
                  <c:v>28999.999999999996</c:v>
                </c:pt>
                <c:pt idx="29">
                  <c:v>30000</c:v>
                </c:pt>
                <c:pt idx="30">
                  <c:v>31000</c:v>
                </c:pt>
                <c:pt idx="31">
                  <c:v>32000</c:v>
                </c:pt>
                <c:pt idx="32">
                  <c:v>33000</c:v>
                </c:pt>
                <c:pt idx="33">
                  <c:v>34000</c:v>
                </c:pt>
                <c:pt idx="34">
                  <c:v>35000</c:v>
                </c:pt>
                <c:pt idx="35">
                  <c:v>36000</c:v>
                </c:pt>
                <c:pt idx="36">
                  <c:v>37000</c:v>
                </c:pt>
                <c:pt idx="37">
                  <c:v>38000</c:v>
                </c:pt>
                <c:pt idx="38">
                  <c:v>39000</c:v>
                </c:pt>
                <c:pt idx="39">
                  <c:v>40000</c:v>
                </c:pt>
                <c:pt idx="40">
                  <c:v>41000</c:v>
                </c:pt>
                <c:pt idx="41">
                  <c:v>42000</c:v>
                </c:pt>
                <c:pt idx="42">
                  <c:v>43000</c:v>
                </c:pt>
                <c:pt idx="43">
                  <c:v>44000</c:v>
                </c:pt>
                <c:pt idx="44">
                  <c:v>45000</c:v>
                </c:pt>
                <c:pt idx="45">
                  <c:v>46000</c:v>
                </c:pt>
                <c:pt idx="46">
                  <c:v>47000</c:v>
                </c:pt>
                <c:pt idx="47">
                  <c:v>48000</c:v>
                </c:pt>
                <c:pt idx="48">
                  <c:v>49000</c:v>
                </c:pt>
                <c:pt idx="49">
                  <c:v>50000</c:v>
                </c:pt>
                <c:pt idx="50">
                  <c:v>51000</c:v>
                </c:pt>
                <c:pt idx="51">
                  <c:v>52000</c:v>
                </c:pt>
                <c:pt idx="52">
                  <c:v>53000</c:v>
                </c:pt>
                <c:pt idx="53">
                  <c:v>54000</c:v>
                </c:pt>
                <c:pt idx="54">
                  <c:v>55000.000000000007</c:v>
                </c:pt>
                <c:pt idx="55">
                  <c:v>56000.000000000007</c:v>
                </c:pt>
                <c:pt idx="56">
                  <c:v>56999.999999999993</c:v>
                </c:pt>
                <c:pt idx="57">
                  <c:v>57999.999999999993</c:v>
                </c:pt>
                <c:pt idx="58">
                  <c:v>59000</c:v>
                </c:pt>
                <c:pt idx="59">
                  <c:v>60000</c:v>
                </c:pt>
                <c:pt idx="60">
                  <c:v>61000</c:v>
                </c:pt>
                <c:pt idx="61">
                  <c:v>62000</c:v>
                </c:pt>
                <c:pt idx="62">
                  <c:v>63000</c:v>
                </c:pt>
                <c:pt idx="63">
                  <c:v>64000</c:v>
                </c:pt>
                <c:pt idx="64">
                  <c:v>65000</c:v>
                </c:pt>
                <c:pt idx="65">
                  <c:v>66000</c:v>
                </c:pt>
                <c:pt idx="66">
                  <c:v>67000</c:v>
                </c:pt>
                <c:pt idx="67">
                  <c:v>68000</c:v>
                </c:pt>
                <c:pt idx="68">
                  <c:v>69000</c:v>
                </c:pt>
                <c:pt idx="69">
                  <c:v>70000</c:v>
                </c:pt>
                <c:pt idx="70">
                  <c:v>71000</c:v>
                </c:pt>
                <c:pt idx="71">
                  <c:v>72000</c:v>
                </c:pt>
                <c:pt idx="72">
                  <c:v>73000</c:v>
                </c:pt>
                <c:pt idx="73">
                  <c:v>74000</c:v>
                </c:pt>
                <c:pt idx="74">
                  <c:v>75000</c:v>
                </c:pt>
                <c:pt idx="75">
                  <c:v>76000</c:v>
                </c:pt>
                <c:pt idx="76">
                  <c:v>77000</c:v>
                </c:pt>
                <c:pt idx="77">
                  <c:v>78000</c:v>
                </c:pt>
                <c:pt idx="78">
                  <c:v>79000</c:v>
                </c:pt>
                <c:pt idx="79">
                  <c:v>80000</c:v>
                </c:pt>
                <c:pt idx="80">
                  <c:v>81000</c:v>
                </c:pt>
                <c:pt idx="81">
                  <c:v>82000</c:v>
                </c:pt>
                <c:pt idx="82">
                  <c:v>83000</c:v>
                </c:pt>
                <c:pt idx="83">
                  <c:v>84000</c:v>
                </c:pt>
                <c:pt idx="84">
                  <c:v>85000</c:v>
                </c:pt>
                <c:pt idx="85">
                  <c:v>86000</c:v>
                </c:pt>
                <c:pt idx="86">
                  <c:v>87000</c:v>
                </c:pt>
                <c:pt idx="87">
                  <c:v>88000</c:v>
                </c:pt>
                <c:pt idx="88">
                  <c:v>89000</c:v>
                </c:pt>
                <c:pt idx="89">
                  <c:v>90000</c:v>
                </c:pt>
                <c:pt idx="90">
                  <c:v>91000</c:v>
                </c:pt>
                <c:pt idx="91">
                  <c:v>92000</c:v>
                </c:pt>
                <c:pt idx="92">
                  <c:v>93000</c:v>
                </c:pt>
                <c:pt idx="93">
                  <c:v>94000</c:v>
                </c:pt>
                <c:pt idx="94">
                  <c:v>95000</c:v>
                </c:pt>
                <c:pt idx="95">
                  <c:v>96000</c:v>
                </c:pt>
                <c:pt idx="96">
                  <c:v>97000</c:v>
                </c:pt>
                <c:pt idx="97">
                  <c:v>98000</c:v>
                </c:pt>
                <c:pt idx="98">
                  <c:v>99000</c:v>
                </c:pt>
                <c:pt idx="99">
                  <c:v>100000</c:v>
                </c:pt>
              </c:numCache>
            </c:numRef>
          </c:xVal>
          <c:yVal>
            <c:numRef>
              <c:f>'Voltage Loop'!$M$2:$M$101</c:f>
              <c:numCache>
                <c:formatCode>General</c:formatCode>
                <c:ptCount val="100"/>
                <c:pt idx="0">
                  <c:v>33.097426665024457</c:v>
                </c:pt>
                <c:pt idx="1">
                  <c:v>4.5933996155966765</c:v>
                </c:pt>
                <c:pt idx="2">
                  <c:v>-4.9911482483727374</c:v>
                </c:pt>
                <c:pt idx="3">
                  <c:v>-7.3492755501647693</c:v>
                </c:pt>
                <c:pt idx="4">
                  <c:v>-9.1219338873201945</c:v>
                </c:pt>
                <c:pt idx="5">
                  <c:v>-10.530492172518013</c:v>
                </c:pt>
                <c:pt idx="6">
                  <c:v>-11.694271878320961</c:v>
                </c:pt>
                <c:pt idx="7">
                  <c:v>-12.684504110189499</c:v>
                </c:pt>
                <c:pt idx="8">
                  <c:v>-13.546465882128704</c:v>
                </c:pt>
                <c:pt idx="9">
                  <c:v>-14.31021488533114</c:v>
                </c:pt>
                <c:pt idx="10">
                  <c:v>-14.99640289903609</c:v>
                </c:pt>
                <c:pt idx="11">
                  <c:v>-15.619656515867495</c:v>
                </c:pt>
                <c:pt idx="12">
                  <c:v>-16.190636150679744</c:v>
                </c:pt>
                <c:pt idx="13">
                  <c:v>-16.717330575500441</c:v>
                </c:pt>
                <c:pt idx="14">
                  <c:v>-17.205890819487987</c:v>
                </c:pt>
                <c:pt idx="15">
                  <c:v>-17.661178638320763</c:v>
                </c:pt>
                <c:pt idx="16">
                  <c:v>-18.087134368989894</c:v>
                </c:pt>
                <c:pt idx="17">
                  <c:v>-18.48702847170037</c:v>
                </c:pt>
                <c:pt idx="18">
                  <c:v>-18.863636948140808</c:v>
                </c:pt>
                <c:pt idx="19">
                  <c:v>-19.219366139699282</c:v>
                </c:pt>
                <c:pt idx="20">
                  <c:v>-19.556343307486223</c:v>
                </c:pt>
                <c:pt idx="21">
                  <c:v>-19.876483671099564</c:v>
                </c:pt>
                <c:pt idx="22">
                  <c:v>-20.181540931936382</c:v>
                </c:pt>
                <c:pt idx="23">
                  <c:v>-20.473145945675213</c:v>
                </c:pt>
                <c:pt idx="24">
                  <c:v>-20.752836659321609</c:v>
                </c:pt>
                <c:pt idx="25">
                  <c:v>-21.022081396331224</c:v>
                </c:pt>
                <c:pt idx="26">
                  <c:v>-21.282296875831509</c:v>
                </c:pt>
                <c:pt idx="27">
                  <c:v>-21.53486187471788</c:v>
                </c:pt>
                <c:pt idx="28">
                  <c:v>-21.781127113250889</c:v>
                </c:pt>
                <c:pt idx="29">
                  <c:v>-22.022421721755038</c:v>
                </c:pt>
                <c:pt idx="30">
                  <c:v>-22.260056501437315</c:v>
                </c:pt>
                <c:pt idx="31">
                  <c:v>-22.495324110444656</c:v>
                </c:pt>
                <c:pt idx="32">
                  <c:v>-22.729496277872393</c:v>
                </c:pt>
                <c:pt idx="33">
                  <c:v>-22.963818167679708</c:v>
                </c:pt>
                <c:pt idx="34">
                  <c:v>-23.199500076372107</c:v>
                </c:pt>
                <c:pt idx="35">
                  <c:v>-23.437706746606779</c:v>
                </c:pt>
                <c:pt idx="36">
                  <c:v>-23.679544704494006</c:v>
                </c:pt>
                <c:pt idx="37">
                  <c:v>-23.926048168395113</c:v>
                </c:pt>
                <c:pt idx="38">
                  <c:v>-24.178164214707852</c:v>
                </c:pt>
                <c:pt idx="39">
                  <c:v>-24.436738001837046</c:v>
                </c:pt>
                <c:pt idx="40">
                  <c:v>-24.702498926937899</c:v>
                </c:pt>
                <c:pt idx="41">
                  <c:v>-24.976048603089652</c:v>
                </c:pt>
                <c:pt idx="42">
                  <c:v>-25.25785148519212</c:v>
                </c:pt>
                <c:pt idx="43">
                  <c:v>-25.548228837800998</c:v>
                </c:pt>
                <c:pt idx="44">
                  <c:v>-25.847356534854917</c:v>
                </c:pt>
                <c:pt idx="45">
                  <c:v>-26.155266927822865</c:v>
                </c:pt>
                <c:pt idx="46">
                  <c:v>-26.47185474155911</c:v>
                </c:pt>
                <c:pt idx="47">
                  <c:v>-26.796886686463573</c:v>
                </c:pt>
                <c:pt idx="48">
                  <c:v>-27.130014240831891</c:v>
                </c:pt>
                <c:pt idx="49">
                  <c:v>-27.470788882039471</c:v>
                </c:pt>
                <c:pt idx="50">
                  <c:v>-27.818678943628594</c:v>
                </c:pt>
                <c:pt idx="51">
                  <c:v>-28.17308725077239</c:v>
                </c:pt>
                <c:pt idx="52">
                  <c:v>-28.533368732215706</c:v>
                </c:pt>
                <c:pt idx="53">
                  <c:v>-28.898847308199009</c:v>
                </c:pt>
                <c:pt idx="54">
                  <c:v>-29.268831492333021</c:v>
                </c:pt>
                <c:pt idx="55">
                  <c:v>-29.642628301375922</c:v>
                </c:pt>
                <c:pt idx="56">
                  <c:v>-30.019555222856784</c:v>
                </c:pt>
                <c:pt idx="57">
                  <c:v>-30.398950132894306</c:v>
                </c:pt>
                <c:pt idx="58">
                  <c:v>-30.780179176419335</c:v>
                </c:pt>
                <c:pt idx="59">
                  <c:v>-31.162642714936556</c:v>
                </c:pt>
                <c:pt idx="60">
                  <c:v>-31.545779512332679</c:v>
                </c:pt>
                <c:pt idx="61">
                  <c:v>-31.929069369230447</c:v>
                </c:pt>
                <c:pt idx="62">
                  <c:v>-32.312034434825819</c:v>
                </c:pt>
                <c:pt idx="63">
                  <c:v>-32.694239426626936</c:v>
                </c:pt>
                <c:pt idx="64">
                  <c:v>-33.075290977666924</c:v>
                </c:pt>
                <c:pt idx="65">
                  <c:v>-33.454836311793642</c:v>
                </c:pt>
                <c:pt idx="66">
                  <c:v>-33.832561424050851</c:v>
                </c:pt>
                <c:pt idx="67">
                  <c:v>-34.208188917723959</c:v>
                </c:pt>
                <c:pt idx="68">
                  <c:v>-34.581475624313079</c:v>
                </c:pt>
                <c:pt idx="69">
                  <c:v>-34.952210108868968</c:v>
                </c:pt>
                <c:pt idx="70">
                  <c:v>-35.320210141595318</c:v>
                </c:pt>
                <c:pt idx="71">
                  <c:v>-35.685320197781735</c:v>
                </c:pt>
                <c:pt idx="72">
                  <c:v>-36.047409032092979</c:v>
                </c:pt>
                <c:pt idx="73">
                  <c:v>-36.406367359909048</c:v>
                </c:pt>
                <c:pt idx="74">
                  <c:v>-36.762105667572953</c:v>
                </c:pt>
                <c:pt idx="75">
                  <c:v>-37.114552164779468</c:v>
                </c:pt>
                <c:pt idx="76">
                  <c:v>-37.463650885625327</c:v>
                </c:pt>
                <c:pt idx="77">
                  <c:v>-37.809359939736098</c:v>
                </c:pt>
                <c:pt idx="78">
                  <c:v>-38.15164991111547</c:v>
                </c:pt>
                <c:pt idx="79">
                  <c:v>-38.490502399662617</c:v>
                </c:pt>
                <c:pt idx="80">
                  <c:v>-38.825908698467288</c:v>
                </c:pt>
                <c:pt idx="81">
                  <c:v>-39.157868598825225</c:v>
                </c:pt>
                <c:pt idx="82">
                  <c:v>-39.486389314265921</c:v>
                </c:pt>
                <c:pt idx="83">
                  <c:v>-39.811484514621128</c:v>
                </c:pt>
                <c:pt idx="84">
                  <c:v>-40.133173461187482</c:v>
                </c:pt>
                <c:pt idx="85">
                  <c:v>-40.451480234265837</c:v>
                </c:pt>
                <c:pt idx="86">
                  <c:v>-40.766433044725225</c:v>
                </c:pt>
                <c:pt idx="87">
                  <c:v>-41.078063621700622</c:v>
                </c:pt>
                <c:pt idx="88">
                  <c:v>-41.386406669049322</c:v>
                </c:pt>
                <c:pt idx="89">
                  <c:v>-41.691499383723638</c:v>
                </c:pt>
                <c:pt idx="90">
                  <c:v>-41.993381029765402</c:v>
                </c:pt>
                <c:pt idx="91">
                  <c:v>-42.29209256216123</c:v>
                </c:pt>
                <c:pt idx="92">
                  <c:v>-42.587676295306807</c:v>
                </c:pt>
                <c:pt idx="93">
                  <c:v>-42.880175611321931</c:v>
                </c:pt>
                <c:pt idx="94">
                  <c:v>-43.169634703908777</c:v>
                </c:pt>
                <c:pt idx="95">
                  <c:v>-43.45609835387463</c:v>
                </c:pt>
                <c:pt idx="96">
                  <c:v>-43.739611732826319</c:v>
                </c:pt>
                <c:pt idx="97">
                  <c:v>-44.020220231906976</c:v>
                </c:pt>
                <c:pt idx="98">
                  <c:v>-44.297969312766767</c:v>
                </c:pt>
                <c:pt idx="99">
                  <c:v>-44.572904378260212</c:v>
                </c:pt>
              </c:numCache>
            </c:numRef>
          </c:yVal>
          <c:smooth val="1"/>
          <c:extLst>
            <c:ext xmlns:c16="http://schemas.microsoft.com/office/drawing/2014/chart" uri="{C3380CC4-5D6E-409C-BE32-E72D297353CC}">
              <c16:uniqueId val="{00000000-DD8C-4A46-9E2F-53DC836CF80D}"/>
            </c:ext>
          </c:extLst>
        </c:ser>
        <c:dLbls>
          <c:showLegendKey val="0"/>
          <c:showVal val="0"/>
          <c:showCatName val="0"/>
          <c:showSerName val="0"/>
          <c:showPercent val="0"/>
          <c:showBubbleSize val="0"/>
        </c:dLbls>
        <c:axId val="507584992"/>
        <c:axId val="1"/>
      </c:scatterChart>
      <c:scatterChart>
        <c:scatterStyle val="lineMarker"/>
        <c:varyColors val="0"/>
        <c:ser>
          <c:idx val="2"/>
          <c:order val="1"/>
          <c:tx>
            <c:strRef>
              <c:f>'Voltage Loop'!$O$1</c:f>
              <c:strCache>
                <c:ptCount val="1"/>
                <c:pt idx="0">
                  <c:v>ӨTv(f)</c:v>
                </c:pt>
              </c:strCache>
            </c:strRef>
          </c:tx>
          <c:spPr>
            <a:ln w="25400">
              <a:solidFill>
                <a:srgbClr val="FF0000"/>
              </a:solidFill>
              <a:prstDash val="solid"/>
            </a:ln>
          </c:spPr>
          <c:marker>
            <c:symbol val="none"/>
          </c:marker>
          <c:xVal>
            <c:numRef>
              <c:f>'Voltage Loop'!$B$2:$B$101</c:f>
              <c:numCache>
                <c:formatCode>General</c:formatCode>
                <c:ptCount val="100"/>
                <c:pt idx="0">
                  <c:v>100</c:v>
                </c:pt>
                <c:pt idx="1">
                  <c:v>1000</c:v>
                </c:pt>
                <c:pt idx="2">
                  <c:v>3000</c:v>
                </c:pt>
                <c:pt idx="3">
                  <c:v>4000</c:v>
                </c:pt>
                <c:pt idx="4">
                  <c:v>5000</c:v>
                </c:pt>
                <c:pt idx="5">
                  <c:v>6000</c:v>
                </c:pt>
                <c:pt idx="6">
                  <c:v>7000.0000000000009</c:v>
                </c:pt>
                <c:pt idx="7">
                  <c:v>8000</c:v>
                </c:pt>
                <c:pt idx="8">
                  <c:v>9000</c:v>
                </c:pt>
                <c:pt idx="9">
                  <c:v>10000</c:v>
                </c:pt>
                <c:pt idx="10">
                  <c:v>11000</c:v>
                </c:pt>
                <c:pt idx="11">
                  <c:v>12000</c:v>
                </c:pt>
                <c:pt idx="12">
                  <c:v>13000</c:v>
                </c:pt>
                <c:pt idx="13">
                  <c:v>14000.000000000002</c:v>
                </c:pt>
                <c:pt idx="14">
                  <c:v>15000</c:v>
                </c:pt>
                <c:pt idx="15">
                  <c:v>16000</c:v>
                </c:pt>
                <c:pt idx="16">
                  <c:v>17000</c:v>
                </c:pt>
                <c:pt idx="17">
                  <c:v>18000</c:v>
                </c:pt>
                <c:pt idx="18">
                  <c:v>19000</c:v>
                </c:pt>
                <c:pt idx="19">
                  <c:v>20000</c:v>
                </c:pt>
                <c:pt idx="20">
                  <c:v>21000</c:v>
                </c:pt>
                <c:pt idx="21">
                  <c:v>22000</c:v>
                </c:pt>
                <c:pt idx="22">
                  <c:v>23000</c:v>
                </c:pt>
                <c:pt idx="23">
                  <c:v>24000</c:v>
                </c:pt>
                <c:pt idx="24">
                  <c:v>25000</c:v>
                </c:pt>
                <c:pt idx="25">
                  <c:v>26000</c:v>
                </c:pt>
                <c:pt idx="26">
                  <c:v>27000</c:v>
                </c:pt>
                <c:pt idx="27">
                  <c:v>28000.000000000004</c:v>
                </c:pt>
                <c:pt idx="28">
                  <c:v>28999.999999999996</c:v>
                </c:pt>
                <c:pt idx="29">
                  <c:v>30000</c:v>
                </c:pt>
                <c:pt idx="30">
                  <c:v>31000</c:v>
                </c:pt>
                <c:pt idx="31">
                  <c:v>32000</c:v>
                </c:pt>
                <c:pt idx="32">
                  <c:v>33000</c:v>
                </c:pt>
                <c:pt idx="33">
                  <c:v>34000</c:v>
                </c:pt>
                <c:pt idx="34">
                  <c:v>35000</c:v>
                </c:pt>
                <c:pt idx="35">
                  <c:v>36000</c:v>
                </c:pt>
                <c:pt idx="36">
                  <c:v>37000</c:v>
                </c:pt>
                <c:pt idx="37">
                  <c:v>38000</c:v>
                </c:pt>
                <c:pt idx="38">
                  <c:v>39000</c:v>
                </c:pt>
                <c:pt idx="39">
                  <c:v>40000</c:v>
                </c:pt>
                <c:pt idx="40">
                  <c:v>41000</c:v>
                </c:pt>
                <c:pt idx="41">
                  <c:v>42000</c:v>
                </c:pt>
                <c:pt idx="42">
                  <c:v>43000</c:v>
                </c:pt>
                <c:pt idx="43">
                  <c:v>44000</c:v>
                </c:pt>
                <c:pt idx="44">
                  <c:v>45000</c:v>
                </c:pt>
                <c:pt idx="45">
                  <c:v>46000</c:v>
                </c:pt>
                <c:pt idx="46">
                  <c:v>47000</c:v>
                </c:pt>
                <c:pt idx="47">
                  <c:v>48000</c:v>
                </c:pt>
                <c:pt idx="48">
                  <c:v>49000</c:v>
                </c:pt>
                <c:pt idx="49">
                  <c:v>50000</c:v>
                </c:pt>
                <c:pt idx="50">
                  <c:v>51000</c:v>
                </c:pt>
                <c:pt idx="51">
                  <c:v>52000</c:v>
                </c:pt>
                <c:pt idx="52">
                  <c:v>53000</c:v>
                </c:pt>
                <c:pt idx="53">
                  <c:v>54000</c:v>
                </c:pt>
                <c:pt idx="54">
                  <c:v>55000.000000000007</c:v>
                </c:pt>
                <c:pt idx="55">
                  <c:v>56000.000000000007</c:v>
                </c:pt>
                <c:pt idx="56">
                  <c:v>56999.999999999993</c:v>
                </c:pt>
                <c:pt idx="57">
                  <c:v>57999.999999999993</c:v>
                </c:pt>
                <c:pt idx="58">
                  <c:v>59000</c:v>
                </c:pt>
                <c:pt idx="59">
                  <c:v>60000</c:v>
                </c:pt>
                <c:pt idx="60">
                  <c:v>61000</c:v>
                </c:pt>
                <c:pt idx="61">
                  <c:v>62000</c:v>
                </c:pt>
                <c:pt idx="62">
                  <c:v>63000</c:v>
                </c:pt>
                <c:pt idx="63">
                  <c:v>64000</c:v>
                </c:pt>
                <c:pt idx="64">
                  <c:v>65000</c:v>
                </c:pt>
                <c:pt idx="65">
                  <c:v>66000</c:v>
                </c:pt>
                <c:pt idx="66">
                  <c:v>67000</c:v>
                </c:pt>
                <c:pt idx="67">
                  <c:v>68000</c:v>
                </c:pt>
                <c:pt idx="68">
                  <c:v>69000</c:v>
                </c:pt>
                <c:pt idx="69">
                  <c:v>70000</c:v>
                </c:pt>
                <c:pt idx="70">
                  <c:v>71000</c:v>
                </c:pt>
                <c:pt idx="71">
                  <c:v>72000</c:v>
                </c:pt>
                <c:pt idx="72">
                  <c:v>73000</c:v>
                </c:pt>
                <c:pt idx="73">
                  <c:v>74000</c:v>
                </c:pt>
                <c:pt idx="74">
                  <c:v>75000</c:v>
                </c:pt>
                <c:pt idx="75">
                  <c:v>76000</c:v>
                </c:pt>
                <c:pt idx="76">
                  <c:v>77000</c:v>
                </c:pt>
                <c:pt idx="77">
                  <c:v>78000</c:v>
                </c:pt>
                <c:pt idx="78">
                  <c:v>79000</c:v>
                </c:pt>
                <c:pt idx="79">
                  <c:v>80000</c:v>
                </c:pt>
                <c:pt idx="80">
                  <c:v>81000</c:v>
                </c:pt>
                <c:pt idx="81">
                  <c:v>82000</c:v>
                </c:pt>
                <c:pt idx="82">
                  <c:v>83000</c:v>
                </c:pt>
                <c:pt idx="83">
                  <c:v>84000</c:v>
                </c:pt>
                <c:pt idx="84">
                  <c:v>85000</c:v>
                </c:pt>
                <c:pt idx="85">
                  <c:v>86000</c:v>
                </c:pt>
                <c:pt idx="86">
                  <c:v>87000</c:v>
                </c:pt>
                <c:pt idx="87">
                  <c:v>88000</c:v>
                </c:pt>
                <c:pt idx="88">
                  <c:v>89000</c:v>
                </c:pt>
                <c:pt idx="89">
                  <c:v>90000</c:v>
                </c:pt>
                <c:pt idx="90">
                  <c:v>91000</c:v>
                </c:pt>
                <c:pt idx="91">
                  <c:v>92000</c:v>
                </c:pt>
                <c:pt idx="92">
                  <c:v>93000</c:v>
                </c:pt>
                <c:pt idx="93">
                  <c:v>94000</c:v>
                </c:pt>
                <c:pt idx="94">
                  <c:v>95000</c:v>
                </c:pt>
                <c:pt idx="95">
                  <c:v>96000</c:v>
                </c:pt>
                <c:pt idx="96">
                  <c:v>97000</c:v>
                </c:pt>
                <c:pt idx="97">
                  <c:v>98000</c:v>
                </c:pt>
                <c:pt idx="98">
                  <c:v>99000</c:v>
                </c:pt>
                <c:pt idx="99">
                  <c:v>100000</c:v>
                </c:pt>
              </c:numCache>
            </c:numRef>
          </c:xVal>
          <c:yVal>
            <c:numRef>
              <c:f>'Voltage Loop'!$O$2:$O$101</c:f>
              <c:numCache>
                <c:formatCode>General</c:formatCode>
                <c:ptCount val="100"/>
                <c:pt idx="0">
                  <c:v>25.686504567437538</c:v>
                </c:pt>
                <c:pt idx="1">
                  <c:v>76.451827145150673</c:v>
                </c:pt>
                <c:pt idx="2">
                  <c:v>86.220480332755187</c:v>
                </c:pt>
                <c:pt idx="3">
                  <c:v>87.31953432236233</c:v>
                </c:pt>
                <c:pt idx="4">
                  <c:v>87.684517069320577</c:v>
                </c:pt>
                <c:pt idx="5">
                  <c:v>87.566247501870947</c:v>
                </c:pt>
                <c:pt idx="6">
                  <c:v>87.097129835740844</c:v>
                </c:pt>
                <c:pt idx="7">
                  <c:v>86.364470215501242</c:v>
                </c:pt>
                <c:pt idx="8">
                  <c:v>85.431782301009235</c:v>
                </c:pt>
                <c:pt idx="9">
                  <c:v>84.34658565931376</c:v>
                </c:pt>
                <c:pt idx="10">
                  <c:v>83.14436051623079</c:v>
                </c:pt>
                <c:pt idx="11">
                  <c:v>81.851245367206772</c:v>
                </c:pt>
                <c:pt idx="12">
                  <c:v>80.486150129241082</c:v>
                </c:pt>
                <c:pt idx="13">
                  <c:v>79.062456979502372</c:v>
                </c:pt>
                <c:pt idx="14">
                  <c:v>77.589372283540428</c:v>
                </c:pt>
                <c:pt idx="15">
                  <c:v>76.072980122015863</c:v>
                </c:pt>
                <c:pt idx="16">
                  <c:v>74.517049537486812</c:v>
                </c:pt>
                <c:pt idx="17">
                  <c:v>72.92364600769389</c:v>
                </c:pt>
                <c:pt idx="18">
                  <c:v>71.293591966585794</c:v>
                </c:pt>
                <c:pt idx="19">
                  <c:v>69.626813651335098</c:v>
                </c:pt>
                <c:pt idx="20">
                  <c:v>67.922603951084383</c:v>
                </c:pt>
                <c:pt idx="21">
                  <c:v>66.17982420393119</c:v>
                </c:pt>
                <c:pt idx="22">
                  <c:v>64.397062344219265</c:v>
                </c:pt>
                <c:pt idx="23">
                  <c:v>62.572760417863691</c:v>
                </c:pt>
                <c:pt idx="24">
                  <c:v>60.705321090345549</c:v>
                </c:pt>
                <c:pt idx="25">
                  <c:v>58.793200162631322</c:v>
                </c:pt>
                <c:pt idx="26">
                  <c:v>56.834990088439767</c:v>
                </c:pt>
                <c:pt idx="27">
                  <c:v>54.829497886430204</c:v>
                </c:pt>
                <c:pt idx="28">
                  <c:v>52.775819533153637</c:v>
                </c:pt>
                <c:pt idx="29">
                  <c:v>50.673411811694962</c:v>
                </c:pt>
                <c:pt idx="30">
                  <c:v>48.522161613555738</c:v>
                </c:pt>
                <c:pt idx="31">
                  <c:v>46.322451813781214</c:v>
                </c:pt>
                <c:pt idx="32">
                  <c:v>44.075222055204762</c:v>
                </c:pt>
                <c:pt idx="33">
                  <c:v>41.782022105512709</c:v>
                </c:pt>
                <c:pt idx="34">
                  <c:v>39.44505493041828</c:v>
                </c:pt>
                <c:pt idx="35">
                  <c:v>37.067206312685585</c:v>
                </c:pt>
                <c:pt idx="36">
                  <c:v>34.652057801369921</c:v>
                </c:pt>
                <c:pt idx="37">
                  <c:v>32.203880053685026</c:v>
                </c:pt>
                <c:pt idx="38">
                  <c:v>29.727604267864933</c:v>
                </c:pt>
                <c:pt idx="39">
                  <c:v>27.228770398246013</c:v>
                </c:pt>
                <c:pt idx="40">
                  <c:v>24.71345214548208</c:v>
                </c:pt>
                <c:pt idx="41">
                  <c:v>22.188160225345399</c:v>
                </c:pt>
                <c:pt idx="42">
                  <c:v>19.659726992590379</c:v>
                </c:pt>
                <c:pt idx="43">
                  <c:v>17.135176955324852</c:v>
                </c:pt>
                <c:pt idx="44">
                  <c:v>14.621588879832814</c:v>
                </c:pt>
                <c:pt idx="45">
                  <c:v>12.125955901950533</c:v>
                </c:pt>
                <c:pt idx="46">
                  <c:v>9.6550502302660277</c:v>
                </c:pt>
                <c:pt idx="47">
                  <c:v>7.215298624192144</c:v>
                </c:pt>
                <c:pt idx="48">
                  <c:v>4.8126739110364554</c:v>
                </c:pt>
                <c:pt idx="49">
                  <c:v>2.4526064933419605</c:v>
                </c:pt>
                <c:pt idx="50">
                  <c:v>0.13991825822293436</c:v>
                </c:pt>
                <c:pt idx="51">
                  <c:v>-2.1212202845083539</c:v>
                </c:pt>
                <c:pt idx="52">
                  <c:v>-4.3273102732088091</c:v>
                </c:pt>
                <c:pt idx="53">
                  <c:v>-6.4755240288761797</c:v>
                </c:pt>
                <c:pt idx="54">
                  <c:v>-8.5636866001169665</c:v>
                </c:pt>
                <c:pt idx="55">
                  <c:v>-10.590242608357471</c:v>
                </c:pt>
                <c:pt idx="56">
                  <c:v>-12.554211895939261</c:v>
                </c:pt>
                <c:pt idx="57">
                  <c:v>-14.455137413705984</c:v>
                </c:pt>
                <c:pt idx="58">
                  <c:v>-16.293028507875079</c:v>
                </c:pt>
                <c:pt idx="59">
                  <c:v>-18.068302350782915</c:v>
                </c:pt>
                <c:pt idx="60">
                  <c:v>-19.781725773189805</c:v>
                </c:pt>
                <c:pt idx="61">
                  <c:v>-21.434359252360082</c:v>
                </c:pt>
                <c:pt idx="62">
                  <c:v>-23.027504330931151</c:v>
                </c:pt>
                <c:pt idx="63">
                  <c:v>-24.562655313421146</c:v>
                </c:pt>
                <c:pt idx="64">
                  <c:v>-26.041455724516311</c:v>
                </c:pt>
                <c:pt idx="65">
                  <c:v>-27.46565972073455</c:v>
                </c:pt>
                <c:pt idx="66">
                  <c:v>-28.837098422526537</c:v>
                </c:pt>
                <c:pt idx="67">
                  <c:v>-30.157650970766667</c:v>
                </c:pt>
                <c:pt idx="68">
                  <c:v>-31.429220001106955</c:v>
                </c:pt>
                <c:pt idx="69">
                  <c:v>-32.653711162187847</c:v>
                </c:pt>
                <c:pt idx="70">
                  <c:v>-33.833016269940629</c:v>
                </c:pt>
                <c:pt idx="71">
                  <c:v>-34.968999681741366</c:v>
                </c:pt>
                <c:pt idx="72">
                  <c:v>-36.063487483814299</c:v>
                </c:pt>
                <c:pt idx="73">
                  <c:v>-37.118259107117751</c:v>
                </c:pt>
                <c:pt idx="74">
                  <c:v>-38.135041016333162</c:v>
                </c:pt>
                <c:pt idx="75">
                  <c:v>-39.115502149973565</c:v>
                </c:pt>
                <c:pt idx="76">
                  <c:v>-40.061250824455044</c:v>
                </c:pt>
                <c:pt idx="77">
                  <c:v>-40.973832849377914</c:v>
                </c:pt>
                <c:pt idx="78">
                  <c:v>-41.854730634075906</c:v>
                </c:pt>
                <c:pt idx="79">
                  <c:v>-42.70536309593524</c:v>
                </c:pt>
                <c:pt idx="80">
                  <c:v>-43.527086208660194</c:v>
                </c:pt>
                <c:pt idx="81">
                  <c:v>-44.321194053441786</c:v>
                </c:pt>
                <c:pt idx="82">
                  <c:v>-45.088920257855307</c:v>
                </c:pt>
                <c:pt idx="83">
                  <c:v>-45.831439726406529</c:v>
                </c:pt>
                <c:pt idx="84">
                  <c:v>-46.549870583186134</c:v>
                </c:pt>
                <c:pt idx="85">
                  <c:v>-47.245276261262347</c:v>
                </c:pt>
                <c:pt idx="86">
                  <c:v>-47.918667685536207</c:v>
                </c:pt>
                <c:pt idx="87">
                  <c:v>-48.571005506005406</c:v>
                </c:pt>
                <c:pt idx="88">
                  <c:v>-49.203202346994317</c:v>
                </c:pt>
                <c:pt idx="89">
                  <c:v>-49.816125045109743</c:v>
                </c:pt>
                <c:pt idx="90">
                  <c:v>-50.410596854673713</c:v>
                </c:pt>
                <c:pt idx="91">
                  <c:v>-50.987399604346706</c:v>
                </c:pt>
                <c:pt idx="92">
                  <c:v>-51.547275792735718</c:v>
                </c:pt>
                <c:pt idx="93">
                  <c:v>-52.09093061412517</c:v>
                </c:pt>
                <c:pt idx="94">
                  <c:v>-52.619033908185827</c:v>
                </c:pt>
                <c:pt idx="95">
                  <c:v>-53.132222029713205</c:v>
                </c:pt>
                <c:pt idx="96">
                  <c:v>-53.631099636205022</c:v>
                </c:pt>
                <c:pt idx="97">
                  <c:v>-54.116241392488178</c:v>
                </c:pt>
                <c:pt idx="98">
                  <c:v>-54.588193592703419</c:v>
                </c:pt>
                <c:pt idx="99">
                  <c:v>-55.047475700805421</c:v>
                </c:pt>
              </c:numCache>
            </c:numRef>
          </c:yVal>
          <c:smooth val="0"/>
          <c:extLst>
            <c:ext xmlns:c16="http://schemas.microsoft.com/office/drawing/2014/chart" uri="{C3380CC4-5D6E-409C-BE32-E72D297353CC}">
              <c16:uniqueId val="{00000001-DD8C-4A46-9E2F-53DC836CF80D}"/>
            </c:ext>
          </c:extLst>
        </c:ser>
        <c:dLbls>
          <c:showLegendKey val="0"/>
          <c:showVal val="0"/>
          <c:showCatName val="0"/>
          <c:showSerName val="0"/>
          <c:showPercent val="0"/>
          <c:showBubbleSize val="0"/>
        </c:dLbls>
        <c:axId val="3"/>
        <c:axId val="4"/>
      </c:scatterChart>
      <c:valAx>
        <c:axId val="507584992"/>
        <c:scaling>
          <c:logBase val="10"/>
          <c:orientation val="minMax"/>
          <c:min val="10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00" b="1" i="0" u="none" strike="noStrike" baseline="0">
                    <a:solidFill>
                      <a:srgbClr val="000000"/>
                    </a:solidFill>
                    <a:latin typeface="Arial"/>
                    <a:ea typeface="Arial"/>
                    <a:cs typeface="Arial"/>
                  </a:defRPr>
                </a:pPr>
                <a:r>
                  <a:rPr lang="en-US"/>
                  <a:t>Frequency in Hz</a:t>
                </a:r>
              </a:p>
            </c:rich>
          </c:tx>
          <c:layout>
            <c:manualLayout>
              <c:xMode val="edge"/>
              <c:yMode val="edge"/>
              <c:x val="0.41506875499258244"/>
              <c:y val="0.926097824220570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1"/>
        <c:crossesAt val="-80"/>
        <c:crossBetween val="midCat"/>
      </c:valAx>
      <c:valAx>
        <c:axId val="1"/>
        <c:scaling>
          <c:orientation val="minMax"/>
          <c:max val="80"/>
          <c:min val="-80"/>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en-US"/>
                  <a:t>Gain in dB</a:t>
                </a:r>
              </a:p>
            </c:rich>
          </c:tx>
          <c:layout>
            <c:manualLayout>
              <c:xMode val="edge"/>
              <c:yMode val="edge"/>
              <c:x val="1.6438434326144013E-2"/>
              <c:y val="0.3926101994260063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507584992"/>
        <c:crosses val="autoZero"/>
        <c:crossBetween val="midCat"/>
      </c:valAx>
      <c:valAx>
        <c:axId val="3"/>
        <c:scaling>
          <c:logBase val="10"/>
          <c:orientation val="minMax"/>
        </c:scaling>
        <c:delete val="1"/>
        <c:axPos val="b"/>
        <c:numFmt formatCode="General" sourceLinked="1"/>
        <c:majorTickMark val="out"/>
        <c:minorTickMark val="none"/>
        <c:tickLblPos val="nextTo"/>
        <c:crossAx val="4"/>
        <c:crosses val="autoZero"/>
        <c:crossBetween val="midCat"/>
      </c:valAx>
      <c:valAx>
        <c:axId val="4"/>
        <c:scaling>
          <c:orientation val="minMax"/>
          <c:max val="180"/>
          <c:min val="-180"/>
        </c:scaling>
        <c:delete val="0"/>
        <c:axPos val="r"/>
        <c:title>
          <c:tx>
            <c:rich>
              <a:bodyPr/>
              <a:lstStyle/>
              <a:p>
                <a:pPr>
                  <a:defRPr sz="1050" b="1" i="0" u="none" strike="noStrike" baseline="0">
                    <a:solidFill>
                      <a:srgbClr val="000000"/>
                    </a:solidFill>
                    <a:latin typeface="Arial"/>
                    <a:ea typeface="Arial"/>
                    <a:cs typeface="Arial"/>
                  </a:defRPr>
                </a:pPr>
                <a:r>
                  <a:rPr lang="en-US"/>
                  <a:t>Phase in Degrees</a:t>
                </a:r>
              </a:p>
            </c:rich>
          </c:tx>
          <c:layout>
            <c:manualLayout>
              <c:xMode val="edge"/>
              <c:yMode val="edge"/>
              <c:x val="0.94794576629008331"/>
              <c:y val="0.3348735496847941"/>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3"/>
        <c:crosses val="max"/>
        <c:crossBetween val="midCat"/>
        <c:majorUnit val="45"/>
      </c:valAx>
      <c:spPr>
        <a:solidFill>
          <a:srgbClr val="FFFFFF"/>
        </a:solidFill>
        <a:ln w="12700">
          <a:solidFill>
            <a:srgbClr val="808080"/>
          </a:solidFill>
          <a:prstDash val="solid"/>
        </a:ln>
      </c:spPr>
    </c:plotArea>
    <c:legend>
      <c:legendPos val="r"/>
      <c:layout>
        <c:manualLayout>
          <c:xMode val="edge"/>
          <c:yMode val="edge"/>
          <c:x val="0.13547914881563894"/>
          <c:y val="0.70303894083732177"/>
          <c:w val="0.13408245655980763"/>
          <c:h val="0.11137250547917968"/>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Tv(f) Frequency Response</a:t>
            </a:r>
          </a:p>
        </c:rich>
      </c:tx>
      <c:layout>
        <c:manualLayout>
          <c:xMode val="edge"/>
          <c:yMode val="edge"/>
          <c:x val="0.32948960997709681"/>
          <c:y val="3.3163501621120889E-2"/>
        </c:manualLayout>
      </c:layout>
      <c:overlay val="0"/>
      <c:spPr>
        <a:noFill/>
        <a:ln w="25400">
          <a:noFill/>
        </a:ln>
      </c:spPr>
    </c:title>
    <c:autoTitleDeleted val="0"/>
    <c:plotArea>
      <c:layout>
        <c:manualLayout>
          <c:layoutTarget val="inner"/>
          <c:xMode val="edge"/>
          <c:yMode val="edge"/>
          <c:x val="0.10708410590965584"/>
          <c:y val="0.11734693877551021"/>
          <c:w val="0.79406983151467858"/>
          <c:h val="0.73979591836734693"/>
        </c:manualLayout>
      </c:layout>
      <c:scatterChart>
        <c:scatterStyle val="smoothMarker"/>
        <c:varyColors val="0"/>
        <c:ser>
          <c:idx val="0"/>
          <c:order val="0"/>
          <c:tx>
            <c:strRef>
              <c:f>'Voltage Loop'!$M$1</c:f>
              <c:strCache>
                <c:ptCount val="1"/>
                <c:pt idx="0">
                  <c:v>TvdB(f)</c:v>
                </c:pt>
              </c:strCache>
            </c:strRef>
          </c:tx>
          <c:spPr>
            <a:ln w="25400">
              <a:solidFill>
                <a:srgbClr val="000000"/>
              </a:solidFill>
              <a:prstDash val="solid"/>
            </a:ln>
          </c:spPr>
          <c:marker>
            <c:symbol val="none"/>
          </c:marker>
          <c:xVal>
            <c:numRef>
              <c:f>'Voltage Loop'!$B$2:$B$101</c:f>
              <c:numCache>
                <c:formatCode>General</c:formatCode>
                <c:ptCount val="100"/>
                <c:pt idx="0">
                  <c:v>100</c:v>
                </c:pt>
                <c:pt idx="1">
                  <c:v>1000</c:v>
                </c:pt>
                <c:pt idx="2">
                  <c:v>3000</c:v>
                </c:pt>
                <c:pt idx="3">
                  <c:v>4000</c:v>
                </c:pt>
                <c:pt idx="4">
                  <c:v>5000</c:v>
                </c:pt>
                <c:pt idx="5">
                  <c:v>6000</c:v>
                </c:pt>
                <c:pt idx="6">
                  <c:v>7000.0000000000009</c:v>
                </c:pt>
                <c:pt idx="7">
                  <c:v>8000</c:v>
                </c:pt>
                <c:pt idx="8">
                  <c:v>9000</c:v>
                </c:pt>
                <c:pt idx="9">
                  <c:v>10000</c:v>
                </c:pt>
                <c:pt idx="10">
                  <c:v>11000</c:v>
                </c:pt>
                <c:pt idx="11">
                  <c:v>12000</c:v>
                </c:pt>
                <c:pt idx="12">
                  <c:v>13000</c:v>
                </c:pt>
                <c:pt idx="13">
                  <c:v>14000.000000000002</c:v>
                </c:pt>
                <c:pt idx="14">
                  <c:v>15000</c:v>
                </c:pt>
                <c:pt idx="15">
                  <c:v>16000</c:v>
                </c:pt>
                <c:pt idx="16">
                  <c:v>17000</c:v>
                </c:pt>
                <c:pt idx="17">
                  <c:v>18000</c:v>
                </c:pt>
                <c:pt idx="18">
                  <c:v>19000</c:v>
                </c:pt>
                <c:pt idx="19">
                  <c:v>20000</c:v>
                </c:pt>
                <c:pt idx="20">
                  <c:v>21000</c:v>
                </c:pt>
                <c:pt idx="21">
                  <c:v>22000</c:v>
                </c:pt>
                <c:pt idx="22">
                  <c:v>23000</c:v>
                </c:pt>
                <c:pt idx="23">
                  <c:v>24000</c:v>
                </c:pt>
                <c:pt idx="24">
                  <c:v>25000</c:v>
                </c:pt>
                <c:pt idx="25">
                  <c:v>26000</c:v>
                </c:pt>
                <c:pt idx="26">
                  <c:v>27000</c:v>
                </c:pt>
                <c:pt idx="27">
                  <c:v>28000.000000000004</c:v>
                </c:pt>
                <c:pt idx="28">
                  <c:v>28999.999999999996</c:v>
                </c:pt>
                <c:pt idx="29">
                  <c:v>30000</c:v>
                </c:pt>
                <c:pt idx="30">
                  <c:v>31000</c:v>
                </c:pt>
                <c:pt idx="31">
                  <c:v>32000</c:v>
                </c:pt>
                <c:pt idx="32">
                  <c:v>33000</c:v>
                </c:pt>
                <c:pt idx="33">
                  <c:v>34000</c:v>
                </c:pt>
                <c:pt idx="34">
                  <c:v>35000</c:v>
                </c:pt>
                <c:pt idx="35">
                  <c:v>36000</c:v>
                </c:pt>
                <c:pt idx="36">
                  <c:v>37000</c:v>
                </c:pt>
                <c:pt idx="37">
                  <c:v>38000</c:v>
                </c:pt>
                <c:pt idx="38">
                  <c:v>39000</c:v>
                </c:pt>
                <c:pt idx="39">
                  <c:v>40000</c:v>
                </c:pt>
                <c:pt idx="40">
                  <c:v>41000</c:v>
                </c:pt>
                <c:pt idx="41">
                  <c:v>42000</c:v>
                </c:pt>
                <c:pt idx="42">
                  <c:v>43000</c:v>
                </c:pt>
                <c:pt idx="43">
                  <c:v>44000</c:v>
                </c:pt>
                <c:pt idx="44">
                  <c:v>45000</c:v>
                </c:pt>
                <c:pt idx="45">
                  <c:v>46000</c:v>
                </c:pt>
                <c:pt idx="46">
                  <c:v>47000</c:v>
                </c:pt>
                <c:pt idx="47">
                  <c:v>48000</c:v>
                </c:pt>
                <c:pt idx="48">
                  <c:v>49000</c:v>
                </c:pt>
                <c:pt idx="49">
                  <c:v>50000</c:v>
                </c:pt>
                <c:pt idx="50">
                  <c:v>51000</c:v>
                </c:pt>
                <c:pt idx="51">
                  <c:v>52000</c:v>
                </c:pt>
                <c:pt idx="52">
                  <c:v>53000</c:v>
                </c:pt>
                <c:pt idx="53">
                  <c:v>54000</c:v>
                </c:pt>
                <c:pt idx="54">
                  <c:v>55000.000000000007</c:v>
                </c:pt>
                <c:pt idx="55">
                  <c:v>56000.000000000007</c:v>
                </c:pt>
                <c:pt idx="56">
                  <c:v>56999.999999999993</c:v>
                </c:pt>
                <c:pt idx="57">
                  <c:v>57999.999999999993</c:v>
                </c:pt>
                <c:pt idx="58">
                  <c:v>59000</c:v>
                </c:pt>
                <c:pt idx="59">
                  <c:v>60000</c:v>
                </c:pt>
                <c:pt idx="60">
                  <c:v>61000</c:v>
                </c:pt>
                <c:pt idx="61">
                  <c:v>62000</c:v>
                </c:pt>
                <c:pt idx="62">
                  <c:v>63000</c:v>
                </c:pt>
                <c:pt idx="63">
                  <c:v>64000</c:v>
                </c:pt>
                <c:pt idx="64">
                  <c:v>65000</c:v>
                </c:pt>
                <c:pt idx="65">
                  <c:v>66000</c:v>
                </c:pt>
                <c:pt idx="66">
                  <c:v>67000</c:v>
                </c:pt>
                <c:pt idx="67">
                  <c:v>68000</c:v>
                </c:pt>
                <c:pt idx="68">
                  <c:v>69000</c:v>
                </c:pt>
                <c:pt idx="69">
                  <c:v>70000</c:v>
                </c:pt>
                <c:pt idx="70">
                  <c:v>71000</c:v>
                </c:pt>
                <c:pt idx="71">
                  <c:v>72000</c:v>
                </c:pt>
                <c:pt idx="72">
                  <c:v>73000</c:v>
                </c:pt>
                <c:pt idx="73">
                  <c:v>74000</c:v>
                </c:pt>
                <c:pt idx="74">
                  <c:v>75000</c:v>
                </c:pt>
                <c:pt idx="75">
                  <c:v>76000</c:v>
                </c:pt>
                <c:pt idx="76">
                  <c:v>77000</c:v>
                </c:pt>
                <c:pt idx="77">
                  <c:v>78000</c:v>
                </c:pt>
                <c:pt idx="78">
                  <c:v>79000</c:v>
                </c:pt>
                <c:pt idx="79">
                  <c:v>80000</c:v>
                </c:pt>
                <c:pt idx="80">
                  <c:v>81000</c:v>
                </c:pt>
                <c:pt idx="81">
                  <c:v>82000</c:v>
                </c:pt>
                <c:pt idx="82">
                  <c:v>83000</c:v>
                </c:pt>
                <c:pt idx="83">
                  <c:v>84000</c:v>
                </c:pt>
                <c:pt idx="84">
                  <c:v>85000</c:v>
                </c:pt>
                <c:pt idx="85">
                  <c:v>86000</c:v>
                </c:pt>
                <c:pt idx="86">
                  <c:v>87000</c:v>
                </c:pt>
                <c:pt idx="87">
                  <c:v>88000</c:v>
                </c:pt>
                <c:pt idx="88">
                  <c:v>89000</c:v>
                </c:pt>
                <c:pt idx="89">
                  <c:v>90000</c:v>
                </c:pt>
                <c:pt idx="90">
                  <c:v>91000</c:v>
                </c:pt>
                <c:pt idx="91">
                  <c:v>92000</c:v>
                </c:pt>
                <c:pt idx="92">
                  <c:v>93000</c:v>
                </c:pt>
                <c:pt idx="93">
                  <c:v>94000</c:v>
                </c:pt>
                <c:pt idx="94">
                  <c:v>95000</c:v>
                </c:pt>
                <c:pt idx="95">
                  <c:v>96000</c:v>
                </c:pt>
                <c:pt idx="96">
                  <c:v>97000</c:v>
                </c:pt>
                <c:pt idx="97">
                  <c:v>98000</c:v>
                </c:pt>
                <c:pt idx="98">
                  <c:v>99000</c:v>
                </c:pt>
                <c:pt idx="99">
                  <c:v>100000</c:v>
                </c:pt>
              </c:numCache>
            </c:numRef>
          </c:xVal>
          <c:yVal>
            <c:numRef>
              <c:f>'Voltage Loop'!$M$2:$M$101</c:f>
              <c:numCache>
                <c:formatCode>General</c:formatCode>
                <c:ptCount val="100"/>
                <c:pt idx="0">
                  <c:v>33.097426665024457</c:v>
                </c:pt>
                <c:pt idx="1">
                  <c:v>4.5933996155966765</c:v>
                </c:pt>
                <c:pt idx="2">
                  <c:v>-4.9911482483727374</c:v>
                </c:pt>
                <c:pt idx="3">
                  <c:v>-7.3492755501647693</c:v>
                </c:pt>
                <c:pt idx="4">
                  <c:v>-9.1219338873201945</c:v>
                </c:pt>
                <c:pt idx="5">
                  <c:v>-10.530492172518013</c:v>
                </c:pt>
                <c:pt idx="6">
                  <c:v>-11.694271878320961</c:v>
                </c:pt>
                <c:pt idx="7">
                  <c:v>-12.684504110189499</c:v>
                </c:pt>
                <c:pt idx="8">
                  <c:v>-13.546465882128704</c:v>
                </c:pt>
                <c:pt idx="9">
                  <c:v>-14.31021488533114</c:v>
                </c:pt>
                <c:pt idx="10">
                  <c:v>-14.99640289903609</c:v>
                </c:pt>
                <c:pt idx="11">
                  <c:v>-15.619656515867495</c:v>
                </c:pt>
                <c:pt idx="12">
                  <c:v>-16.190636150679744</c:v>
                </c:pt>
                <c:pt idx="13">
                  <c:v>-16.717330575500441</c:v>
                </c:pt>
                <c:pt idx="14">
                  <c:v>-17.205890819487987</c:v>
                </c:pt>
                <c:pt idx="15">
                  <c:v>-17.661178638320763</c:v>
                </c:pt>
                <c:pt idx="16">
                  <c:v>-18.087134368989894</c:v>
                </c:pt>
                <c:pt idx="17">
                  <c:v>-18.48702847170037</c:v>
                </c:pt>
                <c:pt idx="18">
                  <c:v>-18.863636948140808</c:v>
                </c:pt>
                <c:pt idx="19">
                  <c:v>-19.219366139699282</c:v>
                </c:pt>
                <c:pt idx="20">
                  <c:v>-19.556343307486223</c:v>
                </c:pt>
                <c:pt idx="21">
                  <c:v>-19.876483671099564</c:v>
                </c:pt>
                <c:pt idx="22">
                  <c:v>-20.181540931936382</c:v>
                </c:pt>
                <c:pt idx="23">
                  <c:v>-20.473145945675213</c:v>
                </c:pt>
                <c:pt idx="24">
                  <c:v>-20.752836659321609</c:v>
                </c:pt>
                <c:pt idx="25">
                  <c:v>-21.022081396331224</c:v>
                </c:pt>
                <c:pt idx="26">
                  <c:v>-21.282296875831509</c:v>
                </c:pt>
                <c:pt idx="27">
                  <c:v>-21.53486187471788</c:v>
                </c:pt>
                <c:pt idx="28">
                  <c:v>-21.781127113250889</c:v>
                </c:pt>
                <c:pt idx="29">
                  <c:v>-22.022421721755038</c:v>
                </c:pt>
                <c:pt idx="30">
                  <c:v>-22.260056501437315</c:v>
                </c:pt>
                <c:pt idx="31">
                  <c:v>-22.495324110444656</c:v>
                </c:pt>
                <c:pt idx="32">
                  <c:v>-22.729496277872393</c:v>
                </c:pt>
                <c:pt idx="33">
                  <c:v>-22.963818167679708</c:v>
                </c:pt>
                <c:pt idx="34">
                  <c:v>-23.199500076372107</c:v>
                </c:pt>
                <c:pt idx="35">
                  <c:v>-23.437706746606779</c:v>
                </c:pt>
                <c:pt idx="36">
                  <c:v>-23.679544704494006</c:v>
                </c:pt>
                <c:pt idx="37">
                  <c:v>-23.926048168395113</c:v>
                </c:pt>
                <c:pt idx="38">
                  <c:v>-24.178164214707852</c:v>
                </c:pt>
                <c:pt idx="39">
                  <c:v>-24.436738001837046</c:v>
                </c:pt>
                <c:pt idx="40">
                  <c:v>-24.702498926937899</c:v>
                </c:pt>
                <c:pt idx="41">
                  <c:v>-24.976048603089652</c:v>
                </c:pt>
                <c:pt idx="42">
                  <c:v>-25.25785148519212</c:v>
                </c:pt>
                <c:pt idx="43">
                  <c:v>-25.548228837800998</c:v>
                </c:pt>
                <c:pt idx="44">
                  <c:v>-25.847356534854917</c:v>
                </c:pt>
                <c:pt idx="45">
                  <c:v>-26.155266927822865</c:v>
                </c:pt>
                <c:pt idx="46">
                  <c:v>-26.47185474155911</c:v>
                </c:pt>
                <c:pt idx="47">
                  <c:v>-26.796886686463573</c:v>
                </c:pt>
                <c:pt idx="48">
                  <c:v>-27.130014240831891</c:v>
                </c:pt>
                <c:pt idx="49">
                  <c:v>-27.470788882039471</c:v>
                </c:pt>
                <c:pt idx="50">
                  <c:v>-27.818678943628594</c:v>
                </c:pt>
                <c:pt idx="51">
                  <c:v>-28.17308725077239</c:v>
                </c:pt>
                <c:pt idx="52">
                  <c:v>-28.533368732215706</c:v>
                </c:pt>
                <c:pt idx="53">
                  <c:v>-28.898847308199009</c:v>
                </c:pt>
                <c:pt idx="54">
                  <c:v>-29.268831492333021</c:v>
                </c:pt>
                <c:pt idx="55">
                  <c:v>-29.642628301375922</c:v>
                </c:pt>
                <c:pt idx="56">
                  <c:v>-30.019555222856784</c:v>
                </c:pt>
                <c:pt idx="57">
                  <c:v>-30.398950132894306</c:v>
                </c:pt>
                <c:pt idx="58">
                  <c:v>-30.780179176419335</c:v>
                </c:pt>
                <c:pt idx="59">
                  <c:v>-31.162642714936556</c:v>
                </c:pt>
                <c:pt idx="60">
                  <c:v>-31.545779512332679</c:v>
                </c:pt>
                <c:pt idx="61">
                  <c:v>-31.929069369230447</c:v>
                </c:pt>
                <c:pt idx="62">
                  <c:v>-32.312034434825819</c:v>
                </c:pt>
                <c:pt idx="63">
                  <c:v>-32.694239426626936</c:v>
                </c:pt>
                <c:pt idx="64">
                  <c:v>-33.075290977666924</c:v>
                </c:pt>
                <c:pt idx="65">
                  <c:v>-33.454836311793642</c:v>
                </c:pt>
                <c:pt idx="66">
                  <c:v>-33.832561424050851</c:v>
                </c:pt>
                <c:pt idx="67">
                  <c:v>-34.208188917723959</c:v>
                </c:pt>
                <c:pt idx="68">
                  <c:v>-34.581475624313079</c:v>
                </c:pt>
                <c:pt idx="69">
                  <c:v>-34.952210108868968</c:v>
                </c:pt>
                <c:pt idx="70">
                  <c:v>-35.320210141595318</c:v>
                </c:pt>
                <c:pt idx="71">
                  <c:v>-35.685320197781735</c:v>
                </c:pt>
                <c:pt idx="72">
                  <c:v>-36.047409032092979</c:v>
                </c:pt>
                <c:pt idx="73">
                  <c:v>-36.406367359909048</c:v>
                </c:pt>
                <c:pt idx="74">
                  <c:v>-36.762105667572953</c:v>
                </c:pt>
                <c:pt idx="75">
                  <c:v>-37.114552164779468</c:v>
                </c:pt>
                <c:pt idx="76">
                  <c:v>-37.463650885625327</c:v>
                </c:pt>
                <c:pt idx="77">
                  <c:v>-37.809359939736098</c:v>
                </c:pt>
                <c:pt idx="78">
                  <c:v>-38.15164991111547</c:v>
                </c:pt>
                <c:pt idx="79">
                  <c:v>-38.490502399662617</c:v>
                </c:pt>
                <c:pt idx="80">
                  <c:v>-38.825908698467288</c:v>
                </c:pt>
                <c:pt idx="81">
                  <c:v>-39.157868598825225</c:v>
                </c:pt>
                <c:pt idx="82">
                  <c:v>-39.486389314265921</c:v>
                </c:pt>
                <c:pt idx="83">
                  <c:v>-39.811484514621128</c:v>
                </c:pt>
                <c:pt idx="84">
                  <c:v>-40.133173461187482</c:v>
                </c:pt>
                <c:pt idx="85">
                  <c:v>-40.451480234265837</c:v>
                </c:pt>
                <c:pt idx="86">
                  <c:v>-40.766433044725225</c:v>
                </c:pt>
                <c:pt idx="87">
                  <c:v>-41.078063621700622</c:v>
                </c:pt>
                <c:pt idx="88">
                  <c:v>-41.386406669049322</c:v>
                </c:pt>
                <c:pt idx="89">
                  <c:v>-41.691499383723638</c:v>
                </c:pt>
                <c:pt idx="90">
                  <c:v>-41.993381029765402</c:v>
                </c:pt>
                <c:pt idx="91">
                  <c:v>-42.29209256216123</c:v>
                </c:pt>
                <c:pt idx="92">
                  <c:v>-42.587676295306807</c:v>
                </c:pt>
                <c:pt idx="93">
                  <c:v>-42.880175611321931</c:v>
                </c:pt>
                <c:pt idx="94">
                  <c:v>-43.169634703908777</c:v>
                </c:pt>
                <c:pt idx="95">
                  <c:v>-43.45609835387463</c:v>
                </c:pt>
                <c:pt idx="96">
                  <c:v>-43.739611732826319</c:v>
                </c:pt>
                <c:pt idx="97">
                  <c:v>-44.020220231906976</c:v>
                </c:pt>
                <c:pt idx="98">
                  <c:v>-44.297969312766767</c:v>
                </c:pt>
                <c:pt idx="99">
                  <c:v>-44.572904378260212</c:v>
                </c:pt>
              </c:numCache>
            </c:numRef>
          </c:yVal>
          <c:smooth val="1"/>
          <c:extLst>
            <c:ext xmlns:c16="http://schemas.microsoft.com/office/drawing/2014/chart" uri="{C3380CC4-5D6E-409C-BE32-E72D297353CC}">
              <c16:uniqueId val="{00000000-8A5E-4502-B1A0-DC91060BAB8A}"/>
            </c:ext>
          </c:extLst>
        </c:ser>
        <c:dLbls>
          <c:showLegendKey val="0"/>
          <c:showVal val="0"/>
          <c:showCatName val="0"/>
          <c:showSerName val="0"/>
          <c:showPercent val="0"/>
          <c:showBubbleSize val="0"/>
        </c:dLbls>
        <c:axId val="507661520"/>
        <c:axId val="1"/>
      </c:scatterChart>
      <c:scatterChart>
        <c:scatterStyle val="lineMarker"/>
        <c:varyColors val="0"/>
        <c:ser>
          <c:idx val="2"/>
          <c:order val="1"/>
          <c:tx>
            <c:strRef>
              <c:f>'Voltage Loop'!$O$1</c:f>
              <c:strCache>
                <c:ptCount val="1"/>
                <c:pt idx="0">
                  <c:v>ӨTv(f)</c:v>
                </c:pt>
              </c:strCache>
            </c:strRef>
          </c:tx>
          <c:spPr>
            <a:ln w="25400">
              <a:solidFill>
                <a:srgbClr val="FF0000"/>
              </a:solidFill>
              <a:prstDash val="solid"/>
            </a:ln>
          </c:spPr>
          <c:marker>
            <c:symbol val="none"/>
          </c:marker>
          <c:xVal>
            <c:numRef>
              <c:f>'Voltage Loop'!$B$2:$B$101</c:f>
              <c:numCache>
                <c:formatCode>General</c:formatCode>
                <c:ptCount val="100"/>
                <c:pt idx="0">
                  <c:v>100</c:v>
                </c:pt>
                <c:pt idx="1">
                  <c:v>1000</c:v>
                </c:pt>
                <c:pt idx="2">
                  <c:v>3000</c:v>
                </c:pt>
                <c:pt idx="3">
                  <c:v>4000</c:v>
                </c:pt>
                <c:pt idx="4">
                  <c:v>5000</c:v>
                </c:pt>
                <c:pt idx="5">
                  <c:v>6000</c:v>
                </c:pt>
                <c:pt idx="6">
                  <c:v>7000.0000000000009</c:v>
                </c:pt>
                <c:pt idx="7">
                  <c:v>8000</c:v>
                </c:pt>
                <c:pt idx="8">
                  <c:v>9000</c:v>
                </c:pt>
                <c:pt idx="9">
                  <c:v>10000</c:v>
                </c:pt>
                <c:pt idx="10">
                  <c:v>11000</c:v>
                </c:pt>
                <c:pt idx="11">
                  <c:v>12000</c:v>
                </c:pt>
                <c:pt idx="12">
                  <c:v>13000</c:v>
                </c:pt>
                <c:pt idx="13">
                  <c:v>14000.000000000002</c:v>
                </c:pt>
                <c:pt idx="14">
                  <c:v>15000</c:v>
                </c:pt>
                <c:pt idx="15">
                  <c:v>16000</c:v>
                </c:pt>
                <c:pt idx="16">
                  <c:v>17000</c:v>
                </c:pt>
                <c:pt idx="17">
                  <c:v>18000</c:v>
                </c:pt>
                <c:pt idx="18">
                  <c:v>19000</c:v>
                </c:pt>
                <c:pt idx="19">
                  <c:v>20000</c:v>
                </c:pt>
                <c:pt idx="20">
                  <c:v>21000</c:v>
                </c:pt>
                <c:pt idx="21">
                  <c:v>22000</c:v>
                </c:pt>
                <c:pt idx="22">
                  <c:v>23000</c:v>
                </c:pt>
                <c:pt idx="23">
                  <c:v>24000</c:v>
                </c:pt>
                <c:pt idx="24">
                  <c:v>25000</c:v>
                </c:pt>
                <c:pt idx="25">
                  <c:v>26000</c:v>
                </c:pt>
                <c:pt idx="26">
                  <c:v>27000</c:v>
                </c:pt>
                <c:pt idx="27">
                  <c:v>28000.000000000004</c:v>
                </c:pt>
                <c:pt idx="28">
                  <c:v>28999.999999999996</c:v>
                </c:pt>
                <c:pt idx="29">
                  <c:v>30000</c:v>
                </c:pt>
                <c:pt idx="30">
                  <c:v>31000</c:v>
                </c:pt>
                <c:pt idx="31">
                  <c:v>32000</c:v>
                </c:pt>
                <c:pt idx="32">
                  <c:v>33000</c:v>
                </c:pt>
                <c:pt idx="33">
                  <c:v>34000</c:v>
                </c:pt>
                <c:pt idx="34">
                  <c:v>35000</c:v>
                </c:pt>
                <c:pt idx="35">
                  <c:v>36000</c:v>
                </c:pt>
                <c:pt idx="36">
                  <c:v>37000</c:v>
                </c:pt>
                <c:pt idx="37">
                  <c:v>38000</c:v>
                </c:pt>
                <c:pt idx="38">
                  <c:v>39000</c:v>
                </c:pt>
                <c:pt idx="39">
                  <c:v>40000</c:v>
                </c:pt>
                <c:pt idx="40">
                  <c:v>41000</c:v>
                </c:pt>
                <c:pt idx="41">
                  <c:v>42000</c:v>
                </c:pt>
                <c:pt idx="42">
                  <c:v>43000</c:v>
                </c:pt>
                <c:pt idx="43">
                  <c:v>44000</c:v>
                </c:pt>
                <c:pt idx="44">
                  <c:v>45000</c:v>
                </c:pt>
                <c:pt idx="45">
                  <c:v>46000</c:v>
                </c:pt>
                <c:pt idx="46">
                  <c:v>47000</c:v>
                </c:pt>
                <c:pt idx="47">
                  <c:v>48000</c:v>
                </c:pt>
                <c:pt idx="48">
                  <c:v>49000</c:v>
                </c:pt>
                <c:pt idx="49">
                  <c:v>50000</c:v>
                </c:pt>
                <c:pt idx="50">
                  <c:v>51000</c:v>
                </c:pt>
                <c:pt idx="51">
                  <c:v>52000</c:v>
                </c:pt>
                <c:pt idx="52">
                  <c:v>53000</c:v>
                </c:pt>
                <c:pt idx="53">
                  <c:v>54000</c:v>
                </c:pt>
                <c:pt idx="54">
                  <c:v>55000.000000000007</c:v>
                </c:pt>
                <c:pt idx="55">
                  <c:v>56000.000000000007</c:v>
                </c:pt>
                <c:pt idx="56">
                  <c:v>56999.999999999993</c:v>
                </c:pt>
                <c:pt idx="57">
                  <c:v>57999.999999999993</c:v>
                </c:pt>
                <c:pt idx="58">
                  <c:v>59000</c:v>
                </c:pt>
                <c:pt idx="59">
                  <c:v>60000</c:v>
                </c:pt>
                <c:pt idx="60">
                  <c:v>61000</c:v>
                </c:pt>
                <c:pt idx="61">
                  <c:v>62000</c:v>
                </c:pt>
                <c:pt idx="62">
                  <c:v>63000</c:v>
                </c:pt>
                <c:pt idx="63">
                  <c:v>64000</c:v>
                </c:pt>
                <c:pt idx="64">
                  <c:v>65000</c:v>
                </c:pt>
                <c:pt idx="65">
                  <c:v>66000</c:v>
                </c:pt>
                <c:pt idx="66">
                  <c:v>67000</c:v>
                </c:pt>
                <c:pt idx="67">
                  <c:v>68000</c:v>
                </c:pt>
                <c:pt idx="68">
                  <c:v>69000</c:v>
                </c:pt>
                <c:pt idx="69">
                  <c:v>70000</c:v>
                </c:pt>
                <c:pt idx="70">
                  <c:v>71000</c:v>
                </c:pt>
                <c:pt idx="71">
                  <c:v>72000</c:v>
                </c:pt>
                <c:pt idx="72">
                  <c:v>73000</c:v>
                </c:pt>
                <c:pt idx="73">
                  <c:v>74000</c:v>
                </c:pt>
                <c:pt idx="74">
                  <c:v>75000</c:v>
                </c:pt>
                <c:pt idx="75">
                  <c:v>76000</c:v>
                </c:pt>
                <c:pt idx="76">
                  <c:v>77000</c:v>
                </c:pt>
                <c:pt idx="77">
                  <c:v>78000</c:v>
                </c:pt>
                <c:pt idx="78">
                  <c:v>79000</c:v>
                </c:pt>
                <c:pt idx="79">
                  <c:v>80000</c:v>
                </c:pt>
                <c:pt idx="80">
                  <c:v>81000</c:v>
                </c:pt>
                <c:pt idx="81">
                  <c:v>82000</c:v>
                </c:pt>
                <c:pt idx="82">
                  <c:v>83000</c:v>
                </c:pt>
                <c:pt idx="83">
                  <c:v>84000</c:v>
                </c:pt>
                <c:pt idx="84">
                  <c:v>85000</c:v>
                </c:pt>
                <c:pt idx="85">
                  <c:v>86000</c:v>
                </c:pt>
                <c:pt idx="86">
                  <c:v>87000</c:v>
                </c:pt>
                <c:pt idx="87">
                  <c:v>88000</c:v>
                </c:pt>
                <c:pt idx="88">
                  <c:v>89000</c:v>
                </c:pt>
                <c:pt idx="89">
                  <c:v>90000</c:v>
                </c:pt>
                <c:pt idx="90">
                  <c:v>91000</c:v>
                </c:pt>
                <c:pt idx="91">
                  <c:v>92000</c:v>
                </c:pt>
                <c:pt idx="92">
                  <c:v>93000</c:v>
                </c:pt>
                <c:pt idx="93">
                  <c:v>94000</c:v>
                </c:pt>
                <c:pt idx="94">
                  <c:v>95000</c:v>
                </c:pt>
                <c:pt idx="95">
                  <c:v>96000</c:v>
                </c:pt>
                <c:pt idx="96">
                  <c:v>97000</c:v>
                </c:pt>
                <c:pt idx="97">
                  <c:v>98000</c:v>
                </c:pt>
                <c:pt idx="98">
                  <c:v>99000</c:v>
                </c:pt>
                <c:pt idx="99">
                  <c:v>100000</c:v>
                </c:pt>
              </c:numCache>
            </c:numRef>
          </c:xVal>
          <c:yVal>
            <c:numRef>
              <c:f>'Voltage Loop'!$O$2:$O$101</c:f>
              <c:numCache>
                <c:formatCode>General</c:formatCode>
                <c:ptCount val="100"/>
                <c:pt idx="0">
                  <c:v>25.686504567437538</c:v>
                </c:pt>
                <c:pt idx="1">
                  <c:v>76.451827145150673</c:v>
                </c:pt>
                <c:pt idx="2">
                  <c:v>86.220480332755187</c:v>
                </c:pt>
                <c:pt idx="3">
                  <c:v>87.31953432236233</c:v>
                </c:pt>
                <c:pt idx="4">
                  <c:v>87.684517069320577</c:v>
                </c:pt>
                <c:pt idx="5">
                  <c:v>87.566247501870947</c:v>
                </c:pt>
                <c:pt idx="6">
                  <c:v>87.097129835740844</c:v>
                </c:pt>
                <c:pt idx="7">
                  <c:v>86.364470215501242</c:v>
                </c:pt>
                <c:pt idx="8">
                  <c:v>85.431782301009235</c:v>
                </c:pt>
                <c:pt idx="9">
                  <c:v>84.34658565931376</c:v>
                </c:pt>
                <c:pt idx="10">
                  <c:v>83.14436051623079</c:v>
                </c:pt>
                <c:pt idx="11">
                  <c:v>81.851245367206772</c:v>
                </c:pt>
                <c:pt idx="12">
                  <c:v>80.486150129241082</c:v>
                </c:pt>
                <c:pt idx="13">
                  <c:v>79.062456979502372</c:v>
                </c:pt>
                <c:pt idx="14">
                  <c:v>77.589372283540428</c:v>
                </c:pt>
                <c:pt idx="15">
                  <c:v>76.072980122015863</c:v>
                </c:pt>
                <c:pt idx="16">
                  <c:v>74.517049537486812</c:v>
                </c:pt>
                <c:pt idx="17">
                  <c:v>72.92364600769389</c:v>
                </c:pt>
                <c:pt idx="18">
                  <c:v>71.293591966585794</c:v>
                </c:pt>
                <c:pt idx="19">
                  <c:v>69.626813651335098</c:v>
                </c:pt>
                <c:pt idx="20">
                  <c:v>67.922603951084383</c:v>
                </c:pt>
                <c:pt idx="21">
                  <c:v>66.17982420393119</c:v>
                </c:pt>
                <c:pt idx="22">
                  <c:v>64.397062344219265</c:v>
                </c:pt>
                <c:pt idx="23">
                  <c:v>62.572760417863691</c:v>
                </c:pt>
                <c:pt idx="24">
                  <c:v>60.705321090345549</c:v>
                </c:pt>
                <c:pt idx="25">
                  <c:v>58.793200162631322</c:v>
                </c:pt>
                <c:pt idx="26">
                  <c:v>56.834990088439767</c:v>
                </c:pt>
                <c:pt idx="27">
                  <c:v>54.829497886430204</c:v>
                </c:pt>
                <c:pt idx="28">
                  <c:v>52.775819533153637</c:v>
                </c:pt>
                <c:pt idx="29">
                  <c:v>50.673411811694962</c:v>
                </c:pt>
                <c:pt idx="30">
                  <c:v>48.522161613555738</c:v>
                </c:pt>
                <c:pt idx="31">
                  <c:v>46.322451813781214</c:v>
                </c:pt>
                <c:pt idx="32">
                  <c:v>44.075222055204762</c:v>
                </c:pt>
                <c:pt idx="33">
                  <c:v>41.782022105512709</c:v>
                </c:pt>
                <c:pt idx="34">
                  <c:v>39.44505493041828</c:v>
                </c:pt>
                <c:pt idx="35">
                  <c:v>37.067206312685585</c:v>
                </c:pt>
                <c:pt idx="36">
                  <c:v>34.652057801369921</c:v>
                </c:pt>
                <c:pt idx="37">
                  <c:v>32.203880053685026</c:v>
                </c:pt>
                <c:pt idx="38">
                  <c:v>29.727604267864933</c:v>
                </c:pt>
                <c:pt idx="39">
                  <c:v>27.228770398246013</c:v>
                </c:pt>
                <c:pt idx="40">
                  <c:v>24.71345214548208</c:v>
                </c:pt>
                <c:pt idx="41">
                  <c:v>22.188160225345399</c:v>
                </c:pt>
                <c:pt idx="42">
                  <c:v>19.659726992590379</c:v>
                </c:pt>
                <c:pt idx="43">
                  <c:v>17.135176955324852</c:v>
                </c:pt>
                <c:pt idx="44">
                  <c:v>14.621588879832814</c:v>
                </c:pt>
                <c:pt idx="45">
                  <c:v>12.125955901950533</c:v>
                </c:pt>
                <c:pt idx="46">
                  <c:v>9.6550502302660277</c:v>
                </c:pt>
                <c:pt idx="47">
                  <c:v>7.215298624192144</c:v>
                </c:pt>
                <c:pt idx="48">
                  <c:v>4.8126739110364554</c:v>
                </c:pt>
                <c:pt idx="49">
                  <c:v>2.4526064933419605</c:v>
                </c:pt>
                <c:pt idx="50">
                  <c:v>0.13991825822293436</c:v>
                </c:pt>
                <c:pt idx="51">
                  <c:v>-2.1212202845083539</c:v>
                </c:pt>
                <c:pt idx="52">
                  <c:v>-4.3273102732088091</c:v>
                </c:pt>
                <c:pt idx="53">
                  <c:v>-6.4755240288761797</c:v>
                </c:pt>
                <c:pt idx="54">
                  <c:v>-8.5636866001169665</c:v>
                </c:pt>
                <c:pt idx="55">
                  <c:v>-10.590242608357471</c:v>
                </c:pt>
                <c:pt idx="56">
                  <c:v>-12.554211895939261</c:v>
                </c:pt>
                <c:pt idx="57">
                  <c:v>-14.455137413705984</c:v>
                </c:pt>
                <c:pt idx="58">
                  <c:v>-16.293028507875079</c:v>
                </c:pt>
                <c:pt idx="59">
                  <c:v>-18.068302350782915</c:v>
                </c:pt>
                <c:pt idx="60">
                  <c:v>-19.781725773189805</c:v>
                </c:pt>
                <c:pt idx="61">
                  <c:v>-21.434359252360082</c:v>
                </c:pt>
                <c:pt idx="62">
                  <c:v>-23.027504330931151</c:v>
                </c:pt>
                <c:pt idx="63">
                  <c:v>-24.562655313421146</c:v>
                </c:pt>
                <c:pt idx="64">
                  <c:v>-26.041455724516311</c:v>
                </c:pt>
                <c:pt idx="65">
                  <c:v>-27.46565972073455</c:v>
                </c:pt>
                <c:pt idx="66">
                  <c:v>-28.837098422526537</c:v>
                </c:pt>
                <c:pt idx="67">
                  <c:v>-30.157650970766667</c:v>
                </c:pt>
                <c:pt idx="68">
                  <c:v>-31.429220001106955</c:v>
                </c:pt>
                <c:pt idx="69">
                  <c:v>-32.653711162187847</c:v>
                </c:pt>
                <c:pt idx="70">
                  <c:v>-33.833016269940629</c:v>
                </c:pt>
                <c:pt idx="71">
                  <c:v>-34.968999681741366</c:v>
                </c:pt>
                <c:pt idx="72">
                  <c:v>-36.063487483814299</c:v>
                </c:pt>
                <c:pt idx="73">
                  <c:v>-37.118259107117751</c:v>
                </c:pt>
                <c:pt idx="74">
                  <c:v>-38.135041016333162</c:v>
                </c:pt>
                <c:pt idx="75">
                  <c:v>-39.115502149973565</c:v>
                </c:pt>
                <c:pt idx="76">
                  <c:v>-40.061250824455044</c:v>
                </c:pt>
                <c:pt idx="77">
                  <c:v>-40.973832849377914</c:v>
                </c:pt>
                <c:pt idx="78">
                  <c:v>-41.854730634075906</c:v>
                </c:pt>
                <c:pt idx="79">
                  <c:v>-42.70536309593524</c:v>
                </c:pt>
                <c:pt idx="80">
                  <c:v>-43.527086208660194</c:v>
                </c:pt>
                <c:pt idx="81">
                  <c:v>-44.321194053441786</c:v>
                </c:pt>
                <c:pt idx="82">
                  <c:v>-45.088920257855307</c:v>
                </c:pt>
                <c:pt idx="83">
                  <c:v>-45.831439726406529</c:v>
                </c:pt>
                <c:pt idx="84">
                  <c:v>-46.549870583186134</c:v>
                </c:pt>
                <c:pt idx="85">
                  <c:v>-47.245276261262347</c:v>
                </c:pt>
                <c:pt idx="86">
                  <c:v>-47.918667685536207</c:v>
                </c:pt>
                <c:pt idx="87">
                  <c:v>-48.571005506005406</c:v>
                </c:pt>
                <c:pt idx="88">
                  <c:v>-49.203202346994317</c:v>
                </c:pt>
                <c:pt idx="89">
                  <c:v>-49.816125045109743</c:v>
                </c:pt>
                <c:pt idx="90">
                  <c:v>-50.410596854673713</c:v>
                </c:pt>
                <c:pt idx="91">
                  <c:v>-50.987399604346706</c:v>
                </c:pt>
                <c:pt idx="92">
                  <c:v>-51.547275792735718</c:v>
                </c:pt>
                <c:pt idx="93">
                  <c:v>-52.09093061412517</c:v>
                </c:pt>
                <c:pt idx="94">
                  <c:v>-52.619033908185827</c:v>
                </c:pt>
                <c:pt idx="95">
                  <c:v>-53.132222029713205</c:v>
                </c:pt>
                <c:pt idx="96">
                  <c:v>-53.631099636205022</c:v>
                </c:pt>
                <c:pt idx="97">
                  <c:v>-54.116241392488178</c:v>
                </c:pt>
                <c:pt idx="98">
                  <c:v>-54.588193592703419</c:v>
                </c:pt>
                <c:pt idx="99">
                  <c:v>-55.047475700805421</c:v>
                </c:pt>
              </c:numCache>
            </c:numRef>
          </c:yVal>
          <c:smooth val="0"/>
          <c:extLst>
            <c:ext xmlns:c16="http://schemas.microsoft.com/office/drawing/2014/chart" uri="{C3380CC4-5D6E-409C-BE32-E72D297353CC}">
              <c16:uniqueId val="{00000001-8A5E-4502-B1A0-DC91060BAB8A}"/>
            </c:ext>
          </c:extLst>
        </c:ser>
        <c:dLbls>
          <c:showLegendKey val="0"/>
          <c:showVal val="0"/>
          <c:showCatName val="0"/>
          <c:showSerName val="0"/>
          <c:showPercent val="0"/>
          <c:showBubbleSize val="0"/>
        </c:dLbls>
        <c:axId val="3"/>
        <c:axId val="4"/>
      </c:scatterChart>
      <c:valAx>
        <c:axId val="507661520"/>
        <c:scaling>
          <c:logBase val="10"/>
          <c:orientation val="minMax"/>
          <c:min val="100"/>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975" b="1" i="0" u="none" strike="noStrike" baseline="0">
                    <a:solidFill>
                      <a:srgbClr val="000000"/>
                    </a:solidFill>
                    <a:latin typeface="Arial"/>
                    <a:ea typeface="Arial"/>
                    <a:cs typeface="Arial"/>
                  </a:defRPr>
                </a:pPr>
                <a:r>
                  <a:rPr lang="en-US"/>
                  <a:t>Frequency in Hz</a:t>
                </a:r>
              </a:p>
            </c:rich>
          </c:tx>
          <c:layout>
            <c:manualLayout>
              <c:xMode val="edge"/>
              <c:yMode val="edge"/>
              <c:x val="0.41680425297156326"/>
              <c:y val="0.931122592941602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75" b="1" i="0" u="none" strike="noStrike" baseline="0">
                <a:solidFill>
                  <a:srgbClr val="000000"/>
                </a:solidFill>
                <a:latin typeface="Arial"/>
                <a:ea typeface="Arial"/>
                <a:cs typeface="Arial"/>
              </a:defRPr>
            </a:pPr>
            <a:endParaRPr lang="en-US"/>
          </a:p>
        </c:txPr>
        <c:crossAx val="1"/>
        <c:crossesAt val="-80"/>
        <c:crossBetween val="midCat"/>
      </c:valAx>
      <c:valAx>
        <c:axId val="1"/>
        <c:scaling>
          <c:orientation val="minMax"/>
          <c:max val="80"/>
          <c:min val="-80"/>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US"/>
                  <a:t>Gain in dB</a:t>
                </a:r>
              </a:p>
            </c:rich>
          </c:tx>
          <c:layout>
            <c:manualLayout>
              <c:xMode val="edge"/>
              <c:yMode val="edge"/>
              <c:x val="1.9769296353879334E-2"/>
              <c:y val="0.397959091320481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75" b="1" i="0" u="none" strike="noStrike" baseline="0">
                <a:solidFill>
                  <a:srgbClr val="000000"/>
                </a:solidFill>
                <a:latin typeface="Arial"/>
                <a:ea typeface="Arial"/>
                <a:cs typeface="Arial"/>
              </a:defRPr>
            </a:pPr>
            <a:endParaRPr lang="en-US"/>
          </a:p>
        </c:txPr>
        <c:crossAx val="507661520"/>
        <c:crosses val="autoZero"/>
        <c:crossBetween val="midCat"/>
      </c:valAx>
      <c:valAx>
        <c:axId val="3"/>
        <c:scaling>
          <c:logBase val="10"/>
          <c:orientation val="minMax"/>
        </c:scaling>
        <c:delete val="1"/>
        <c:axPos val="b"/>
        <c:numFmt formatCode="General" sourceLinked="1"/>
        <c:majorTickMark val="out"/>
        <c:minorTickMark val="none"/>
        <c:tickLblPos val="nextTo"/>
        <c:crossAx val="4"/>
        <c:crosses val="autoZero"/>
        <c:crossBetween val="midCat"/>
      </c:valAx>
      <c:valAx>
        <c:axId val="4"/>
        <c:scaling>
          <c:orientation val="minMax"/>
          <c:max val="180"/>
          <c:min val="-18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975" b="1" i="0" u="none" strike="noStrike" baseline="0">
                <a:solidFill>
                  <a:srgbClr val="000000"/>
                </a:solidFill>
                <a:latin typeface="Arial"/>
                <a:ea typeface="Arial"/>
                <a:cs typeface="Arial"/>
              </a:defRPr>
            </a:pPr>
            <a:endParaRPr lang="en-US"/>
          </a:p>
        </c:txPr>
        <c:crossAx val="3"/>
        <c:crosses val="max"/>
        <c:crossBetween val="midCat"/>
        <c:majorUnit val="45"/>
      </c:valAx>
      <c:spPr>
        <a:solidFill>
          <a:srgbClr val="FFFFFF"/>
        </a:solidFill>
        <a:ln w="12700">
          <a:solidFill>
            <a:srgbClr val="808080"/>
          </a:solidFill>
          <a:prstDash val="solid"/>
        </a:ln>
      </c:spPr>
    </c:plotArea>
    <c:legend>
      <c:legendPos val="r"/>
      <c:layout>
        <c:manualLayout>
          <c:xMode val="edge"/>
          <c:yMode val="edge"/>
          <c:x val="0.12275352704108956"/>
          <c:y val="0.70078936087776"/>
          <c:w val="0.16203465569423822"/>
          <c:h val="0.12276601942384117"/>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14</xdr:col>
      <xdr:colOff>466725</xdr:colOff>
      <xdr:row>38</xdr:row>
      <xdr:rowOff>19050</xdr:rowOff>
    </xdr:to>
    <xdr:pic>
      <xdr:nvPicPr>
        <xdr:cNvPr id="4149" name="Picture 2">
          <a:extLst>
            <a:ext uri="{FF2B5EF4-FFF2-40B4-BE49-F238E27FC236}">
              <a16:creationId xmlns:a16="http://schemas.microsoft.com/office/drawing/2014/main" id="{7A47A581-D9A2-4F09-A4D6-3C564BEBF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71450"/>
          <a:ext cx="8382000" cy="600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151</xdr:row>
      <xdr:rowOff>28575</xdr:rowOff>
    </xdr:from>
    <xdr:to>
      <xdr:col>3</xdr:col>
      <xdr:colOff>552450</xdr:colOff>
      <xdr:row>171</xdr:row>
      <xdr:rowOff>133350</xdr:rowOff>
    </xdr:to>
    <xdr:graphicFrame macro="">
      <xdr:nvGraphicFramePr>
        <xdr:cNvPr id="1088" name="Chart 12">
          <a:extLst>
            <a:ext uri="{FF2B5EF4-FFF2-40B4-BE49-F238E27FC236}">
              <a16:creationId xmlns:a16="http://schemas.microsoft.com/office/drawing/2014/main" id="{8F061212-D095-47E7-B34B-038C551337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8</xdr:col>
      <xdr:colOff>419100</xdr:colOff>
      <xdr:row>4</xdr:row>
      <xdr:rowOff>76200</xdr:rowOff>
    </xdr:to>
    <xdr:pic>
      <xdr:nvPicPr>
        <xdr:cNvPr id="5176" name="Picture 2">
          <a:extLst>
            <a:ext uri="{FF2B5EF4-FFF2-40B4-BE49-F238E27FC236}">
              <a16:creationId xmlns:a16="http://schemas.microsoft.com/office/drawing/2014/main" id="{19012F2F-12DE-46D8-913B-847B5B2736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5295900" cy="704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pic>
    <xdr:clientData fLocksWithSheet="0"/>
  </xdr:twoCellAnchor>
  <mc:AlternateContent xmlns:mc="http://schemas.openxmlformats.org/markup-compatibility/2006">
    <mc:Choice xmlns:a14="http://schemas.microsoft.com/office/drawing/2010/main" Requires="a14">
      <xdr:twoCellAnchor editAs="oneCell">
        <xdr:from>
          <xdr:col>0</xdr:col>
          <xdr:colOff>38100</xdr:colOff>
          <xdr:row>5</xdr:row>
          <xdr:rowOff>47625</xdr:rowOff>
        </xdr:from>
        <xdr:to>
          <xdr:col>8</xdr:col>
          <xdr:colOff>428625</xdr:colOff>
          <xdr:row>46</xdr:row>
          <xdr:rowOff>47625</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285750</xdr:colOff>
      <xdr:row>34</xdr:row>
      <xdr:rowOff>104775</xdr:rowOff>
    </xdr:to>
    <xdr:pic>
      <xdr:nvPicPr>
        <xdr:cNvPr id="6198" name="Picture 3">
          <a:extLst>
            <a:ext uri="{FF2B5EF4-FFF2-40B4-BE49-F238E27FC236}">
              <a16:creationId xmlns:a16="http://schemas.microsoft.com/office/drawing/2014/main" id="{CFDE352D-37CD-4AD8-8BDE-770E3C27CF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552950" cy="5610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314325</xdr:colOff>
      <xdr:row>34</xdr:row>
      <xdr:rowOff>104775</xdr:rowOff>
    </xdr:to>
    <xdr:pic>
      <xdr:nvPicPr>
        <xdr:cNvPr id="7222" name="Picture 3">
          <a:extLst>
            <a:ext uri="{FF2B5EF4-FFF2-40B4-BE49-F238E27FC236}">
              <a16:creationId xmlns:a16="http://schemas.microsoft.com/office/drawing/2014/main" id="{FD865A7B-6D2A-42F3-B3CF-DD7EA92F7F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581525" cy="5610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219075</xdr:colOff>
      <xdr:row>85</xdr:row>
      <xdr:rowOff>95250</xdr:rowOff>
    </xdr:from>
    <xdr:to>
      <xdr:col>7</xdr:col>
      <xdr:colOff>47625</xdr:colOff>
      <xdr:row>105</xdr:row>
      <xdr:rowOff>123825</xdr:rowOff>
    </xdr:to>
    <xdr:graphicFrame macro="">
      <xdr:nvGraphicFramePr>
        <xdr:cNvPr id="3127" name="Chart 4">
          <a:extLst>
            <a:ext uri="{FF2B5EF4-FFF2-40B4-BE49-F238E27FC236}">
              <a16:creationId xmlns:a16="http://schemas.microsoft.com/office/drawing/2014/main" id="{E1810966-47A1-472B-BA5C-8A0FC84913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0799388\My%20Documents\Applications%20Information\UCC28070\Design%20Tool\UCC28070%20Design%20Tool%208%2015%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ign Information"/>
      <sheetName val="Current Loop Calaculations"/>
      <sheetName val="Voltage Loop Calaclations"/>
    </sheetNames>
    <sheetDataSet>
      <sheetData sheetId="0">
        <row r="29">
          <cell r="C29">
            <v>2.4499999999999999E-4</v>
          </cell>
        </row>
        <row r="40">
          <cell r="C40">
            <v>50</v>
          </cell>
        </row>
        <row r="83">
          <cell r="C83">
            <v>4020</v>
          </cell>
        </row>
        <row r="85">
          <cell r="C85">
            <v>2.1999999999999998E-9</v>
          </cell>
        </row>
        <row r="87">
          <cell r="C87">
            <v>3.3E-10</v>
          </cell>
        </row>
      </sheetData>
      <sheetData sheetId="1"/>
      <sheetData sheetId="2"/>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workbookViewId="0">
      <selection activeCell="A14" sqref="A14:N14"/>
    </sheetView>
  </sheetViews>
  <sheetFormatPr defaultRowHeight="12.75" x14ac:dyDescent="0.2"/>
  <sheetData>
    <row r="1" spans="1:14" ht="33.75" x14ac:dyDescent="0.2">
      <c r="A1" s="106" t="s">
        <v>337</v>
      </c>
      <c r="B1" s="106"/>
      <c r="C1" s="106"/>
      <c r="D1" s="106"/>
      <c r="E1" s="106"/>
      <c r="F1" s="106"/>
      <c r="G1" s="106"/>
      <c r="H1" s="106"/>
      <c r="I1" s="106"/>
      <c r="J1" s="106"/>
      <c r="K1" s="106"/>
      <c r="L1" s="106"/>
      <c r="M1" s="106"/>
      <c r="N1" s="106"/>
    </row>
    <row r="2" spans="1:14" ht="25.5" x14ac:dyDescent="0.2">
      <c r="A2" s="107" t="s">
        <v>0</v>
      </c>
      <c r="B2" s="107"/>
      <c r="C2" s="107"/>
      <c r="D2" s="107"/>
      <c r="E2" s="107"/>
      <c r="F2" s="107"/>
      <c r="G2" s="107"/>
      <c r="H2" s="107"/>
      <c r="I2" s="107"/>
      <c r="J2" s="107"/>
      <c r="K2" s="107"/>
      <c r="L2" s="107"/>
      <c r="M2" s="107"/>
      <c r="N2" s="107"/>
    </row>
    <row r="3" spans="1:14" x14ac:dyDescent="0.2">
      <c r="A3" s="104"/>
      <c r="B3" s="104"/>
      <c r="C3" s="104"/>
      <c r="D3" s="104"/>
      <c r="E3" s="104"/>
      <c r="F3" s="104"/>
      <c r="G3" s="104"/>
      <c r="H3" s="104"/>
      <c r="I3" s="104"/>
      <c r="J3" s="104"/>
      <c r="K3" s="104"/>
      <c r="L3" s="104"/>
      <c r="M3" s="104"/>
      <c r="N3" s="104"/>
    </row>
    <row r="4" spans="1:14" ht="25.5" x14ac:dyDescent="0.2">
      <c r="A4" s="105" t="s">
        <v>1</v>
      </c>
      <c r="B4" s="105"/>
      <c r="C4" s="105"/>
      <c r="D4" s="105"/>
      <c r="E4" s="105"/>
      <c r="F4" s="105"/>
      <c r="G4" s="105"/>
      <c r="H4" s="105"/>
      <c r="I4" s="105"/>
      <c r="J4" s="105"/>
      <c r="K4" s="105"/>
      <c r="L4" s="105"/>
      <c r="M4" s="105"/>
      <c r="N4" s="105"/>
    </row>
    <row r="5" spans="1:14" x14ac:dyDescent="0.2">
      <c r="A5" s="104"/>
      <c r="B5" s="104"/>
      <c r="C5" s="104"/>
      <c r="D5" s="104"/>
      <c r="E5" s="104"/>
      <c r="F5" s="104"/>
      <c r="G5" s="104"/>
      <c r="H5" s="104"/>
      <c r="I5" s="104"/>
      <c r="J5" s="104"/>
      <c r="K5" s="104"/>
      <c r="L5" s="104"/>
      <c r="M5" s="104"/>
      <c r="N5" s="104"/>
    </row>
    <row r="6" spans="1:14" ht="25.5" x14ac:dyDescent="0.2">
      <c r="A6" s="1" t="s">
        <v>2</v>
      </c>
      <c r="B6" s="1"/>
      <c r="C6" s="1"/>
      <c r="D6" s="1"/>
      <c r="E6" s="1"/>
      <c r="F6" s="1"/>
      <c r="G6" s="1"/>
      <c r="H6" s="1"/>
      <c r="I6" s="1"/>
      <c r="J6" s="1"/>
      <c r="K6" s="1"/>
      <c r="L6" s="1"/>
      <c r="M6" s="1"/>
      <c r="N6" s="1"/>
    </row>
    <row r="7" spans="1:14" ht="25.5" x14ac:dyDescent="0.2">
      <c r="A7" s="1"/>
      <c r="B7" s="105" t="s">
        <v>3</v>
      </c>
      <c r="C7" s="105"/>
      <c r="D7" s="105"/>
      <c r="E7" s="105"/>
      <c r="F7" s="105"/>
      <c r="G7" s="105"/>
      <c r="H7" s="105"/>
      <c r="I7" s="105"/>
      <c r="J7" s="105"/>
      <c r="K7" s="105"/>
      <c r="L7" s="105"/>
      <c r="M7" s="105"/>
      <c r="N7" s="105"/>
    </row>
    <row r="8" spans="1:14" ht="25.5" x14ac:dyDescent="0.2">
      <c r="A8" s="1"/>
      <c r="B8" s="105" t="s">
        <v>4</v>
      </c>
      <c r="C8" s="105"/>
      <c r="D8" s="105"/>
      <c r="E8" s="105"/>
      <c r="F8" s="105"/>
      <c r="G8" s="105"/>
      <c r="H8" s="105"/>
      <c r="I8" s="105"/>
      <c r="J8" s="105"/>
      <c r="K8" s="105"/>
      <c r="L8" s="105"/>
      <c r="M8" s="105"/>
      <c r="N8" s="105"/>
    </row>
    <row r="9" spans="1:14" ht="25.5" x14ac:dyDescent="0.2">
      <c r="A9" s="1"/>
      <c r="B9" s="105" t="s">
        <v>5</v>
      </c>
      <c r="C9" s="105"/>
      <c r="D9" s="105"/>
      <c r="E9" s="105"/>
      <c r="F9" s="105"/>
      <c r="G9" s="105"/>
      <c r="H9" s="105"/>
      <c r="I9" s="105"/>
      <c r="J9" s="105"/>
      <c r="K9" s="105"/>
      <c r="L9" s="105"/>
      <c r="M9" s="105"/>
      <c r="N9" s="105"/>
    </row>
    <row r="10" spans="1:14" ht="25.5" x14ac:dyDescent="0.2">
      <c r="A10" s="1" t="s">
        <v>6</v>
      </c>
      <c r="B10" s="1"/>
      <c r="C10" s="1"/>
      <c r="D10" s="1"/>
      <c r="E10" s="1"/>
      <c r="F10" s="1"/>
      <c r="G10" s="1"/>
      <c r="H10" s="1"/>
      <c r="I10" s="1"/>
      <c r="J10" s="1"/>
      <c r="K10" s="1"/>
      <c r="L10" s="1"/>
      <c r="M10" s="1"/>
      <c r="N10" s="1"/>
    </row>
    <row r="11" spans="1:14" ht="25.5" x14ac:dyDescent="0.2">
      <c r="A11" s="1"/>
      <c r="B11" s="1"/>
      <c r="C11" s="1"/>
      <c r="D11" s="1"/>
      <c r="E11" s="1"/>
      <c r="F11" s="1"/>
      <c r="G11" s="1"/>
      <c r="H11" s="1"/>
      <c r="I11" s="1"/>
      <c r="J11" s="1"/>
      <c r="K11" s="1"/>
      <c r="L11" s="1"/>
      <c r="M11" s="1"/>
      <c r="N11" s="1"/>
    </row>
    <row r="12" spans="1:14" ht="25.5" x14ac:dyDescent="0.2">
      <c r="A12" s="103" t="s">
        <v>296</v>
      </c>
      <c r="B12" s="103"/>
      <c r="C12" s="103"/>
      <c r="D12" s="103"/>
      <c r="E12" s="103"/>
      <c r="F12" s="103"/>
      <c r="G12" s="103"/>
      <c r="H12" s="103"/>
      <c r="I12" s="103"/>
      <c r="J12" s="103"/>
      <c r="K12" s="103"/>
      <c r="L12" s="103"/>
      <c r="M12" s="103"/>
      <c r="N12" s="103"/>
    </row>
    <row r="13" spans="1:14" ht="25.5" x14ac:dyDescent="0.2">
      <c r="A13" s="80"/>
      <c r="B13" s="80"/>
      <c r="C13" s="80"/>
      <c r="D13" s="80"/>
      <c r="E13" s="80"/>
      <c r="F13" s="80"/>
      <c r="G13" s="80"/>
      <c r="H13" s="80"/>
      <c r="I13" s="80"/>
      <c r="J13" s="80"/>
      <c r="K13" s="80"/>
      <c r="L13" s="80"/>
      <c r="M13" s="80"/>
      <c r="N13" s="80"/>
    </row>
    <row r="14" spans="1:14" ht="25.5" x14ac:dyDescent="0.2">
      <c r="A14" s="103" t="s">
        <v>7</v>
      </c>
      <c r="B14" s="103"/>
      <c r="C14" s="103"/>
      <c r="D14" s="103"/>
      <c r="E14" s="103"/>
      <c r="F14" s="103"/>
      <c r="G14" s="103"/>
      <c r="H14" s="103"/>
      <c r="I14" s="103"/>
      <c r="J14" s="103"/>
      <c r="K14" s="103"/>
      <c r="L14" s="103"/>
      <c r="M14" s="103"/>
      <c r="N14" s="103"/>
    </row>
    <row r="15" spans="1:14" ht="25.5" x14ac:dyDescent="0.2">
      <c r="A15" s="80"/>
      <c r="B15" s="80"/>
      <c r="C15" s="80"/>
      <c r="D15" s="80"/>
      <c r="E15" s="80"/>
      <c r="F15" s="80"/>
      <c r="G15" s="80"/>
      <c r="H15" s="80"/>
      <c r="I15" s="80"/>
      <c r="J15" s="80"/>
      <c r="K15" s="80"/>
      <c r="L15" s="80"/>
      <c r="M15" s="80"/>
      <c r="N15" s="80"/>
    </row>
    <row r="16" spans="1:14" ht="45.75" customHeight="1" x14ac:dyDescent="0.2">
      <c r="A16" s="103" t="s">
        <v>330</v>
      </c>
      <c r="B16" s="103"/>
      <c r="C16" s="103"/>
      <c r="D16" s="103"/>
      <c r="E16" s="103"/>
      <c r="F16" s="103"/>
      <c r="G16" s="103"/>
      <c r="H16" s="103"/>
      <c r="I16" s="103"/>
      <c r="J16" s="103"/>
      <c r="K16" s="103"/>
      <c r="L16" s="103"/>
      <c r="M16" s="103"/>
      <c r="N16" s="103"/>
    </row>
    <row r="17" spans="1:1" x14ac:dyDescent="0.2">
      <c r="A17" t="s">
        <v>19</v>
      </c>
    </row>
  </sheetData>
  <sheetProtection password="ECDD" sheet="1"/>
  <mergeCells count="11">
    <mergeCell ref="A1:N1"/>
    <mergeCell ref="A2:N2"/>
    <mergeCell ref="A3:N3"/>
    <mergeCell ref="A4:N4"/>
    <mergeCell ref="A12:N12"/>
    <mergeCell ref="A16:N16"/>
    <mergeCell ref="A5:N5"/>
    <mergeCell ref="B7:N7"/>
    <mergeCell ref="B8:N8"/>
    <mergeCell ref="B9:N9"/>
    <mergeCell ref="A14:N14"/>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43"/>
  <sheetViews>
    <sheetView workbookViewId="0">
      <selection activeCell="S21" sqref="S21"/>
    </sheetView>
  </sheetViews>
  <sheetFormatPr defaultRowHeight="12.75" x14ac:dyDescent="0.2"/>
  <sheetData>
    <row r="43" spans="4:4" x14ac:dyDescent="0.2">
      <c r="D43" t="s">
        <v>19</v>
      </c>
    </row>
  </sheetData>
  <sheetProtection password="ECDD" sheet="1"/>
  <phoneticPr fontId="21" type="noConversion"/>
  <pageMargins left="0.75" right="0.75" top="1" bottom="1"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32"/>
  <sheetViews>
    <sheetView tabSelected="1" topLeftCell="A27" zoomScale="85" zoomScaleNormal="85" workbookViewId="0">
      <selection activeCell="C107" sqref="C107"/>
    </sheetView>
  </sheetViews>
  <sheetFormatPr defaultRowHeight="15.75" x14ac:dyDescent="0.25"/>
  <cols>
    <col min="1" max="1" width="66.140625" style="52" customWidth="1"/>
    <col min="2" max="2" width="15" style="52" customWidth="1"/>
    <col min="3" max="3" width="13.42578125" style="58" customWidth="1"/>
    <col min="4" max="5" width="11.5703125" style="52" customWidth="1"/>
    <col min="6" max="16384" width="9.140625" style="52"/>
  </cols>
  <sheetData>
    <row r="1" spans="1:8" x14ac:dyDescent="0.25">
      <c r="A1" s="52" t="s">
        <v>339</v>
      </c>
    </row>
    <row r="2" spans="1:8" x14ac:dyDescent="0.25">
      <c r="A2" s="52" t="s">
        <v>338</v>
      </c>
      <c r="B2" s="53">
        <v>45723</v>
      </c>
      <c r="H2" s="100"/>
    </row>
    <row r="3" spans="1:8" x14ac:dyDescent="0.25">
      <c r="B3" s="53"/>
      <c r="H3" s="100"/>
    </row>
    <row r="4" spans="1:8" x14ac:dyDescent="0.25">
      <c r="A4" s="76" t="s">
        <v>328</v>
      </c>
      <c r="B4" s="77"/>
      <c r="C4" s="89"/>
      <c r="D4" s="76"/>
      <c r="E4" s="76"/>
      <c r="F4" s="76"/>
    </row>
    <row r="5" spans="1:8" x14ac:dyDescent="0.25">
      <c r="A5" s="76" t="s">
        <v>289</v>
      </c>
      <c r="B5" s="77"/>
      <c r="C5" s="89"/>
      <c r="D5" s="76"/>
      <c r="E5" s="76"/>
      <c r="F5" s="76"/>
    </row>
    <row r="6" spans="1:8" x14ac:dyDescent="0.25">
      <c r="A6" s="81" t="s">
        <v>331</v>
      </c>
      <c r="B6" s="82"/>
      <c r="C6" s="90"/>
      <c r="D6" s="81"/>
      <c r="E6" s="81"/>
      <c r="F6" s="81"/>
    </row>
    <row r="7" spans="1:8" x14ac:dyDescent="0.25">
      <c r="A7" s="83" t="s">
        <v>302</v>
      </c>
      <c r="B7" s="84"/>
      <c r="C7" s="91"/>
      <c r="D7" s="83"/>
      <c r="E7" s="83"/>
      <c r="F7" s="83"/>
    </row>
    <row r="8" spans="1:8" s="48" customFormat="1" x14ac:dyDescent="0.25">
      <c r="A8" s="83" t="s">
        <v>301</v>
      </c>
      <c r="B8" s="84"/>
      <c r="C8" s="91"/>
      <c r="D8" s="83"/>
      <c r="E8" s="83"/>
      <c r="F8" s="83"/>
    </row>
    <row r="9" spans="1:8" s="48" customFormat="1" x14ac:dyDescent="0.25">
      <c r="A9" s="83" t="s">
        <v>299</v>
      </c>
      <c r="B9" s="84"/>
      <c r="C9" s="91"/>
      <c r="D9" s="83"/>
      <c r="E9" s="83"/>
      <c r="F9" s="83"/>
    </row>
    <row r="10" spans="1:8" s="48" customFormat="1" x14ac:dyDescent="0.25">
      <c r="A10" s="83" t="s">
        <v>300</v>
      </c>
      <c r="B10" s="84"/>
      <c r="C10" s="91"/>
      <c r="D10" s="83"/>
      <c r="E10" s="83"/>
      <c r="F10" s="83"/>
    </row>
    <row r="11" spans="1:8" x14ac:dyDescent="0.25">
      <c r="A11" s="52" t="s">
        <v>8</v>
      </c>
    </row>
    <row r="12" spans="1:8" x14ac:dyDescent="0.25">
      <c r="A12" s="52" t="s">
        <v>9</v>
      </c>
      <c r="B12" s="52" t="s">
        <v>10</v>
      </c>
      <c r="C12" s="58" t="s">
        <v>12</v>
      </c>
      <c r="D12" s="52" t="s">
        <v>11</v>
      </c>
      <c r="E12" s="52" t="s">
        <v>16</v>
      </c>
    </row>
    <row r="13" spans="1:8" x14ac:dyDescent="0.25">
      <c r="A13" s="52" t="s">
        <v>13</v>
      </c>
      <c r="B13" s="49">
        <v>400</v>
      </c>
      <c r="C13" s="92">
        <v>400</v>
      </c>
      <c r="D13" s="49">
        <v>950</v>
      </c>
      <c r="E13" s="52" t="s">
        <v>17</v>
      </c>
      <c r="F13" s="85" t="str">
        <f>IF(VINMAX/VINMIN&gt;3,"Please Keep Input Voltage &lt; 3:1","")</f>
        <v/>
      </c>
    </row>
    <row r="14" spans="1:8" x14ac:dyDescent="0.25">
      <c r="A14" s="52" t="s">
        <v>14</v>
      </c>
      <c r="B14" s="49">
        <v>12</v>
      </c>
      <c r="C14" s="92">
        <v>13.7</v>
      </c>
      <c r="D14" s="49">
        <v>14</v>
      </c>
      <c r="E14" s="52" t="s">
        <v>17</v>
      </c>
      <c r="F14" s="79" t="str">
        <f>IF(VOUT&lt;1.5,"The Minimum Output Voltage &gt; 1.5 V","")</f>
        <v/>
      </c>
      <c r="G14" s="48"/>
      <c r="H14" s="48"/>
    </row>
    <row r="15" spans="1:8" ht="31.5" x14ac:dyDescent="0.25">
      <c r="A15" s="54" t="s">
        <v>15</v>
      </c>
      <c r="D15" s="49">
        <v>1.7</v>
      </c>
      <c r="E15" s="52" t="s">
        <v>17</v>
      </c>
      <c r="F15" s="79"/>
    </row>
    <row r="16" spans="1:8" ht="18.75" x14ac:dyDescent="0.35">
      <c r="A16" s="54" t="s">
        <v>21</v>
      </c>
      <c r="D16" s="49">
        <v>1100</v>
      </c>
      <c r="E16" s="52" t="s">
        <v>18</v>
      </c>
    </row>
    <row r="17" spans="1:6" x14ac:dyDescent="0.25">
      <c r="A17" s="52" t="s">
        <v>23</v>
      </c>
      <c r="B17" s="50">
        <v>0.86</v>
      </c>
      <c r="D17" s="52" t="s">
        <v>19</v>
      </c>
      <c r="F17" s="79" t="str">
        <f>IF(Eff&gt;96%,"Please be Realistic with Efficiency Goal","")</f>
        <v/>
      </c>
    </row>
    <row r="18" spans="1:6" ht="18.75" x14ac:dyDescent="0.35">
      <c r="A18" s="52" t="s">
        <v>22</v>
      </c>
      <c r="C18" s="92">
        <v>200</v>
      </c>
      <c r="E18" s="52" t="s">
        <v>20</v>
      </c>
      <c r="F18" s="78" t="str">
        <f>IF(fs&gt;1000,"UCC28950 Can Only Achieve 1MHz Switching Frequency","")</f>
        <v/>
      </c>
    </row>
    <row r="19" spans="1:6" x14ac:dyDescent="0.25">
      <c r="A19" s="55"/>
      <c r="B19" s="55"/>
      <c r="C19" s="93"/>
      <c r="D19" s="55"/>
      <c r="E19" s="55"/>
      <c r="F19" s="55"/>
    </row>
    <row r="20" spans="1:6" x14ac:dyDescent="0.25">
      <c r="A20" s="75" t="s">
        <v>174</v>
      </c>
      <c r="B20" s="75"/>
      <c r="C20" s="94"/>
      <c r="D20" s="75"/>
      <c r="E20" s="75"/>
      <c r="F20" s="75"/>
    </row>
    <row r="21" spans="1:6" x14ac:dyDescent="0.25">
      <c r="A21" s="52" t="s">
        <v>9</v>
      </c>
      <c r="B21" s="52" t="s">
        <v>27</v>
      </c>
      <c r="D21" s="52" t="s">
        <v>16</v>
      </c>
    </row>
    <row r="22" spans="1:6" ht="18.75" x14ac:dyDescent="0.35">
      <c r="A22" s="52" t="s">
        <v>113</v>
      </c>
      <c r="B22" s="57" t="s">
        <v>24</v>
      </c>
      <c r="C22" s="58">
        <f>pout*(1-Eff)/Eff</f>
        <v>179.06976744186051</v>
      </c>
      <c r="D22" s="52" t="s">
        <v>18</v>
      </c>
    </row>
    <row r="23" spans="1:6" ht="18.75" x14ac:dyDescent="0.35">
      <c r="A23" s="52" t="s">
        <v>114</v>
      </c>
      <c r="B23" s="52" t="s">
        <v>25</v>
      </c>
      <c r="C23" s="58">
        <v>0.3</v>
      </c>
      <c r="D23" s="52" t="s">
        <v>17</v>
      </c>
    </row>
    <row r="24" spans="1:6" ht="18.75" x14ac:dyDescent="0.35">
      <c r="A24" s="52" t="s">
        <v>29</v>
      </c>
      <c r="B24" s="52" t="s">
        <v>31</v>
      </c>
      <c r="C24" s="58">
        <v>0.66</v>
      </c>
    </row>
    <row r="25" spans="1:6" ht="18.75" x14ac:dyDescent="0.35">
      <c r="A25" s="52" t="s">
        <v>28</v>
      </c>
      <c r="B25" s="52" t="s">
        <v>26</v>
      </c>
      <c r="C25" s="58">
        <f>((VINMIN-2*vrdson)*dmax)/(VOUT+vrdson)</f>
        <v>18.828857142857142</v>
      </c>
      <c r="D25" s="52" t="s">
        <v>19</v>
      </c>
      <c r="E25" s="52" t="s">
        <v>19</v>
      </c>
    </row>
    <row r="26" spans="1:6" x14ac:dyDescent="0.25">
      <c r="A26" s="52" t="s">
        <v>303</v>
      </c>
      <c r="B26" s="52" t="s">
        <v>26</v>
      </c>
      <c r="C26" s="102">
        <v>19</v>
      </c>
    </row>
    <row r="27" spans="1:6" s="58" customFormat="1" ht="18.75" x14ac:dyDescent="0.35">
      <c r="A27" s="58" t="s">
        <v>30</v>
      </c>
      <c r="B27" s="58" t="s">
        <v>32</v>
      </c>
      <c r="C27" s="58">
        <f>((VOUT+vrdson)*_taa1)/((vin-2*vrdson))</f>
        <v>0.66599899849774669</v>
      </c>
      <c r="D27" s="86" t="str">
        <f>IF(dtyp&gt;1,"Turns Ratio a1 in Error, Pleast Adjust","")</f>
        <v/>
      </c>
    </row>
    <row r="28" spans="1:6" ht="18.75" x14ac:dyDescent="0.35">
      <c r="A28" s="52" t="s">
        <v>33</v>
      </c>
      <c r="B28" s="69" t="s">
        <v>243</v>
      </c>
      <c r="C28" s="58">
        <f>pout*0.2/VOUT</f>
        <v>16.058394160583944</v>
      </c>
      <c r="D28" s="52" t="s">
        <v>34</v>
      </c>
    </row>
    <row r="29" spans="1:6" ht="18.75" x14ac:dyDescent="0.35">
      <c r="A29" s="52" t="s">
        <v>262</v>
      </c>
      <c r="B29" s="52" t="s">
        <v>35</v>
      </c>
      <c r="C29" s="58">
        <f>(vin*(1-dtyp)*_taa1)/(dilout*0.5*fs)</f>
        <v>1.5807356489279369</v>
      </c>
      <c r="D29" s="52" t="s">
        <v>36</v>
      </c>
      <c r="E29" s="101"/>
    </row>
    <row r="30" spans="1:6" ht="18.75" x14ac:dyDescent="0.35">
      <c r="A30" s="52" t="s">
        <v>290</v>
      </c>
      <c r="B30" s="52" t="s">
        <v>37</v>
      </c>
      <c r="C30" s="58">
        <f>(pout/VOUT)+(dilout/2)</f>
        <v>88.321167883211672</v>
      </c>
      <c r="D30" s="52" t="s">
        <v>34</v>
      </c>
      <c r="E30" s="52" t="s">
        <v>19</v>
      </c>
    </row>
    <row r="31" spans="1:6" ht="18.75" x14ac:dyDescent="0.35">
      <c r="A31" s="52" t="s">
        <v>290</v>
      </c>
      <c r="B31" s="52" t="s">
        <v>38</v>
      </c>
      <c r="C31" s="58">
        <f>(pout/VOUT)-(dilout/2)</f>
        <v>72.262773722627742</v>
      </c>
      <c r="D31" s="52" t="s">
        <v>34</v>
      </c>
      <c r="E31" s="64"/>
    </row>
    <row r="32" spans="1:6" ht="18.75" x14ac:dyDescent="0.35">
      <c r="A32" s="52" t="s">
        <v>290</v>
      </c>
      <c r="B32" s="52" t="s">
        <v>40</v>
      </c>
      <c r="C32" s="58">
        <f>ips-(dilout/2)</f>
        <v>80.291970802919707</v>
      </c>
      <c r="D32" s="52" t="s">
        <v>34</v>
      </c>
      <c r="E32" s="58" t="s">
        <v>19</v>
      </c>
    </row>
    <row r="33" spans="1:5" ht="18.75" x14ac:dyDescent="0.35">
      <c r="A33" s="52" t="s">
        <v>244</v>
      </c>
      <c r="B33" s="52" t="s">
        <v>39</v>
      </c>
      <c r="C33" s="58">
        <f>((dmax/2)*(ips*ims+(((ips-ims)^2)/3)))^0.5</f>
        <v>46.201035383641994</v>
      </c>
      <c r="D33" s="52" t="s">
        <v>34</v>
      </c>
      <c r="E33" s="57" t="s">
        <v>19</v>
      </c>
    </row>
    <row r="34" spans="1:5" ht="18.75" x14ac:dyDescent="0.35">
      <c r="A34" s="52" t="s">
        <v>244</v>
      </c>
      <c r="B34" s="52" t="s">
        <v>41</v>
      </c>
      <c r="C34" s="58">
        <f>(((1-dmax)/2)*(ips*_ims2+(((ips-_ims2)^2)/3)))^0.5</f>
        <v>34.773623547103895</v>
      </c>
      <c r="D34" s="52" t="s">
        <v>34</v>
      </c>
      <c r="E34" s="52" t="s">
        <v>19</v>
      </c>
    </row>
    <row r="35" spans="1:5" ht="18.75" x14ac:dyDescent="0.35">
      <c r="A35" s="52" t="s">
        <v>244</v>
      </c>
      <c r="B35" s="52" t="s">
        <v>42</v>
      </c>
      <c r="C35" s="58">
        <f>(dilout/2)*((1-dmax)/6)^0.5</f>
        <v>1.9113312095856778</v>
      </c>
      <c r="D35" s="52" t="s">
        <v>34</v>
      </c>
      <c r="E35" s="52" t="s">
        <v>19</v>
      </c>
    </row>
    <row r="36" spans="1:5" ht="18.75" x14ac:dyDescent="0.35">
      <c r="A36" s="52" t="s">
        <v>263</v>
      </c>
      <c r="B36" s="52" t="s">
        <v>43</v>
      </c>
      <c r="C36" s="58">
        <f>(isrms1^2+isrms2^2+isrms3^2)^0.5</f>
        <v>57.856665580631024</v>
      </c>
      <c r="D36" s="52" t="s">
        <v>34</v>
      </c>
    </row>
    <row r="37" spans="1:5" ht="18.75" x14ac:dyDescent="0.35">
      <c r="A37" s="52" t="s">
        <v>291</v>
      </c>
      <c r="B37" s="69" t="s">
        <v>329</v>
      </c>
      <c r="C37" s="58">
        <f>(VINMIN*dmax)/(lmag*fs)</f>
        <v>0.83505423623186514</v>
      </c>
      <c r="D37" s="52" t="s">
        <v>34</v>
      </c>
    </row>
    <row r="38" spans="1:5" ht="18.75" x14ac:dyDescent="0.35">
      <c r="A38" s="52" t="s">
        <v>290</v>
      </c>
      <c r="B38" s="52" t="s">
        <v>45</v>
      </c>
      <c r="C38" s="58">
        <f>(((pout/(VOUT*Eff))+dilout/2)/_taa1)+dilmag</f>
        <v>6.171472858751498</v>
      </c>
      <c r="D38" s="52" t="s">
        <v>34</v>
      </c>
    </row>
    <row r="39" spans="1:5" ht="18.75" x14ac:dyDescent="0.35">
      <c r="A39" s="52" t="s">
        <v>290</v>
      </c>
      <c r="B39" s="52" t="s">
        <v>46</v>
      </c>
      <c r="C39" s="58">
        <f>(((pout/(VOUT*Eff))-dilout/2)/_taa1)+dilmag</f>
        <v>5.3262942187207649</v>
      </c>
      <c r="D39" s="52" t="s">
        <v>34</v>
      </c>
    </row>
    <row r="40" spans="1:5" ht="18.75" x14ac:dyDescent="0.35">
      <c r="A40" s="52" t="s">
        <v>290</v>
      </c>
      <c r="B40" s="52" t="s">
        <v>47</v>
      </c>
      <c r="C40" s="58">
        <f>ipp-((dilout/2)/_ta1)</f>
        <v>5.7450424588938036</v>
      </c>
      <c r="D40" s="52" t="s">
        <v>34</v>
      </c>
    </row>
    <row r="41" spans="1:5" ht="18.75" x14ac:dyDescent="0.35">
      <c r="A41" s="52" t="s">
        <v>244</v>
      </c>
      <c r="B41" s="52" t="s">
        <v>48</v>
      </c>
      <c r="C41" s="58">
        <f>((dmax)*(ipp*imp+(((ipp-imp)^2)/3)))^0.5</f>
        <v>4.6746192211808939</v>
      </c>
      <c r="D41" s="52" t="s">
        <v>34</v>
      </c>
    </row>
    <row r="42" spans="1:5" ht="18.75" x14ac:dyDescent="0.35">
      <c r="A42" s="52" t="s">
        <v>244</v>
      </c>
      <c r="B42" s="52" t="s">
        <v>49</v>
      </c>
      <c r="C42" s="58">
        <f>(((1-dmax))*(ipp*_imp2+(((ipp-_imp2)^2)/3)))^0.5</f>
        <v>3.4749727893803035</v>
      </c>
      <c r="D42" s="52" t="s">
        <v>34</v>
      </c>
    </row>
    <row r="43" spans="1:5" ht="18.75" x14ac:dyDescent="0.35">
      <c r="A43" s="52" t="s">
        <v>292</v>
      </c>
      <c r="B43" s="52" t="s">
        <v>51</v>
      </c>
      <c r="C43" s="58">
        <f>((iprms1)^2+(iprms2)^2)^0.5</f>
        <v>5.8247318178580025</v>
      </c>
      <c r="D43" s="52" t="s">
        <v>34</v>
      </c>
    </row>
    <row r="44" spans="1:5" ht="18.75" x14ac:dyDescent="0.35">
      <c r="A44" s="52" t="s">
        <v>72</v>
      </c>
      <c r="B44" s="52" t="s">
        <v>35</v>
      </c>
      <c r="C44" s="87">
        <v>1.6</v>
      </c>
      <c r="D44" s="52" t="s">
        <v>36</v>
      </c>
      <c r="E44" s="78" t="str">
        <f>IF(lmag2&lt;lmag,"Please make Lmag &gt; or = Calculated Lmag","")</f>
        <v/>
      </c>
    </row>
    <row r="45" spans="1:5" ht="18.75" x14ac:dyDescent="0.35">
      <c r="A45" s="52" t="s">
        <v>54</v>
      </c>
      <c r="B45" s="52" t="s">
        <v>50</v>
      </c>
      <c r="C45" s="87">
        <v>31</v>
      </c>
      <c r="D45" s="52" t="s">
        <v>205</v>
      </c>
    </row>
    <row r="46" spans="1:5" ht="18.75" x14ac:dyDescent="0.35">
      <c r="A46" s="52" t="s">
        <v>55</v>
      </c>
      <c r="B46" s="52" t="s">
        <v>52</v>
      </c>
      <c r="C46" s="87">
        <v>3.6</v>
      </c>
      <c r="D46" s="52" t="s">
        <v>205</v>
      </c>
    </row>
    <row r="47" spans="1:5" ht="18.75" x14ac:dyDescent="0.35">
      <c r="A47" s="52" t="s">
        <v>298</v>
      </c>
      <c r="B47" s="52" t="s">
        <v>297</v>
      </c>
      <c r="C47" s="87">
        <v>0.01</v>
      </c>
      <c r="D47" s="52" t="s">
        <v>74</v>
      </c>
    </row>
    <row r="48" spans="1:5" ht="18.75" x14ac:dyDescent="0.35">
      <c r="A48" s="59" t="s">
        <v>56</v>
      </c>
      <c r="B48" s="52" t="s">
        <v>53</v>
      </c>
      <c r="C48" s="58">
        <f>2*((iprms^2*(dcrp/1000))+2*(isrms^2*(dcrs/1000)))</f>
        <v>50.305975076867213</v>
      </c>
      <c r="D48" s="52" t="s">
        <v>18</v>
      </c>
    </row>
    <row r="49" spans="1:6" ht="18.75" x14ac:dyDescent="0.35">
      <c r="A49" s="52" t="s">
        <v>57</v>
      </c>
      <c r="B49" s="52" t="s">
        <v>24</v>
      </c>
      <c r="C49" s="58">
        <f>pbudget-C48</f>
        <v>128.76379236499329</v>
      </c>
      <c r="D49" s="52" t="s">
        <v>18</v>
      </c>
      <c r="E49" s="78" t="str">
        <f>IF(C49&lt;0,"PBudget Cannot be Made with Selected Components","")</f>
        <v/>
      </c>
    </row>
    <row r="50" spans="1:6" x14ac:dyDescent="0.25">
      <c r="A50" s="75" t="s">
        <v>58</v>
      </c>
      <c r="B50" s="75"/>
      <c r="C50" s="94" t="s">
        <v>19</v>
      </c>
      <c r="D50" s="75"/>
      <c r="E50" s="75"/>
      <c r="F50" s="75"/>
    </row>
    <row r="51" spans="1:6" ht="18.75" x14ac:dyDescent="0.35">
      <c r="A51" s="59" t="s">
        <v>279</v>
      </c>
      <c r="B51" s="52" t="s">
        <v>69</v>
      </c>
      <c r="C51" s="87">
        <v>18</v>
      </c>
      <c r="D51" s="52" t="s">
        <v>17</v>
      </c>
    </row>
    <row r="52" spans="1:6" ht="18.75" x14ac:dyDescent="0.35">
      <c r="A52" s="52" t="s">
        <v>60</v>
      </c>
      <c r="B52" s="52" t="s">
        <v>59</v>
      </c>
      <c r="C52" s="87">
        <v>75</v>
      </c>
      <c r="D52" s="52" t="s">
        <v>205</v>
      </c>
    </row>
    <row r="53" spans="1:6" ht="18.75" x14ac:dyDescent="0.35">
      <c r="A53" s="52" t="s">
        <v>61</v>
      </c>
      <c r="B53" s="52" t="s">
        <v>63</v>
      </c>
      <c r="C53" s="87">
        <v>120</v>
      </c>
      <c r="D53" s="52" t="s">
        <v>62</v>
      </c>
    </row>
    <row r="54" spans="1:6" ht="18.75" x14ac:dyDescent="0.35">
      <c r="A54" s="52" t="s">
        <v>115</v>
      </c>
      <c r="B54" s="52" t="s">
        <v>70</v>
      </c>
      <c r="C54" s="87">
        <v>53</v>
      </c>
      <c r="D54" s="52" t="s">
        <v>71</v>
      </c>
    </row>
    <row r="55" spans="1:6" ht="36" x14ac:dyDescent="0.35">
      <c r="A55" s="54" t="s">
        <v>116</v>
      </c>
      <c r="B55" s="52" t="s">
        <v>64</v>
      </c>
      <c r="C55" s="87">
        <v>800</v>
      </c>
      <c r="D55" s="52" t="s">
        <v>17</v>
      </c>
    </row>
    <row r="56" spans="1:6" ht="18.75" x14ac:dyDescent="0.35">
      <c r="A56" s="52" t="s">
        <v>65</v>
      </c>
      <c r="B56" s="52" t="s">
        <v>66</v>
      </c>
      <c r="C56" s="58">
        <f>C53*((C55/VINMAX)^0.5)</f>
        <v>110.11955225786966</v>
      </c>
      <c r="D56" s="52" t="s">
        <v>62</v>
      </c>
    </row>
    <row r="57" spans="1:6" ht="18.75" x14ac:dyDescent="0.35">
      <c r="A57" s="52" t="s">
        <v>68</v>
      </c>
      <c r="B57" s="52" t="s">
        <v>67</v>
      </c>
      <c r="C57" s="58">
        <f>((iprms^2)*(rdsonqa/1000))+(2*(QAg*0.000000001)*vg*(fs*1000/2))</f>
        <v>2.7353625562475541</v>
      </c>
      <c r="D57" s="52" t="s">
        <v>18</v>
      </c>
    </row>
    <row r="58" spans="1:6" ht="18.75" x14ac:dyDescent="0.35">
      <c r="A58" s="52" t="s">
        <v>57</v>
      </c>
      <c r="B58" s="52" t="s">
        <v>24</v>
      </c>
      <c r="C58" s="58">
        <f>C49-4*C57</f>
        <v>117.82234214000307</v>
      </c>
      <c r="D58" s="52" t="s">
        <v>18</v>
      </c>
      <c r="E58" s="78" t="str">
        <f>IF(C58&lt;0,"PBudget Cannot be Made with Selected Components","")</f>
        <v/>
      </c>
    </row>
    <row r="59" spans="1:6" ht="18.75" x14ac:dyDescent="0.35">
      <c r="A59" s="75" t="s">
        <v>282</v>
      </c>
      <c r="B59" s="56"/>
      <c r="C59" s="95"/>
      <c r="D59" s="56"/>
      <c r="E59" s="75"/>
      <c r="F59" s="75"/>
    </row>
    <row r="60" spans="1:6" ht="18.75" x14ac:dyDescent="0.35">
      <c r="A60" s="52" t="s">
        <v>85</v>
      </c>
      <c r="B60" s="52" t="s">
        <v>73</v>
      </c>
      <c r="C60" s="58">
        <f>(((2*cossqaavg*0.000000000001)*((vin)^2)/((ipp/2)-(dilout/(2*_ta1)))^2)*1000000)-llk</f>
        <v>4.9728495985727807</v>
      </c>
      <c r="D60" s="52" t="s">
        <v>74</v>
      </c>
      <c r="E60" s="78" t="str">
        <f>IF(C60&lt;0,"Calculated Ls is Negative and Ls Might Not be Needed, However, Leave a Place Holder for Ls Just in Case","")</f>
        <v/>
      </c>
    </row>
    <row r="61" spans="1:6" ht="18.75" x14ac:dyDescent="0.35">
      <c r="A61" s="52" t="s">
        <v>172</v>
      </c>
      <c r="B61" s="52" t="s">
        <v>73</v>
      </c>
      <c r="C61" s="87">
        <v>5</v>
      </c>
      <c r="D61" s="52" t="s">
        <v>74</v>
      </c>
    </row>
    <row r="62" spans="1:6" ht="18.75" x14ac:dyDescent="0.35">
      <c r="A62" s="52" t="s">
        <v>76</v>
      </c>
      <c r="B62" s="52" t="s">
        <v>75</v>
      </c>
      <c r="C62" s="87">
        <v>2.6</v>
      </c>
      <c r="D62" s="52" t="s">
        <v>205</v>
      </c>
    </row>
    <row r="63" spans="1:6" ht="18.75" x14ac:dyDescent="0.35">
      <c r="A63" s="52" t="s">
        <v>77</v>
      </c>
      <c r="B63" s="52" t="s">
        <v>78</v>
      </c>
      <c r="C63" s="58">
        <f>2*iprms^2*(C62*0.001)</f>
        <v>0.17642300389983046</v>
      </c>
      <c r="D63" s="52" t="s">
        <v>18</v>
      </c>
    </row>
    <row r="64" spans="1:6" ht="18.75" x14ac:dyDescent="0.35">
      <c r="A64" s="52" t="s">
        <v>57</v>
      </c>
      <c r="B64" s="52" t="s">
        <v>24</v>
      </c>
      <c r="C64" s="58">
        <f>C58-C63</f>
        <v>117.64591913610325</v>
      </c>
      <c r="D64" s="52" t="s">
        <v>18</v>
      </c>
      <c r="E64" s="78" t="str">
        <f>IF(C64&lt;0,"PBudget Cannot be Made with Selected Components","")</f>
        <v/>
      </c>
    </row>
    <row r="65" spans="1:6" ht="18.75" x14ac:dyDescent="0.35">
      <c r="A65" s="75" t="s">
        <v>283</v>
      </c>
      <c r="B65" s="56"/>
      <c r="C65" s="95"/>
      <c r="D65" s="56"/>
      <c r="E65" s="75"/>
      <c r="F65" s="75"/>
    </row>
    <row r="66" spans="1:6" ht="18.75" x14ac:dyDescent="0.35">
      <c r="A66" s="52" t="s">
        <v>86</v>
      </c>
      <c r="B66" s="52" t="s">
        <v>79</v>
      </c>
      <c r="C66" s="58">
        <f>((VOUT*(1-dtyp))/(dilout*fs))*1000</f>
        <v>1.4247419993626798</v>
      </c>
      <c r="D66" s="52" t="s">
        <v>74</v>
      </c>
    </row>
    <row r="67" spans="1:6" ht="18.75" x14ac:dyDescent="0.35">
      <c r="A67" s="52" t="s">
        <v>83</v>
      </c>
      <c r="B67" s="52" t="s">
        <v>84</v>
      </c>
      <c r="C67" s="58">
        <f>((pout/VOUT)^2+(dilout/(3^0.5))^2)^0.5</f>
        <v>80.825478139151585</v>
      </c>
      <c r="D67" s="52" t="s">
        <v>34</v>
      </c>
    </row>
    <row r="68" spans="1:6" ht="18.75" x14ac:dyDescent="0.35">
      <c r="A68" s="52" t="s">
        <v>173</v>
      </c>
      <c r="B68" s="52" t="s">
        <v>79</v>
      </c>
      <c r="C68" s="87">
        <v>1.5</v>
      </c>
      <c r="D68" s="52" t="s">
        <v>74</v>
      </c>
      <c r="E68" s="52" t="str">
        <f>IF(lout&lt;(C66*0.9),"Lout needs to be &gt; or = Lout Calculated","")</f>
        <v/>
      </c>
    </row>
    <row r="69" spans="1:6" ht="18.75" x14ac:dyDescent="0.35">
      <c r="A69" s="52" t="s">
        <v>264</v>
      </c>
      <c r="B69" s="52" t="s">
        <v>80</v>
      </c>
      <c r="C69" s="87">
        <v>0.54</v>
      </c>
      <c r="D69" s="52" t="s">
        <v>205</v>
      </c>
    </row>
    <row r="70" spans="1:6" ht="18.75" x14ac:dyDescent="0.35">
      <c r="A70" s="52" t="s">
        <v>81</v>
      </c>
      <c r="B70" s="52" t="s">
        <v>82</v>
      </c>
      <c r="C70" s="58">
        <f>2*iloutrms^2*dcrlout*0.001</f>
        <v>7.0553785497362691</v>
      </c>
      <c r="D70" s="52" t="s">
        <v>18</v>
      </c>
    </row>
    <row r="71" spans="1:6" ht="18.75" x14ac:dyDescent="0.35">
      <c r="A71" s="52" t="s">
        <v>57</v>
      </c>
      <c r="B71" s="52" t="s">
        <v>24</v>
      </c>
      <c r="C71" s="58">
        <f>C64-C70</f>
        <v>110.59054058636697</v>
      </c>
      <c r="D71" s="52" t="s">
        <v>18</v>
      </c>
      <c r="E71" s="78" t="str">
        <f>IF(C71&lt;0,"PBudget Cannot be Made with Selected Components","")</f>
        <v/>
      </c>
    </row>
    <row r="72" spans="1:6" ht="18.75" x14ac:dyDescent="0.35">
      <c r="A72" s="75" t="s">
        <v>284</v>
      </c>
      <c r="B72" s="56"/>
      <c r="C72" s="95"/>
      <c r="D72" s="56"/>
      <c r="E72" s="75"/>
      <c r="F72" s="75"/>
    </row>
    <row r="73" spans="1:6" ht="18.75" x14ac:dyDescent="0.35">
      <c r="A73" s="52" t="s">
        <v>88</v>
      </c>
      <c r="B73" s="52" t="s">
        <v>87</v>
      </c>
      <c r="C73" s="58">
        <f>((lout*pout*0.9)/VOUT)/VOUT</f>
        <v>7.9119825243753006</v>
      </c>
      <c r="D73" s="52" t="s">
        <v>89</v>
      </c>
    </row>
    <row r="74" spans="1:6" ht="18.75" x14ac:dyDescent="0.35">
      <c r="A74" s="52" t="s">
        <v>206</v>
      </c>
      <c r="B74" s="52" t="s">
        <v>90</v>
      </c>
      <c r="C74" s="58">
        <f>((VTRAN*0.9)/((pout*0.9)/VOUT))*10^3</f>
        <v>21.172727272727268</v>
      </c>
      <c r="D74" s="52" t="s">
        <v>205</v>
      </c>
    </row>
    <row r="75" spans="1:6" ht="18.75" x14ac:dyDescent="0.35">
      <c r="A75" s="52" t="s">
        <v>207</v>
      </c>
      <c r="B75" s="52" t="s">
        <v>91</v>
      </c>
      <c r="C75" s="58">
        <f>(pout*0.9*thu)/(VOUT*VTRAN*0.1)</f>
        <v>3363.1870756253961</v>
      </c>
      <c r="D75" s="52" t="s">
        <v>92</v>
      </c>
    </row>
    <row r="76" spans="1:6" ht="18.75" x14ac:dyDescent="0.35">
      <c r="A76" s="52" t="s">
        <v>98</v>
      </c>
      <c r="B76" s="52" t="s">
        <v>97</v>
      </c>
      <c r="C76" s="58">
        <f>dilout/(3^0.5)</f>
        <v>9.2713181913662552</v>
      </c>
      <c r="D76" s="52" t="s">
        <v>34</v>
      </c>
    </row>
    <row r="77" spans="1:6" x14ac:dyDescent="0.25">
      <c r="A77" s="52" t="s">
        <v>175</v>
      </c>
      <c r="B77" s="52" t="s">
        <v>93</v>
      </c>
      <c r="C77" s="87">
        <v>8</v>
      </c>
    </row>
    <row r="78" spans="1:6" x14ac:dyDescent="0.25">
      <c r="A78" s="52" t="s">
        <v>94</v>
      </c>
      <c r="C78" s="87">
        <v>1500</v>
      </c>
      <c r="D78" s="52" t="s">
        <v>92</v>
      </c>
    </row>
    <row r="79" spans="1:6" x14ac:dyDescent="0.25">
      <c r="A79" s="52" t="s">
        <v>95</v>
      </c>
      <c r="C79" s="87">
        <v>13</v>
      </c>
      <c r="D79" s="52" t="s">
        <v>205</v>
      </c>
    </row>
    <row r="80" spans="1:6" ht="18.75" x14ac:dyDescent="0.35">
      <c r="A80" s="52" t="s">
        <v>96</v>
      </c>
      <c r="B80" s="52" t="s">
        <v>91</v>
      </c>
      <c r="C80" s="58">
        <f>C77*C78</f>
        <v>12000</v>
      </c>
      <c r="D80" s="52" t="s">
        <v>92</v>
      </c>
    </row>
    <row r="81" spans="1:7" ht="18.75" x14ac:dyDescent="0.35">
      <c r="A81" s="52" t="s">
        <v>265</v>
      </c>
      <c r="B81" s="52" t="s">
        <v>90</v>
      </c>
      <c r="C81" s="58">
        <f>C79/C77</f>
        <v>1.625</v>
      </c>
      <c r="D81" s="52" t="s">
        <v>205</v>
      </c>
    </row>
    <row r="82" spans="1:7" ht="18.75" x14ac:dyDescent="0.35">
      <c r="A82" s="52" t="s">
        <v>99</v>
      </c>
      <c r="B82" s="52" t="s">
        <v>100</v>
      </c>
      <c r="C82" s="58">
        <f>(C76^2)*C81*0.001</f>
        <v>0.13968067913403312</v>
      </c>
      <c r="D82" s="52" t="s">
        <v>18</v>
      </c>
    </row>
    <row r="83" spans="1:7" ht="18.75" x14ac:dyDescent="0.35">
      <c r="A83" s="52" t="s">
        <v>57</v>
      </c>
      <c r="B83" s="52" t="s">
        <v>24</v>
      </c>
      <c r="C83" s="58">
        <f>C71-C82</f>
        <v>110.45085990723294</v>
      </c>
      <c r="D83" s="52" t="s">
        <v>18</v>
      </c>
      <c r="E83" s="78" t="str">
        <f>IF(C83&lt;0,"PBudget Cannot be Made with Selected Components","")</f>
        <v/>
      </c>
    </row>
    <row r="84" spans="1:7" x14ac:dyDescent="0.25">
      <c r="A84" s="75" t="s">
        <v>109</v>
      </c>
      <c r="B84" s="56"/>
      <c r="C84" s="95"/>
      <c r="D84" s="56"/>
      <c r="E84" s="75"/>
      <c r="F84" s="75"/>
    </row>
    <row r="85" spans="1:7" ht="18.75" x14ac:dyDescent="0.35">
      <c r="A85" s="52" t="s">
        <v>135</v>
      </c>
      <c r="B85" s="52" t="s">
        <v>117</v>
      </c>
      <c r="C85" s="88">
        <f>2*VINMAX/_taa1</f>
        <v>100</v>
      </c>
      <c r="D85" s="52" t="s">
        <v>17</v>
      </c>
      <c r="E85" s="99" t="s">
        <v>336</v>
      </c>
    </row>
    <row r="86" spans="1:7" ht="18.75" x14ac:dyDescent="0.35">
      <c r="A86" s="52" t="s">
        <v>112</v>
      </c>
      <c r="B86" s="52" t="s">
        <v>110</v>
      </c>
      <c r="C86" s="87">
        <v>99</v>
      </c>
      <c r="D86" s="52" t="s">
        <v>71</v>
      </c>
    </row>
    <row r="87" spans="1:7" ht="18.75" x14ac:dyDescent="0.35">
      <c r="A87" s="52" t="s">
        <v>266</v>
      </c>
      <c r="B87" s="52" t="s">
        <v>111</v>
      </c>
      <c r="C87" s="87">
        <v>7.5</v>
      </c>
      <c r="D87" s="52" t="s">
        <v>205</v>
      </c>
    </row>
    <row r="88" spans="1:7" ht="18.75" x14ac:dyDescent="0.35">
      <c r="A88" s="52" t="s">
        <v>119</v>
      </c>
      <c r="B88" s="52" t="s">
        <v>118</v>
      </c>
      <c r="C88" s="87">
        <v>400</v>
      </c>
      <c r="D88" s="52" t="s">
        <v>17</v>
      </c>
    </row>
    <row r="89" spans="1:7" ht="18.75" x14ac:dyDescent="0.35">
      <c r="A89" s="52" t="s">
        <v>121</v>
      </c>
      <c r="B89" s="52" t="s">
        <v>120</v>
      </c>
      <c r="C89" s="87">
        <v>260.18</v>
      </c>
      <c r="D89" s="52" t="s">
        <v>62</v>
      </c>
    </row>
    <row r="90" spans="1:7" ht="18.75" x14ac:dyDescent="0.35">
      <c r="A90" s="52" t="s">
        <v>123</v>
      </c>
      <c r="B90" s="52" t="s">
        <v>122</v>
      </c>
      <c r="C90" s="58">
        <f>C89*((C85/C88)^0.5)</f>
        <v>130.09</v>
      </c>
      <c r="D90" s="52" t="s">
        <v>62</v>
      </c>
    </row>
    <row r="91" spans="1:7" ht="18.75" x14ac:dyDescent="0.35">
      <c r="A91" s="52" t="s">
        <v>124</v>
      </c>
      <c r="B91" s="52" t="s">
        <v>125</v>
      </c>
      <c r="C91" s="58">
        <f>isrms</f>
        <v>57.856665580631024</v>
      </c>
      <c r="D91" s="52" t="s">
        <v>34</v>
      </c>
    </row>
    <row r="92" spans="1:7" ht="18.75" x14ac:dyDescent="0.35">
      <c r="A92" s="52" t="s">
        <v>128</v>
      </c>
      <c r="B92" s="52" t="s">
        <v>126</v>
      </c>
      <c r="C92" s="87">
        <v>63</v>
      </c>
      <c r="D92" s="52" t="s">
        <v>71</v>
      </c>
    </row>
    <row r="93" spans="1:7" ht="18.75" x14ac:dyDescent="0.35">
      <c r="A93" s="52" t="s">
        <v>267</v>
      </c>
      <c r="B93" s="52" t="s">
        <v>127</v>
      </c>
      <c r="C93" s="87">
        <v>29</v>
      </c>
      <c r="D93" s="52" t="s">
        <v>71</v>
      </c>
    </row>
    <row r="94" spans="1:7" ht="18.75" x14ac:dyDescent="0.35">
      <c r="A94" s="52" t="s">
        <v>129</v>
      </c>
      <c r="B94" s="52" t="s">
        <v>130</v>
      </c>
      <c r="C94" s="87">
        <v>4</v>
      </c>
      <c r="D94" s="52" t="s">
        <v>34</v>
      </c>
    </row>
    <row r="95" spans="1:7" ht="18.75" x14ac:dyDescent="0.35">
      <c r="A95" s="52" t="s">
        <v>268</v>
      </c>
      <c r="B95" s="52" t="s">
        <v>131</v>
      </c>
      <c r="C95" s="58">
        <f>(C92-C93)/(C94/2)</f>
        <v>17</v>
      </c>
      <c r="D95" s="52" t="s">
        <v>132</v>
      </c>
    </row>
    <row r="96" spans="1:7" ht="18.75" x14ac:dyDescent="0.35">
      <c r="A96" s="52" t="s">
        <v>133</v>
      </c>
      <c r="B96" s="52" t="s">
        <v>134</v>
      </c>
      <c r="C96" s="58">
        <f>((isrms^2)*(rdsonqe*0.001))+(pout/VOUT)*vdsqe*(2*tr*0.000000001)*((fs*1000)/2)+(2*(cossqeavg*0.000000000001)*(vdsqe^2)*((fs*1000)/2))+(2*(qeg*0.000000001)*vg*((fs*1000)/2))</f>
        <v>53.021303213810008</v>
      </c>
      <c r="D96" s="52" t="s">
        <v>18</v>
      </c>
      <c r="G96" s="52">
        <v>7.66</v>
      </c>
    </row>
    <row r="97" spans="1:6" ht="18.75" x14ac:dyDescent="0.35">
      <c r="A97" s="54" t="s">
        <v>57</v>
      </c>
      <c r="B97" s="52" t="s">
        <v>24</v>
      </c>
      <c r="C97" s="58">
        <f>C83-2*C96</f>
        <v>4.4082534796129238</v>
      </c>
      <c r="D97" s="52" t="s">
        <v>18</v>
      </c>
      <c r="E97" s="78" t="str">
        <f>IF(C97&lt;0,"PBudget Cannot be Made with Selected Components","")</f>
        <v/>
      </c>
    </row>
    <row r="98" spans="1:6" ht="18.75" x14ac:dyDescent="0.35">
      <c r="A98" s="75" t="s">
        <v>285</v>
      </c>
      <c r="B98" s="56"/>
      <c r="C98" s="95"/>
      <c r="D98" s="56"/>
      <c r="E98" s="75"/>
      <c r="F98" s="75"/>
    </row>
    <row r="99" spans="1:6" hidden="1" x14ac:dyDescent="0.25">
      <c r="A99" s="54" t="s">
        <v>166</v>
      </c>
      <c r="B99" s="52" t="s">
        <v>165</v>
      </c>
      <c r="C99" s="58">
        <f>1/(2*PI()*(ls*0.000001*2*cossqaavg*0.000000000001)^0.5)</f>
        <v>4796096.5048894016</v>
      </c>
      <c r="D99" s="52" t="s">
        <v>19</v>
      </c>
    </row>
    <row r="100" spans="1:6" ht="18.75" x14ac:dyDescent="0.35">
      <c r="A100" s="54" t="s">
        <v>167</v>
      </c>
      <c r="B100" s="52" t="s">
        <v>164</v>
      </c>
      <c r="C100" s="58">
        <f>2.2*1000000000/(C99*4)</f>
        <v>114.67659156551585</v>
      </c>
      <c r="D100" s="52" t="s">
        <v>132</v>
      </c>
    </row>
    <row r="101" spans="1:6" hidden="1" x14ac:dyDescent="0.25">
      <c r="A101" s="54" t="s">
        <v>170</v>
      </c>
      <c r="B101" s="52" t="s">
        <v>171</v>
      </c>
      <c r="C101" s="58">
        <f>1/(fs*1000)</f>
        <v>5.0000000000000004E-6</v>
      </c>
      <c r="E101" s="52" t="s">
        <v>19</v>
      </c>
    </row>
    <row r="102" spans="1:6" ht="18.75" x14ac:dyDescent="0.35">
      <c r="A102" s="54" t="s">
        <v>169</v>
      </c>
      <c r="B102" s="52" t="s">
        <v>168</v>
      </c>
      <c r="C102" s="58">
        <f>(C101-C100*0.000000001)/C101</f>
        <v>0.97706468168689686</v>
      </c>
    </row>
    <row r="103" spans="1:6" ht="18.75" x14ac:dyDescent="0.35">
      <c r="A103" s="52" t="s">
        <v>102</v>
      </c>
      <c r="B103" s="52" t="s">
        <v>101</v>
      </c>
      <c r="C103" s="58">
        <f>((2*dclamp*vrdson)+(_taa1*(VOUT+vrdson)))/dclamp</f>
        <v>272.84400286453138</v>
      </c>
      <c r="D103" s="52" t="s">
        <v>17</v>
      </c>
    </row>
    <row r="104" spans="1:6" ht="18.75" x14ac:dyDescent="0.35">
      <c r="A104" s="52" t="s">
        <v>104</v>
      </c>
      <c r="B104" s="52" t="s">
        <v>103</v>
      </c>
      <c r="C104" s="58">
        <f>((2*pout*(1/60))/(vin^2-C103^2))*1000000</f>
        <v>428.56845035034212</v>
      </c>
      <c r="D104" s="52" t="s">
        <v>92</v>
      </c>
      <c r="E104" s="78" t="str">
        <f>IF(VINMIN&lt;200,"Non-PFC Cin Capacitance Cannot Be Calculated, Use Other Method","")</f>
        <v/>
      </c>
    </row>
    <row r="105" spans="1:6" ht="18.75" x14ac:dyDescent="0.35">
      <c r="A105" s="52" t="s">
        <v>105</v>
      </c>
      <c r="B105" s="52" t="s">
        <v>106</v>
      </c>
      <c r="C105" s="58">
        <f>(    (iprms1^2)    -(        ( pout/(VINMIN*Eff)       )   ^2)           )^0.5</f>
        <v>3.4098303734401911</v>
      </c>
      <c r="D105" s="52" t="s">
        <v>34</v>
      </c>
    </row>
    <row r="106" spans="1:6" ht="18.75" x14ac:dyDescent="0.35">
      <c r="A106" s="52" t="s">
        <v>176</v>
      </c>
      <c r="B106" s="52" t="s">
        <v>103</v>
      </c>
      <c r="C106" s="87">
        <v>770</v>
      </c>
      <c r="D106" s="52" t="s">
        <v>92</v>
      </c>
    </row>
    <row r="107" spans="1:6" ht="18.75" x14ac:dyDescent="0.35">
      <c r="A107" s="52" t="s">
        <v>269</v>
      </c>
      <c r="B107" s="52" t="s">
        <v>107</v>
      </c>
      <c r="C107" s="87">
        <v>100</v>
      </c>
      <c r="D107" s="52" t="s">
        <v>205</v>
      </c>
    </row>
    <row r="108" spans="1:6" ht="18.75" x14ac:dyDescent="0.35">
      <c r="A108" s="52" t="s">
        <v>270</v>
      </c>
      <c r="B108" s="52" t="s">
        <v>108</v>
      </c>
      <c r="C108" s="58">
        <f>(C105^2)*(C107*0.001)</f>
        <v>1.1626943175635274</v>
      </c>
      <c r="D108" s="52" t="s">
        <v>18</v>
      </c>
    </row>
    <row r="109" spans="1:6" ht="54.75" customHeight="1" x14ac:dyDescent="0.35">
      <c r="A109" s="54" t="s">
        <v>286</v>
      </c>
      <c r="B109" s="52" t="s">
        <v>24</v>
      </c>
      <c r="C109" s="58">
        <f>C97-C108</f>
        <v>3.2455591620493962</v>
      </c>
      <c r="D109" s="52" t="s">
        <v>18</v>
      </c>
      <c r="E109" s="78" t="str">
        <f>IF(C109&lt;0,"PBudget Cannot be Made with Selected Components","")</f>
        <v/>
      </c>
    </row>
    <row r="110" spans="1:6" ht="18.75" x14ac:dyDescent="0.35">
      <c r="A110" s="75" t="s">
        <v>293</v>
      </c>
      <c r="B110" s="75"/>
      <c r="C110" s="94" t="s">
        <v>19</v>
      </c>
      <c r="D110" s="75" t="s">
        <v>19</v>
      </c>
      <c r="E110" s="75" t="s">
        <v>19</v>
      </c>
      <c r="F110" s="75"/>
    </row>
    <row r="111" spans="1:6" ht="18.75" x14ac:dyDescent="0.35">
      <c r="A111" s="52" t="s">
        <v>137</v>
      </c>
      <c r="B111" s="52" t="s">
        <v>136</v>
      </c>
      <c r="C111" s="87">
        <v>100</v>
      </c>
    </row>
    <row r="112" spans="1:6" ht="18.75" x14ac:dyDescent="0.35">
      <c r="A112" s="52" t="s">
        <v>158</v>
      </c>
      <c r="B112" s="52" t="s">
        <v>157</v>
      </c>
      <c r="C112" s="88">
        <f>((pout/(VOUT)+(dilout/2))/(Eff*_taa1))+((VINMIN*dmax)/(lmag2*fs))</f>
        <v>6.2302122327546927</v>
      </c>
      <c r="D112" s="52" t="s">
        <v>34</v>
      </c>
      <c r="E112" s="52" t="s">
        <v>19</v>
      </c>
    </row>
    <row r="113" spans="1:6" ht="18.75" x14ac:dyDescent="0.35">
      <c r="A113" s="52" t="s">
        <v>155</v>
      </c>
      <c r="B113" s="52" t="s">
        <v>154</v>
      </c>
      <c r="C113" s="58">
        <f>(2-0.2)/((_ipp1/_ta2)*1.1)</f>
        <v>26.2649742132479</v>
      </c>
      <c r="D113" s="52" t="s">
        <v>156</v>
      </c>
    </row>
    <row r="114" spans="1:6" ht="18.75" x14ac:dyDescent="0.35">
      <c r="A114" s="52" t="s">
        <v>295</v>
      </c>
      <c r="B114" s="52" t="s">
        <v>154</v>
      </c>
      <c r="C114" s="58">
        <f>(IF((10^(LOG(C113)-INT(LOG(C113)))*100)-VLOOKUP((10^(LOG(C113)-INT(LOG(C113)))*100),E48_s:E48_f,1)&lt;VLOOKUP((10^(LOG(C113)-INT(LOG(C113)))*100),E48_s:E48_f,2)-(10^(LOG(C113)-INT(LOG(C113)))*100),VLOOKUP((10^(LOG(C113)-INT(LOG(C113)))*100),E48_s:E48_f,1),VLOOKUP((10^(LOG(C113)-INT(LOG(C113)))*100),E48_s:E48_f,2)))*10^INT(LOG(C113))/100</f>
        <v>26.1</v>
      </c>
      <c r="D114" s="52" t="s">
        <v>156</v>
      </c>
    </row>
    <row r="115" spans="1:6" ht="18.75" x14ac:dyDescent="0.35">
      <c r="A115" s="52" t="s">
        <v>159</v>
      </c>
      <c r="B115" s="52" t="s">
        <v>154</v>
      </c>
      <c r="C115" s="87">
        <v>26</v>
      </c>
      <c r="D115" s="52" t="s">
        <v>156</v>
      </c>
      <c r="E115" s="52" t="s">
        <v>19</v>
      </c>
    </row>
    <row r="116" spans="1:6" ht="18.75" x14ac:dyDescent="0.35">
      <c r="A116" s="52" t="s">
        <v>160</v>
      </c>
      <c r="B116" s="52" t="s">
        <v>161</v>
      </c>
      <c r="C116" s="58">
        <f>((iprms1/_ta2)^2)*C115</f>
        <v>5.6815368643888059E-2</v>
      </c>
      <c r="D116" s="52" t="s">
        <v>18</v>
      </c>
    </row>
    <row r="117" spans="1:6" ht="18.75" x14ac:dyDescent="0.35">
      <c r="A117" s="52" t="s">
        <v>163</v>
      </c>
      <c r="B117" s="52" t="s">
        <v>162</v>
      </c>
      <c r="C117" s="58">
        <f>(2*(dclamp))/(1-dclamp)</f>
        <v>85.201754634352881</v>
      </c>
      <c r="D117" s="52" t="s">
        <v>17</v>
      </c>
    </row>
    <row r="118" spans="1:6" ht="18.75" x14ac:dyDescent="0.35">
      <c r="A118" s="52" t="s">
        <v>177</v>
      </c>
      <c r="B118" s="52" t="s">
        <v>178</v>
      </c>
      <c r="C118" s="58">
        <f>(pout*0.6)/(VINMIN*Eff*_ta2)</f>
        <v>1.9186046511627908E-2</v>
      </c>
      <c r="D118" s="52" t="s">
        <v>18</v>
      </c>
    </row>
    <row r="119" spans="1:6" ht="18.75" x14ac:dyDescent="0.35">
      <c r="A119" s="75" t="s">
        <v>287</v>
      </c>
      <c r="B119" s="56"/>
      <c r="C119" s="95"/>
      <c r="D119" s="56"/>
      <c r="E119" s="75" t="s">
        <v>19</v>
      </c>
      <c r="F119" s="75"/>
    </row>
    <row r="120" spans="1:6" x14ac:dyDescent="0.25">
      <c r="A120" s="52" t="s">
        <v>271</v>
      </c>
      <c r="B120" s="52" t="s">
        <v>179</v>
      </c>
      <c r="C120" s="87">
        <v>2.5</v>
      </c>
      <c r="D120" s="52" t="s">
        <v>17</v>
      </c>
      <c r="E120" s="78" t="str">
        <f>IF(_va1&gt;VOUT,"V1 Needs to be &lt; VOUT",IF(_va1=VOUT,"V1 Needs to be &lt; VOUT",""))</f>
        <v/>
      </c>
      <c r="F120" s="78"/>
    </row>
    <row r="121" spans="1:6" ht="18.75" x14ac:dyDescent="0.35">
      <c r="A121" s="52" t="s">
        <v>181</v>
      </c>
      <c r="B121" s="52" t="s">
        <v>180</v>
      </c>
      <c r="C121" s="87">
        <v>2.37</v>
      </c>
      <c r="D121" s="52" t="s">
        <v>208</v>
      </c>
      <c r="E121" s="78" t="str">
        <f>IF(_va1&lt;0.5,"V1 Needs to be Greater than 0.5","")</f>
        <v/>
      </c>
    </row>
    <row r="122" spans="1:6" ht="18.75" x14ac:dyDescent="0.35">
      <c r="A122" s="52" t="s">
        <v>183</v>
      </c>
      <c r="B122" s="52" t="s">
        <v>182</v>
      </c>
      <c r="C122" s="58">
        <f>C121*(5-C120)/C120</f>
        <v>2.37</v>
      </c>
      <c r="D122" s="52" t="s">
        <v>208</v>
      </c>
    </row>
    <row r="123" spans="1:6" ht="18.75" x14ac:dyDescent="0.35">
      <c r="A123" s="52" t="s">
        <v>295</v>
      </c>
      <c r="B123" s="52" t="s">
        <v>182</v>
      </c>
      <c r="C123" s="58">
        <f>(IF((10^(LOG(C122)-INT(LOG(C122)))*100)-VLOOKUP((10^(LOG(C122)-INT(LOG(C122)))*100),E48_s:E48_f,1)&lt;VLOOKUP((10^(LOG(C122)-INT(LOG(C122)))*100),E48_s:E48_f,2)-(10^(LOG(C122)-INT(LOG(C122)))*100),VLOOKUP((10^(LOG(C122)-INT(LOG(C122)))*100),E48_s:E48_f,1),VLOOKUP((10^(LOG(C122)-INT(LOG(C122)))*100),E48_s:E48_f,2)))*10^INT(LOG(C122))/100</f>
        <v>2.37</v>
      </c>
      <c r="D123" s="52" t="s">
        <v>208</v>
      </c>
    </row>
    <row r="124" spans="1:6" ht="18.75" x14ac:dyDescent="0.35">
      <c r="A124" s="52" t="s">
        <v>323</v>
      </c>
      <c r="B124" s="52" t="s">
        <v>182</v>
      </c>
      <c r="C124" s="87">
        <v>2.37</v>
      </c>
      <c r="D124" s="52" t="s">
        <v>208</v>
      </c>
    </row>
    <row r="125" spans="1:6" ht="18.75" x14ac:dyDescent="0.35">
      <c r="A125" s="52" t="s">
        <v>181</v>
      </c>
      <c r="B125" s="52" t="s">
        <v>184</v>
      </c>
      <c r="C125" s="87">
        <v>2.37</v>
      </c>
      <c r="D125" s="52" t="s">
        <v>208</v>
      </c>
    </row>
    <row r="126" spans="1:6" ht="18.75" x14ac:dyDescent="0.35">
      <c r="A126" s="52" t="s">
        <v>183</v>
      </c>
      <c r="B126" s="52" t="s">
        <v>185</v>
      </c>
      <c r="C126" s="58">
        <f>C125*(VOUT-_va1)/_va1</f>
        <v>10.617599999999999</v>
      </c>
      <c r="D126" s="52" t="s">
        <v>208</v>
      </c>
    </row>
    <row r="127" spans="1:6" ht="18.75" x14ac:dyDescent="0.35">
      <c r="A127" s="52" t="s">
        <v>295</v>
      </c>
      <c r="B127" s="52" t="s">
        <v>185</v>
      </c>
      <c r="C127" s="58">
        <f>(IF((10^(LOG(C126)-INT(LOG(C126)))*100)-VLOOKUP((10^(LOG(C126)-INT(LOG(C126)))*100),E48_s:E48_f,1)&lt;VLOOKUP((10^(LOG(C126)-INT(LOG(C126)))*100),E48_s:E48_f,2)-(10^(LOG(C126)-INT(LOG(C126)))*100),VLOOKUP((10^(LOG(C126)-INT(LOG(C126)))*100),E48_s:E48_f,1),VLOOKUP((10^(LOG(C126)-INT(LOG(C126)))*100),E48_s:E48_f,2)))*10^INT(LOG(C126))/100</f>
        <v>10.5</v>
      </c>
      <c r="D127" s="52" t="s">
        <v>208</v>
      </c>
    </row>
    <row r="128" spans="1:6" ht="18.75" x14ac:dyDescent="0.35">
      <c r="A128" s="52" t="s">
        <v>323</v>
      </c>
      <c r="B128" s="52" t="s">
        <v>185</v>
      </c>
      <c r="C128" s="87">
        <v>10.7</v>
      </c>
      <c r="D128" s="52" t="s">
        <v>208</v>
      </c>
    </row>
    <row r="129" spans="1:5" ht="18.75" x14ac:dyDescent="0.35">
      <c r="A129" s="52" t="s">
        <v>280</v>
      </c>
      <c r="B129" s="52" t="s">
        <v>281</v>
      </c>
      <c r="C129" s="58">
        <f>fs/4</f>
        <v>50</v>
      </c>
      <c r="D129" s="52" t="s">
        <v>20</v>
      </c>
    </row>
    <row r="130" spans="1:5" ht="18.75" x14ac:dyDescent="0.35">
      <c r="A130" s="52" t="s">
        <v>187</v>
      </c>
      <c r="B130" s="52" t="s">
        <v>186</v>
      </c>
      <c r="C130" s="58">
        <f>fs/40</f>
        <v>5</v>
      </c>
      <c r="D130" s="52" t="s">
        <v>20</v>
      </c>
    </row>
    <row r="131" spans="1:5" ht="18.75" x14ac:dyDescent="0.35">
      <c r="A131" s="52" t="s">
        <v>272</v>
      </c>
      <c r="B131" s="52" t="s">
        <v>188</v>
      </c>
      <c r="C131" s="58">
        <f>(VOUT^2)/(pout*0.1)</f>
        <v>1.7062727272727269</v>
      </c>
      <c r="D131" s="52" t="s">
        <v>156</v>
      </c>
    </row>
    <row r="132" spans="1:5" hidden="1" x14ac:dyDescent="0.25">
      <c r="A132" s="51" t="s">
        <v>189</v>
      </c>
      <c r="B132" s="51" t="s">
        <v>190</v>
      </c>
      <c r="C132" s="96">
        <f>_ta1*_ta2*(rload/RS)</f>
        <v>123.56602087912086</v>
      </c>
      <c r="D132" s="52" t="s">
        <v>19</v>
      </c>
    </row>
    <row r="133" spans="1:5" hidden="1" x14ac:dyDescent="0.25">
      <c r="A133" s="51" t="s">
        <v>197</v>
      </c>
      <c r="B133" s="51"/>
      <c r="C133" s="96" t="str">
        <f>(COMPLEX(1,2*PI()*fc*1000*esrcout*0.001*cout*0.000001))</f>
        <v>1+0.61261056745001i</v>
      </c>
    </row>
    <row r="134" spans="1:5" hidden="1" x14ac:dyDescent="0.25">
      <c r="A134" s="51" t="s">
        <v>191</v>
      </c>
      <c r="B134" s="51" t="s">
        <v>192</v>
      </c>
      <c r="C134" s="96" t="str">
        <f>IMDIV((COMPLEX(1,2*PI()*fc*1000*esrcout*0.001*cout*0.000001)),(COMPLEX(1,2*PI()*fc*1000*rload*cout*0.000001)))</f>
        <v>0.000954782760148713-0.00155312202004762i</v>
      </c>
    </row>
    <row r="135" spans="1:5" hidden="1" x14ac:dyDescent="0.25">
      <c r="A135" s="51" t="s">
        <v>193</v>
      </c>
      <c r="B135" s="51" t="s">
        <v>193</v>
      </c>
      <c r="C135" s="96" t="str">
        <f>IMDIV(1,(COMPLEX((1-(fc/fpp)^2),(fc/fpp))))</f>
        <v>0.999899000101-0.100999899000101i</v>
      </c>
    </row>
    <row r="136" spans="1:5" hidden="1" x14ac:dyDescent="0.25">
      <c r="A136" s="51" t="s">
        <v>194</v>
      </c>
      <c r="C136" s="96" t="str">
        <f>IMPRODUCT(n1divd1,d2a)</f>
        <v>0.000797821160026729-0.00164939811722252i</v>
      </c>
      <c r="E136" s="51"/>
    </row>
    <row r="137" spans="1:5" hidden="1" x14ac:dyDescent="0.25">
      <c r="A137" s="51" t="s">
        <v>195</v>
      </c>
      <c r="C137" s="96" t="str">
        <f>IMPRODUCT(constant,C136)</f>
        <v>0.0985835861176672-0.203809562190701i</v>
      </c>
    </row>
    <row r="138" spans="1:5" hidden="1" x14ac:dyDescent="0.25">
      <c r="A138" s="51" t="s">
        <v>196</v>
      </c>
      <c r="B138" s="51" t="s">
        <v>198</v>
      </c>
      <c r="C138" s="96">
        <f>IMABS(C137)</f>
        <v>0.22640022326001522</v>
      </c>
    </row>
    <row r="139" spans="1:5" ht="18.75" x14ac:dyDescent="0.35">
      <c r="A139" s="52" t="s">
        <v>200</v>
      </c>
      <c r="B139" s="52" t="s">
        <v>199</v>
      </c>
      <c r="C139" s="58">
        <f>RII/C138</f>
        <v>47.261437492980328</v>
      </c>
      <c r="D139" s="52" t="s">
        <v>208</v>
      </c>
    </row>
    <row r="140" spans="1:5" ht="18.75" x14ac:dyDescent="0.35">
      <c r="A140" s="52" t="s">
        <v>295</v>
      </c>
      <c r="B140" s="52" t="s">
        <v>199</v>
      </c>
      <c r="C140" s="58">
        <f>(IF((10^(LOG(C139)-INT(LOG(C139)))*100)-VLOOKUP((10^(LOG(C139)-INT(LOG(C139)))*100),E48_s:E48_f,1)&lt;VLOOKUP((10^(LOG(C139)-INT(LOG(C139)))*100),E48_s:E48_f,2)-(10^(LOG(C139)-INT(LOG(C139)))*100),VLOOKUP((10^(LOG(C139)-INT(LOG(C139)))*100),E48_s:E48_f,1),VLOOKUP((10^(LOG(C139)-INT(LOG(C139)))*100),E48_s:E48_f,2)))*10^INT(LOG(C139))/100</f>
        <v>46.4</v>
      </c>
      <c r="D140" s="52" t="s">
        <v>208</v>
      </c>
    </row>
    <row r="141" spans="1:5" ht="18.75" x14ac:dyDescent="0.35">
      <c r="A141" s="52" t="s">
        <v>323</v>
      </c>
      <c r="B141" s="52" t="s">
        <v>199</v>
      </c>
      <c r="C141" s="87">
        <v>18.7</v>
      </c>
      <c r="D141" s="52" t="s">
        <v>208</v>
      </c>
    </row>
    <row r="142" spans="1:5" ht="18.75" x14ac:dyDescent="0.35">
      <c r="A142" s="52" t="s">
        <v>204</v>
      </c>
      <c r="B142" s="52" t="s">
        <v>201</v>
      </c>
      <c r="C142" s="58">
        <f>(1/(2*PI()*C141*(fc/5)))*10^3</f>
        <v>8.5109595236307669</v>
      </c>
      <c r="D142" s="52" t="s">
        <v>202</v>
      </c>
      <c r="E142" s="57"/>
    </row>
    <row r="143" spans="1:5" ht="18" customHeight="1" x14ac:dyDescent="0.25">
      <c r="A143" s="52" t="s">
        <v>294</v>
      </c>
      <c r="B143" s="52" t="s">
        <v>210</v>
      </c>
      <c r="C143" s="97">
        <f>IF(C142&lt;10000,C144*10^INT(LOG(C142)),C145*10^INT(LOG(C142)))</f>
        <v>8.1999999999999993</v>
      </c>
      <c r="D143" s="52" t="s">
        <v>202</v>
      </c>
    </row>
    <row r="144" spans="1:5" ht="18" hidden="1" customHeight="1" x14ac:dyDescent="0.25">
      <c r="A144" s="51" t="s">
        <v>211</v>
      </c>
      <c r="C144" s="98">
        <f>IF((10^(LOG(C142)-INT(LOG(C142))))-VLOOKUP((10^(LOG(C142)-INT(LOG(C142)))),c_s1:C_f1,1)&lt;VLOOKUP((10^(LOG(C142)-INT(LOG(C142)))),c_s1:C_f1,2)-(10^(LOG(C142)-INT(LOG(C142)))),VLOOKUP((10^(LOG(C142)-INT(LOG(C142)))),c_s1:C_f1,1),VLOOKUP((10^(LOG(C142)-INT(LOG(C142)))),c_s1:C_f1,2))</f>
        <v>8.1999999999999993</v>
      </c>
    </row>
    <row r="145" spans="1:5" ht="18" hidden="1" customHeight="1" x14ac:dyDescent="0.25">
      <c r="A145" s="51" t="s">
        <v>212</v>
      </c>
      <c r="C145" s="98">
        <f>IF((10^(LOG(C142)-INT(LOG(C142))))-VLOOKUP((10^(LOG(C142)-INT(LOG(C142)))),C_s2:C_f2,1)&lt;VLOOKUP((10^(LOG(C142)-INT(LOG(C142)))),C_s2:C_f2,2)-(10^(LOG(C142)-INT(LOG(C142)))),VLOOKUP((10^(LOG(C142)-INT(LOG(C142)))),C_s2:C_f2,1),VLOOKUP((10^(LOG(C142)-INT(LOG(C142)))),C_s2:C_f2,2))</f>
        <v>10</v>
      </c>
    </row>
    <row r="146" spans="1:5" ht="18.75" x14ac:dyDescent="0.35">
      <c r="A146" s="52" t="s">
        <v>325</v>
      </c>
      <c r="B146" s="52" t="s">
        <v>201</v>
      </c>
      <c r="C146" s="87">
        <v>33</v>
      </c>
      <c r="D146" s="52" t="s">
        <v>202</v>
      </c>
    </row>
    <row r="147" spans="1:5" ht="18.75" x14ac:dyDescent="0.35">
      <c r="A147" s="61" t="s">
        <v>203</v>
      </c>
      <c r="B147" s="61" t="s">
        <v>209</v>
      </c>
      <c r="C147" s="88">
        <f>1000000/(2*PI()*rf*fc*2)</f>
        <v>851.09595236307678</v>
      </c>
      <c r="D147" s="52" t="s">
        <v>62</v>
      </c>
      <c r="E147" s="62" t="s">
        <v>19</v>
      </c>
    </row>
    <row r="148" spans="1:5" ht="18.75" x14ac:dyDescent="0.35">
      <c r="A148" s="52" t="s">
        <v>294</v>
      </c>
      <c r="B148" s="61" t="s">
        <v>209</v>
      </c>
      <c r="C148" s="97">
        <f>IF(C147&lt;10000,C149*10^INT(LOG(C147)),C150*10^INT(LOG(C147)))</f>
        <v>819.99999999999989</v>
      </c>
      <c r="D148" s="52" t="s">
        <v>62</v>
      </c>
      <c r="E148" s="60"/>
    </row>
    <row r="149" spans="1:5" hidden="1" x14ac:dyDescent="0.25">
      <c r="A149" s="51" t="s">
        <v>211</v>
      </c>
      <c r="B149" s="63"/>
      <c r="C149" s="98">
        <f>IF((10^(LOG(C147)-INT(LOG(C147))))-VLOOKUP((10^(LOG(C147)-INT(LOG(C147)))),c_s1:C_f1,1)&lt;VLOOKUP((10^(LOG(C147)-INT(LOG(C147)))),c_s1:C_f1,2)-(10^(LOG(C147)-INT(LOG(C147)))),VLOOKUP((10^(LOG(C147)-INT(LOG(C147)))),c_s1:C_f1,1),VLOOKUP((10^(LOG(C147)-INT(LOG(C147)))),c_s1:C_f1,2))</f>
        <v>8.1999999999999993</v>
      </c>
    </row>
    <row r="150" spans="1:5" hidden="1" x14ac:dyDescent="0.25">
      <c r="A150" s="51" t="s">
        <v>212</v>
      </c>
      <c r="B150" s="63"/>
      <c r="C150" s="98">
        <f>IF((10^(LOG(C147)-INT(LOG(C147))))-VLOOKUP((10^(LOG(C147)-INT(LOG(C147)))),C_s2:C_f2,1)&lt;VLOOKUP((10^(LOG(C147)-INT(LOG(C147)))),C_s2:C_f2,2)-(10^(LOG(C147)-INT(LOG(C147)))),VLOOKUP((10^(LOG(C147)-INT(LOG(C147)))),C_s2:C_f2,1),VLOOKUP((10^(LOG(C147)-INT(LOG(C147)))),C_s2:C_f2,2))</f>
        <v>10</v>
      </c>
    </row>
    <row r="151" spans="1:5" ht="18.75" x14ac:dyDescent="0.35">
      <c r="A151" s="52" t="s">
        <v>325</v>
      </c>
      <c r="B151" s="52" t="s">
        <v>209</v>
      </c>
      <c r="C151" s="87">
        <v>820</v>
      </c>
      <c r="D151" s="52" t="s">
        <v>62</v>
      </c>
    </row>
    <row r="152" spans="1:5" x14ac:dyDescent="0.25">
      <c r="C152" s="87"/>
    </row>
    <row r="153" spans="1:5" x14ac:dyDescent="0.25">
      <c r="C153" s="87"/>
    </row>
    <row r="154" spans="1:5" x14ac:dyDescent="0.25">
      <c r="C154" s="87"/>
    </row>
    <row r="155" spans="1:5" x14ac:dyDescent="0.25">
      <c r="C155" s="87"/>
    </row>
    <row r="156" spans="1:5" x14ac:dyDescent="0.25">
      <c r="C156" s="87"/>
    </row>
    <row r="157" spans="1:5" x14ac:dyDescent="0.25">
      <c r="C157" s="87"/>
    </row>
    <row r="158" spans="1:5" x14ac:dyDescent="0.25">
      <c r="C158" s="87"/>
    </row>
    <row r="159" spans="1:5" x14ac:dyDescent="0.25">
      <c r="C159" s="87"/>
    </row>
    <row r="160" spans="1:5" x14ac:dyDescent="0.25">
      <c r="C160" s="87"/>
    </row>
    <row r="161" spans="1:6" x14ac:dyDescent="0.25">
      <c r="C161" s="87"/>
    </row>
    <row r="162" spans="1:6" x14ac:dyDescent="0.25">
      <c r="C162" s="87"/>
    </row>
    <row r="163" spans="1:6" x14ac:dyDescent="0.25">
      <c r="C163" s="87"/>
    </row>
    <row r="164" spans="1:6" x14ac:dyDescent="0.25">
      <c r="C164" s="87"/>
    </row>
    <row r="165" spans="1:6" x14ac:dyDescent="0.25">
      <c r="C165" s="87"/>
    </row>
    <row r="166" spans="1:6" x14ac:dyDescent="0.25">
      <c r="C166" s="87"/>
    </row>
    <row r="167" spans="1:6" x14ac:dyDescent="0.25">
      <c r="C167" s="87"/>
    </row>
    <row r="168" spans="1:6" x14ac:dyDescent="0.25">
      <c r="C168" s="87"/>
    </row>
    <row r="169" spans="1:6" x14ac:dyDescent="0.25">
      <c r="C169" s="87"/>
    </row>
    <row r="170" spans="1:6" x14ac:dyDescent="0.25">
      <c r="C170" s="87"/>
    </row>
    <row r="171" spans="1:6" x14ac:dyDescent="0.25">
      <c r="C171" s="87"/>
    </row>
    <row r="172" spans="1:6" x14ac:dyDescent="0.25">
      <c r="C172" s="87"/>
    </row>
    <row r="173" spans="1:6" ht="18.75" x14ac:dyDescent="0.35">
      <c r="A173" s="75" t="s">
        <v>288</v>
      </c>
      <c r="B173" s="56"/>
      <c r="C173" s="95"/>
      <c r="D173" s="56"/>
      <c r="E173" s="75" t="s">
        <v>19</v>
      </c>
      <c r="F173" s="75"/>
    </row>
    <row r="174" spans="1:6" ht="18.75" x14ac:dyDescent="0.35">
      <c r="A174" s="61" t="s">
        <v>214</v>
      </c>
      <c r="B174" s="61" t="s">
        <v>213</v>
      </c>
      <c r="C174" s="87">
        <v>57</v>
      </c>
      <c r="D174" s="52" t="s">
        <v>215</v>
      </c>
    </row>
    <row r="175" spans="1:6" ht="18.75" x14ac:dyDescent="0.35">
      <c r="A175" s="61" t="s">
        <v>273</v>
      </c>
      <c r="B175" s="61" t="s">
        <v>216</v>
      </c>
      <c r="C175" s="88">
        <f>(C174)*(25)/(_va1+0.55)</f>
        <v>467.2131147540984</v>
      </c>
      <c r="D175" s="52" t="s">
        <v>202</v>
      </c>
    </row>
    <row r="176" spans="1:6" ht="18.75" x14ac:dyDescent="0.35">
      <c r="A176" s="52" t="s">
        <v>294</v>
      </c>
      <c r="B176" s="61" t="s">
        <v>216</v>
      </c>
      <c r="C176" s="97">
        <f>IF(C175&lt;10000,C177*10^INT(LOG(C175)),C178*10^INT(LOG(C175)))</f>
        <v>470</v>
      </c>
      <c r="D176" s="52" t="s">
        <v>202</v>
      </c>
    </row>
    <row r="177" spans="1:6" hidden="1" x14ac:dyDescent="0.25">
      <c r="A177" s="51" t="s">
        <v>211</v>
      </c>
      <c r="B177" s="63"/>
      <c r="C177" s="98">
        <f>IF((10^(LOG(C175)-INT(LOG(C175))))-VLOOKUP((10^(LOG(C175)-INT(LOG(C175)))),c_s1:C_f1,1)&lt;VLOOKUP((10^(LOG(C175)-INT(LOG(C175)))),c_s1:C_f1,2)-(10^(LOG(C175)-INT(LOG(C175)))),VLOOKUP((10^(LOG(C175)-INT(LOG(C175)))),c_s1:C_f1,1),VLOOKUP((10^(LOG(C175)-INT(LOG(C175)))),c_s1:C_f1,2))</f>
        <v>4.7</v>
      </c>
    </row>
    <row r="178" spans="1:6" hidden="1" x14ac:dyDescent="0.25">
      <c r="A178" s="51" t="s">
        <v>217</v>
      </c>
      <c r="B178" s="63"/>
      <c r="C178" s="98">
        <f>IF((10^(LOG(C175)-INT(LOG(C175))))-VLOOKUP((10^(LOG(C175)-INT(LOG(C175)))),C_s2:C_f2,1)&lt;VLOOKUP((10^(LOG(C175)-INT(LOG(C175)))),C_s2:C_f2,2)-(10^(LOG(C175)-INT(LOG(C175)))),VLOOKUP((10^(LOG(C175)-INT(LOG(C175)))),C_s2:C_f2,1),VLOOKUP((10^(LOG(C175)-INT(LOG(C175)))),C_s2:C_f2,2))</f>
        <v>4.7</v>
      </c>
    </row>
    <row r="179" spans="1:6" ht="18.75" x14ac:dyDescent="0.35">
      <c r="A179" s="52" t="s">
        <v>325</v>
      </c>
      <c r="B179" s="52" t="s">
        <v>216</v>
      </c>
      <c r="C179" s="87">
        <v>470</v>
      </c>
      <c r="D179" s="52" t="s">
        <v>202</v>
      </c>
    </row>
    <row r="180" spans="1:6" ht="18.75" x14ac:dyDescent="0.35">
      <c r="A180" s="75" t="s">
        <v>313</v>
      </c>
      <c r="B180" s="56"/>
      <c r="C180" s="95"/>
      <c r="D180" s="56"/>
      <c r="E180" s="75" t="s">
        <v>19</v>
      </c>
      <c r="F180" s="75"/>
    </row>
    <row r="181" spans="1:6" ht="18.75" x14ac:dyDescent="0.35">
      <c r="A181" s="61" t="s">
        <v>274</v>
      </c>
      <c r="B181" s="61" t="s">
        <v>218</v>
      </c>
      <c r="C181" s="88">
        <f>tdelay</f>
        <v>114.67659156551585</v>
      </c>
      <c r="D181" s="52" t="s">
        <v>132</v>
      </c>
    </row>
    <row r="182" spans="1:6" ht="18.75" x14ac:dyDescent="0.35">
      <c r="A182" s="61" t="s">
        <v>312</v>
      </c>
      <c r="B182" s="61" t="s">
        <v>218</v>
      </c>
      <c r="C182" s="87">
        <v>200</v>
      </c>
      <c r="D182" s="52" t="s">
        <v>132</v>
      </c>
    </row>
    <row r="183" spans="1:6" ht="18.75" x14ac:dyDescent="0.35">
      <c r="A183" s="61" t="s">
        <v>307</v>
      </c>
      <c r="B183" s="61" t="s">
        <v>304</v>
      </c>
      <c r="C183" s="87">
        <v>8.25</v>
      </c>
      <c r="D183" s="52" t="s">
        <v>208</v>
      </c>
    </row>
    <row r="184" spans="1:6" ht="18.75" x14ac:dyDescent="0.35">
      <c r="A184" s="61" t="s">
        <v>306</v>
      </c>
      <c r="B184" s="61" t="s">
        <v>305</v>
      </c>
      <c r="C184" s="88">
        <f>IF(tabset&gt;155, 0.2, 1.8)</f>
        <v>0.2</v>
      </c>
      <c r="D184" s="52" t="s">
        <v>17</v>
      </c>
    </row>
    <row r="185" spans="1:6" ht="18.75" x14ac:dyDescent="0.35">
      <c r="A185" s="61" t="s">
        <v>308</v>
      </c>
      <c r="B185" s="61" t="s">
        <v>309</v>
      </c>
      <c r="C185" s="88">
        <f>C183*C184/(5-C184)</f>
        <v>0.34375000000000006</v>
      </c>
      <c r="D185" s="52" t="s">
        <v>208</v>
      </c>
    </row>
    <row r="186" spans="1:6" ht="18.75" x14ac:dyDescent="0.35">
      <c r="A186" s="52" t="s">
        <v>295</v>
      </c>
      <c r="B186" s="61" t="s">
        <v>309</v>
      </c>
      <c r="C186" s="58">
        <f>(IF((10^(LOG(C185)-INT(LOG(C185)))*100)-VLOOKUP((10^(LOG(C185)-INT(LOG(C185)))*100),E48_s:E48_f,1)&lt;VLOOKUP((10^(LOG(C185)-INT(LOG(C185)))*100),E48_s:E48_f,2)-(10^(LOG(C185)-INT(LOG(C185)))*100),VLOOKUP((10^(LOG(C185)-INT(LOG(C185)))*100),E48_s:E48_f,1),VLOOKUP((10^(LOG(C185)-INT(LOG(C185)))*100),E48_s:E48_f,2)))*10^INT(LOG(C185))/100</f>
        <v>0.34800000000000003</v>
      </c>
      <c r="D186" s="52" t="s">
        <v>208</v>
      </c>
    </row>
    <row r="187" spans="1:6" ht="18.75" x14ac:dyDescent="0.35">
      <c r="A187" s="61" t="s">
        <v>310</v>
      </c>
      <c r="B187" s="61" t="s">
        <v>309</v>
      </c>
      <c r="C187" s="87">
        <v>0.34799999999999998</v>
      </c>
      <c r="D187" s="52" t="s">
        <v>208</v>
      </c>
    </row>
    <row r="188" spans="1:6" ht="18.75" x14ac:dyDescent="0.35">
      <c r="A188" s="61" t="s">
        <v>311</v>
      </c>
      <c r="B188" s="61" t="s">
        <v>305</v>
      </c>
      <c r="C188" s="88">
        <f>5*C187/(C183+C187)</f>
        <v>0.2023726448011165</v>
      </c>
      <c r="D188" s="52" t="s">
        <v>17</v>
      </c>
    </row>
    <row r="189" spans="1:6" ht="18.75" x14ac:dyDescent="0.35">
      <c r="A189" s="52" t="s">
        <v>275</v>
      </c>
      <c r="B189" s="61" t="s">
        <v>219</v>
      </c>
      <c r="C189" s="88">
        <f>(tabset-5)*(0.15+(C188*1.46))/5</f>
        <v>17.373098394975571</v>
      </c>
      <c r="D189" s="52" t="s">
        <v>208</v>
      </c>
    </row>
    <row r="190" spans="1:6" ht="18.75" x14ac:dyDescent="0.35">
      <c r="A190" s="52" t="s">
        <v>295</v>
      </c>
      <c r="B190" s="61" t="s">
        <v>219</v>
      </c>
      <c r="C190" s="58">
        <f>(IF((10^(LOG(C189)-INT(LOG(C189)))*100)-VLOOKUP((10^(LOG(C189)-INT(LOG(C189)))*100),E48_s:E48_f,1)&lt;VLOOKUP((10^(LOG(C189)-INT(LOG(C189)))*100),E48_s:E48_f,2)-(10^(LOG(C189)-INT(LOG(C189)))*100),VLOOKUP((10^(LOG(C189)-INT(LOG(C189)))*100),E48_s:E48_f,1),VLOOKUP((10^(LOG(C189)-INT(LOG(C189)))*100),E48_s:E48_f,2)))*10^INT(LOG(C189))/100</f>
        <v>17.8</v>
      </c>
      <c r="D190" s="52" t="s">
        <v>208</v>
      </c>
    </row>
    <row r="191" spans="1:6" ht="18.75" x14ac:dyDescent="0.35">
      <c r="A191" s="52" t="s">
        <v>326</v>
      </c>
      <c r="B191" s="61" t="s">
        <v>219</v>
      </c>
      <c r="C191" s="87">
        <v>16</v>
      </c>
      <c r="D191" s="52" t="s">
        <v>208</v>
      </c>
    </row>
    <row r="192" spans="1:6" ht="18.75" x14ac:dyDescent="0.35">
      <c r="A192" s="75" t="s">
        <v>314</v>
      </c>
      <c r="B192" s="56"/>
      <c r="C192" s="95"/>
      <c r="D192" s="56"/>
      <c r="E192" s="75" t="s">
        <v>19</v>
      </c>
      <c r="F192" s="75"/>
    </row>
    <row r="193" spans="1:6" ht="18.75" x14ac:dyDescent="0.35">
      <c r="A193" s="52" t="s">
        <v>276</v>
      </c>
      <c r="B193" s="61" t="s">
        <v>221</v>
      </c>
      <c r="C193" s="88">
        <f>tdelay</f>
        <v>114.67659156551585</v>
      </c>
      <c r="D193" s="52" t="s">
        <v>132</v>
      </c>
    </row>
    <row r="194" spans="1:6" ht="18.75" x14ac:dyDescent="0.35">
      <c r="A194" s="61" t="s">
        <v>312</v>
      </c>
      <c r="B194" s="61" t="s">
        <v>221</v>
      </c>
      <c r="C194" s="87">
        <v>200</v>
      </c>
      <c r="D194" s="52" t="s">
        <v>132</v>
      </c>
    </row>
    <row r="195" spans="1:6" ht="18.75" x14ac:dyDescent="0.35">
      <c r="A195" s="52" t="s">
        <v>275</v>
      </c>
      <c r="B195" s="61" t="s">
        <v>220</v>
      </c>
      <c r="C195" s="88">
        <f>(tcdset-5)*(0.15+(vadel*1.46))/5</f>
        <v>17.373098394975571</v>
      </c>
      <c r="D195" s="52" t="s">
        <v>208</v>
      </c>
    </row>
    <row r="196" spans="1:6" ht="18.75" x14ac:dyDescent="0.35">
      <c r="A196" s="52" t="s">
        <v>295</v>
      </c>
      <c r="B196" s="61" t="s">
        <v>220</v>
      </c>
      <c r="C196" s="58">
        <f>(IF((10^(LOG(C195)-INT(LOG(C195)))*100)-VLOOKUP((10^(LOG(C195)-INT(LOG(C195)))*100),E48_s:E48_f,1)&lt;VLOOKUP((10^(LOG(C195)-INT(LOG(C195)))*100),E48_s:E48_f,2)-(10^(LOG(C195)-INT(LOG(C195)))*100),VLOOKUP((10^(LOG(C195)-INT(LOG(C195)))*100),E48_s:E48_f,1),VLOOKUP((10^(LOG(C195)-INT(LOG(C195)))*100),E48_s:E48_f,2)))*10^INT(LOG(C195))/100</f>
        <v>17.8</v>
      </c>
      <c r="D196" s="52" t="s">
        <v>208</v>
      </c>
    </row>
    <row r="197" spans="1:6" ht="18.75" x14ac:dyDescent="0.35">
      <c r="A197" s="52" t="s">
        <v>326</v>
      </c>
      <c r="B197" s="61" t="s">
        <v>220</v>
      </c>
      <c r="C197" s="87">
        <v>16</v>
      </c>
      <c r="D197" s="52" t="s">
        <v>208</v>
      </c>
    </row>
    <row r="198" spans="1:6" ht="18.75" x14ac:dyDescent="0.35">
      <c r="A198" s="75" t="s">
        <v>324</v>
      </c>
      <c r="B198" s="56"/>
      <c r="C198" s="95"/>
      <c r="D198" s="56"/>
      <c r="E198" s="75" t="s">
        <v>19</v>
      </c>
      <c r="F198" s="75"/>
    </row>
    <row r="199" spans="1:6" ht="18.75" x14ac:dyDescent="0.35">
      <c r="A199" s="52" t="s">
        <v>222</v>
      </c>
      <c r="B199" s="52" t="s">
        <v>321</v>
      </c>
      <c r="C199" s="58">
        <f>C182/2</f>
        <v>100</v>
      </c>
      <c r="D199" s="52" t="s">
        <v>132</v>
      </c>
    </row>
    <row r="200" spans="1:6" ht="18.75" x14ac:dyDescent="0.35">
      <c r="A200" s="52" t="s">
        <v>322</v>
      </c>
      <c r="B200" s="52" t="s">
        <v>321</v>
      </c>
      <c r="C200" s="87">
        <v>89</v>
      </c>
      <c r="D200" s="52" t="s">
        <v>132</v>
      </c>
    </row>
    <row r="201" spans="1:6" ht="18.75" x14ac:dyDescent="0.35">
      <c r="A201" s="61" t="s">
        <v>316</v>
      </c>
      <c r="B201" s="52" t="s">
        <v>315</v>
      </c>
      <c r="C201" s="87">
        <v>0.72</v>
      </c>
      <c r="D201" s="52" t="s">
        <v>208</v>
      </c>
    </row>
    <row r="202" spans="1:6" ht="18.75" x14ac:dyDescent="0.35">
      <c r="A202" s="61" t="s">
        <v>319</v>
      </c>
      <c r="B202" s="52" t="s">
        <v>320</v>
      </c>
      <c r="C202" s="88">
        <f>IF(tafset&lt;170, 0.2,1.7)</f>
        <v>0.2</v>
      </c>
      <c r="D202" s="52" t="s">
        <v>17</v>
      </c>
    </row>
    <row r="203" spans="1:6" ht="18.75" x14ac:dyDescent="0.35">
      <c r="A203" s="61" t="s">
        <v>317</v>
      </c>
      <c r="B203" s="52" t="s">
        <v>318</v>
      </c>
      <c r="C203" s="88">
        <f>C202*C201/(5-C202)</f>
        <v>0.03</v>
      </c>
      <c r="D203" s="52" t="s">
        <v>208</v>
      </c>
    </row>
    <row r="204" spans="1:6" ht="18.75" x14ac:dyDescent="0.35">
      <c r="A204" s="52" t="s">
        <v>295</v>
      </c>
      <c r="B204" s="52" t="s">
        <v>318</v>
      </c>
      <c r="C204" s="58">
        <f>(IF((10^(LOG(C203)-INT(LOG(C203)))*100)-VLOOKUP((10^(LOG(C203)-INT(LOG(C203)))*100),E48_s:E48_f,1)&lt;VLOOKUP((10^(LOG(C203)-INT(LOG(C203)))*100),E48_s:E48_f,2)-(10^(LOG(C203)-INT(LOG(C203)))*100),VLOOKUP((10^(LOG(C203)-INT(LOG(C203)))*100),E48_s:E48_f,1),VLOOKUP((10^(LOG(C203)-INT(LOG(C203)))*100),E48_s:E48_f,2)))*10^INT(LOG(C203))/100</f>
        <v>3.0100000000000002E-2</v>
      </c>
      <c r="D204" s="52" t="s">
        <v>208</v>
      </c>
    </row>
    <row r="205" spans="1:6" ht="18.75" x14ac:dyDescent="0.35">
      <c r="A205" s="52" t="s">
        <v>323</v>
      </c>
      <c r="B205" s="52" t="s">
        <v>318</v>
      </c>
      <c r="C205" s="87">
        <v>0.43</v>
      </c>
      <c r="D205" s="52" t="s">
        <v>208</v>
      </c>
    </row>
    <row r="206" spans="1:6" ht="18.75" x14ac:dyDescent="0.35">
      <c r="A206" s="61" t="s">
        <v>319</v>
      </c>
      <c r="B206" s="52" t="s">
        <v>320</v>
      </c>
      <c r="C206" s="58">
        <f>5*C205/(C205+C201)</f>
        <v>1.8695652173913044</v>
      </c>
      <c r="D206" s="52" t="s">
        <v>17</v>
      </c>
    </row>
    <row r="207" spans="1:6" ht="18.75" x14ac:dyDescent="0.35">
      <c r="A207" s="52" t="s">
        <v>275</v>
      </c>
      <c r="B207" s="61" t="s">
        <v>223</v>
      </c>
      <c r="C207" s="88">
        <f>(tafset-4)*(2.65-(C206*1.32))/5</f>
        <v>3.0969565217391235</v>
      </c>
      <c r="D207" s="52" t="s">
        <v>208</v>
      </c>
    </row>
    <row r="208" spans="1:6" ht="18.75" x14ac:dyDescent="0.35">
      <c r="A208" s="52" t="s">
        <v>295</v>
      </c>
      <c r="B208" s="61" t="s">
        <v>223</v>
      </c>
      <c r="C208" s="58">
        <f>(IF((10^(LOG(C207)-INT(LOG(C207)))*100)-VLOOKUP((10^(LOG(C207)-INT(LOG(C207)))*100),E48_s:E48_f,1)&lt;VLOOKUP((10^(LOG(C207)-INT(LOG(C207)))*100),E48_s:E48_f,2)-(10^(LOG(C207)-INT(LOG(C207)))*100),VLOOKUP((10^(LOG(C207)-INT(LOG(C207)))*100),E48_s:E48_f,1),VLOOKUP((10^(LOG(C207)-INT(LOG(C207)))*100),E48_s:E48_f,2)))*10^INT(LOG(C207))/100</f>
        <v>3.16</v>
      </c>
      <c r="D208" s="52" t="s">
        <v>208</v>
      </c>
    </row>
    <row r="209" spans="1:6" ht="18.75" x14ac:dyDescent="0.35">
      <c r="A209" s="52" t="s">
        <v>327</v>
      </c>
      <c r="B209" s="61" t="s">
        <v>223</v>
      </c>
      <c r="C209" s="87">
        <v>3.3</v>
      </c>
      <c r="D209" s="52" t="s">
        <v>208</v>
      </c>
    </row>
    <row r="210" spans="1:6" x14ac:dyDescent="0.25">
      <c r="A210" s="75" t="s">
        <v>224</v>
      </c>
      <c r="B210" s="65"/>
      <c r="C210" s="95"/>
      <c r="D210" s="56"/>
      <c r="E210" s="75" t="s">
        <v>19</v>
      </c>
      <c r="F210" s="75"/>
    </row>
    <row r="211" spans="1:6" ht="18.75" x14ac:dyDescent="0.35">
      <c r="A211" s="52" t="s">
        <v>225</v>
      </c>
      <c r="B211" s="52" t="s">
        <v>226</v>
      </c>
      <c r="C211" s="87">
        <v>100</v>
      </c>
      <c r="D211" s="52" t="s">
        <v>132</v>
      </c>
    </row>
    <row r="212" spans="1:6" ht="18.75" x14ac:dyDescent="0.35">
      <c r="A212" s="52" t="s">
        <v>228</v>
      </c>
      <c r="B212" s="52" t="s">
        <v>227</v>
      </c>
      <c r="C212" s="58">
        <f>(C211-15)/6.6</f>
        <v>12.878787878787879</v>
      </c>
      <c r="D212" s="52" t="s">
        <v>208</v>
      </c>
    </row>
    <row r="213" spans="1:6" ht="18.75" x14ac:dyDescent="0.35">
      <c r="A213" s="52" t="s">
        <v>295</v>
      </c>
      <c r="B213" s="52" t="s">
        <v>227</v>
      </c>
      <c r="C213" s="58">
        <f>(IF((10^(LOG(C212)-INT(LOG(C212)))*100)-VLOOKUP((10^(LOG(C212)-INT(LOG(C212)))*100),E48_s:E48_f,1)&lt;VLOOKUP((10^(LOG(C212)-INT(LOG(C212)))*100),E48_s:E48_f,2)-(10^(LOG(C212)-INT(LOG(C212)))*100),VLOOKUP((10^(LOG(C212)-INT(LOG(C212)))*100),E48_s:E48_f,1),VLOOKUP((10^(LOG(C212)-INT(LOG(C212)))*100),E48_s:E48_f,2)))*10^INT(LOG(C212))/100</f>
        <v>12.7</v>
      </c>
      <c r="D213" s="52" t="s">
        <v>208</v>
      </c>
    </row>
    <row r="214" spans="1:6" ht="18.75" x14ac:dyDescent="0.35">
      <c r="A214" s="52" t="s">
        <v>323</v>
      </c>
      <c r="B214" s="52" t="s">
        <v>227</v>
      </c>
      <c r="C214" s="87">
        <v>13</v>
      </c>
      <c r="D214" s="52" t="s">
        <v>208</v>
      </c>
    </row>
    <row r="215" spans="1:6" x14ac:dyDescent="0.25">
      <c r="A215" s="75" t="s">
        <v>229</v>
      </c>
      <c r="B215" s="65"/>
      <c r="C215" s="95"/>
      <c r="D215" s="56"/>
      <c r="E215" s="75" t="s">
        <v>19</v>
      </c>
      <c r="F215" s="75"/>
    </row>
    <row r="216" spans="1:6" ht="18.75" x14ac:dyDescent="0.35">
      <c r="A216" s="52" t="s">
        <v>230</v>
      </c>
      <c r="B216" s="52" t="s">
        <v>231</v>
      </c>
      <c r="C216" s="58">
        <f>(((2.5*10^3)/(fs/2))-1)*2.5</f>
        <v>60</v>
      </c>
      <c r="D216" s="52" t="s">
        <v>208</v>
      </c>
      <c r="E216" s="52" t="s">
        <v>19</v>
      </c>
    </row>
    <row r="217" spans="1:6" ht="18.75" x14ac:dyDescent="0.35">
      <c r="A217" s="52" t="s">
        <v>295</v>
      </c>
      <c r="B217" s="52" t="s">
        <v>231</v>
      </c>
      <c r="C217" s="58">
        <f>(IF((10^(LOG(C216)-INT(LOG(C216)))*100)-VLOOKUP((10^(LOG(C216)-INT(LOG(C216)))*100),E48_s:E48_f,1)&lt;VLOOKUP((10^(LOG(C216)-INT(LOG(C216)))*100),E48_s:E48_f,2)-(10^(LOG(C216)-INT(LOG(C216)))*100),VLOOKUP((10^(LOG(C216)-INT(LOG(C216)))*100),E48_s:E48_f,1),VLOOKUP((10^(LOG(C216)-INT(LOG(C216)))*100),E48_s:E48_f,2)))*10^INT(LOG(C216))/100</f>
        <v>59</v>
      </c>
      <c r="D217" s="52" t="s">
        <v>208</v>
      </c>
    </row>
    <row r="218" spans="1:6" ht="18.75" x14ac:dyDescent="0.35">
      <c r="A218" s="52" t="s">
        <v>323</v>
      </c>
      <c r="B218" s="52" t="s">
        <v>231</v>
      </c>
      <c r="C218" s="87">
        <v>61.9</v>
      </c>
      <c r="D218" s="52" t="s">
        <v>208</v>
      </c>
    </row>
    <row r="219" spans="1:6" x14ac:dyDescent="0.25">
      <c r="A219" s="75" t="s">
        <v>232</v>
      </c>
      <c r="B219" s="65"/>
      <c r="C219" s="95"/>
      <c r="D219" s="56"/>
      <c r="E219" s="75" t="s">
        <v>19</v>
      </c>
      <c r="F219" s="75"/>
    </row>
    <row r="220" spans="1:6" ht="18.75" x14ac:dyDescent="0.35">
      <c r="A220" s="52" t="s">
        <v>277</v>
      </c>
      <c r="B220" s="52" t="s">
        <v>44</v>
      </c>
      <c r="C220" s="58">
        <f>(vin*(1-dtyp))/(lmag2*fs)</f>
        <v>0.41750125187781667</v>
      </c>
      <c r="D220" s="52" t="s">
        <v>34</v>
      </c>
    </row>
    <row r="221" spans="1:6" ht="18.75" x14ac:dyDescent="0.35">
      <c r="A221" s="52" t="s">
        <v>334</v>
      </c>
      <c r="B221" s="52" t="s">
        <v>332</v>
      </c>
      <c r="C221" s="58">
        <f>fs*0.2*0.001</f>
        <v>0.04</v>
      </c>
      <c r="D221" s="52" t="s">
        <v>233</v>
      </c>
    </row>
    <row r="222" spans="1:6" ht="18.75" x14ac:dyDescent="0.35">
      <c r="A222" s="52" t="s">
        <v>335</v>
      </c>
      <c r="B222" s="52" t="s">
        <v>333</v>
      </c>
      <c r="C222" s="58">
        <f>((((dilout/(_taa1*2))-C220)*RS*(1-dtyp)*fs)/_ta2)*0.001</f>
        <v>8.8369832389982361E-5</v>
      </c>
      <c r="D222" s="52" t="s">
        <v>233</v>
      </c>
      <c r="E222" s="52" t="s">
        <v>19</v>
      </c>
    </row>
    <row r="223" spans="1:6" ht="18.75" x14ac:dyDescent="0.35">
      <c r="A223" s="52" t="s">
        <v>234</v>
      </c>
      <c r="B223" s="52" t="s">
        <v>235</v>
      </c>
      <c r="C223" s="88">
        <f>IF(Vslope1&gt;Vslope2, Vslope1, Vslope2)</f>
        <v>0.04</v>
      </c>
      <c r="D223" s="52" t="s">
        <v>233</v>
      </c>
      <c r="E223" s="52" t="s">
        <v>19</v>
      </c>
    </row>
    <row r="224" spans="1:6" ht="18.75" x14ac:dyDescent="0.35">
      <c r="A224" s="52" t="s">
        <v>236</v>
      </c>
      <c r="B224" s="52" t="s">
        <v>237</v>
      </c>
      <c r="C224" s="58">
        <f>2.5/(C223*0.5)</f>
        <v>125</v>
      </c>
      <c r="D224" s="52" t="s">
        <v>208</v>
      </c>
      <c r="E224" s="57"/>
    </row>
    <row r="225" spans="1:6" ht="18.75" x14ac:dyDescent="0.35">
      <c r="A225" s="52" t="s">
        <v>295</v>
      </c>
      <c r="B225" s="52" t="s">
        <v>237</v>
      </c>
      <c r="C225" s="58">
        <f>(IF((10^(LOG(C224)-INT(LOG(C224)))*100)-VLOOKUP((10^(LOG(C224)-INT(LOG(C224)))*100),E48_s:E48_f,1)&lt;VLOOKUP((10^(LOG(C224)-INT(LOG(C224)))*100),E48_s:E48_f,2)-(10^(LOG(C224)-INT(LOG(C224)))*100),VLOOKUP((10^(LOG(C224)-INT(LOG(C224)))*100),E48_s:E48_f,1),VLOOKUP((10^(LOG(C224)-INT(LOG(C224)))*100),E48_s:E48_f,2)))*10^INT(LOG(C224))/100</f>
        <v>127</v>
      </c>
      <c r="D225" s="52" t="s">
        <v>208</v>
      </c>
    </row>
    <row r="226" spans="1:6" ht="18.75" x14ac:dyDescent="0.35">
      <c r="A226" s="52" t="s">
        <v>323</v>
      </c>
      <c r="B226" s="52" t="s">
        <v>237</v>
      </c>
      <c r="C226" s="87">
        <v>100</v>
      </c>
      <c r="D226" s="52" t="s">
        <v>208</v>
      </c>
    </row>
    <row r="227" spans="1:6" x14ac:dyDescent="0.25">
      <c r="A227" s="75" t="s">
        <v>278</v>
      </c>
      <c r="B227" s="65"/>
      <c r="C227" s="95"/>
      <c r="D227" s="56"/>
      <c r="E227" s="75" t="s">
        <v>19</v>
      </c>
      <c r="F227" s="75"/>
    </row>
    <row r="228" spans="1:6" ht="18.75" x14ac:dyDescent="0.35">
      <c r="A228" s="52" t="s">
        <v>238</v>
      </c>
      <c r="B228" s="52" t="s">
        <v>239</v>
      </c>
      <c r="C228" s="58">
        <f>(((pout*0.15/VOUT)+(dilout/2))*RS)/(_ta1*_ta2)</f>
        <v>0.27717975990750116</v>
      </c>
      <c r="D228" s="52" t="s">
        <v>17</v>
      </c>
    </row>
    <row r="229" spans="1:6" ht="18.75" x14ac:dyDescent="0.35">
      <c r="A229" s="52" t="s">
        <v>181</v>
      </c>
      <c r="B229" s="52" t="s">
        <v>240</v>
      </c>
      <c r="C229" s="87">
        <v>1.7</v>
      </c>
      <c r="D229" s="52" t="s">
        <v>208</v>
      </c>
    </row>
    <row r="230" spans="1:6" ht="18.75" x14ac:dyDescent="0.35">
      <c r="A230" s="52" t="s">
        <v>242</v>
      </c>
      <c r="B230" s="52" t="s">
        <v>241</v>
      </c>
      <c r="C230" s="58">
        <f>(C229*(5-C228)/C228)</f>
        <v>28.966019780219781</v>
      </c>
      <c r="D230" s="52" t="s">
        <v>208</v>
      </c>
    </row>
    <row r="231" spans="1:6" ht="18.75" x14ac:dyDescent="0.35">
      <c r="A231" s="52" t="s">
        <v>295</v>
      </c>
      <c r="B231" s="52" t="s">
        <v>241</v>
      </c>
      <c r="C231" s="58">
        <f>(IF((10^(LOG(C230)-INT(LOG(C230)))*100)-VLOOKUP((10^(LOG(C230)-INT(LOG(C230)))*100),E48_s:E48_f,1)&lt;VLOOKUP((10^(LOG(C230)-INT(LOG(C230)))*100),E48_s:E48_f,2)-(10^(LOG(C230)-INT(LOG(C230)))*100),VLOOKUP((10^(LOG(C230)-INT(LOG(C230)))*100),E48_s:E48_f,1),VLOOKUP((10^(LOG(C230)-INT(LOG(C230)))*100),E48_s:E48_f,2)))*10^INT(LOG(C230))/100</f>
        <v>28.7</v>
      </c>
      <c r="D231" s="52" t="s">
        <v>208</v>
      </c>
    </row>
    <row r="232" spans="1:6" ht="18.75" x14ac:dyDescent="0.35">
      <c r="A232" s="52" t="s">
        <v>323</v>
      </c>
      <c r="B232" s="52" t="s">
        <v>241</v>
      </c>
      <c r="C232" s="87">
        <v>19.600000000000001</v>
      </c>
      <c r="D232" s="52" t="s">
        <v>208</v>
      </c>
    </row>
  </sheetData>
  <sheetProtection password="ECDD" sheet="1" formatColumns="0" formatRows="0" selectLockedCells="1"/>
  <phoneticPr fontId="0" type="noConversion"/>
  <pageMargins left="0.75" right="0.75" top="1" bottom="1" header="0.5" footer="0.5"/>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L30"/>
  <sheetViews>
    <sheetView topLeftCell="A7" workbookViewId="0">
      <selection activeCell="K19" sqref="K19"/>
    </sheetView>
  </sheetViews>
  <sheetFormatPr defaultRowHeight="12.75" x14ac:dyDescent="0.2"/>
  <sheetData>
    <row r="30" spans="12:12" x14ac:dyDescent="0.2">
      <c r="L30" t="s">
        <v>19</v>
      </c>
    </row>
  </sheetData>
  <sheetProtection password="ECDD" sheet="1"/>
  <phoneticPr fontId="21"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Visio.Drawing.6" shapeId="5125" r:id="rId4">
          <objectPr defaultSize="0" autoPict="0" r:id="rId5">
            <anchor moveWithCells="1">
              <from>
                <xdr:col>0</xdr:col>
                <xdr:colOff>38100</xdr:colOff>
                <xdr:row>5</xdr:row>
                <xdr:rowOff>47625</xdr:rowOff>
              </from>
              <to>
                <xdr:col>8</xdr:col>
                <xdr:colOff>428625</xdr:colOff>
                <xdr:row>46</xdr:row>
                <xdr:rowOff>47625</xdr:rowOff>
              </to>
            </anchor>
          </objectPr>
        </oleObject>
      </mc:Choice>
      <mc:Fallback>
        <oleObject progId="Visio.Drawing.6" shapeId="5125"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I22" sqref="I22"/>
    </sheetView>
  </sheetViews>
  <sheetFormatPr defaultRowHeight="12.75" x14ac:dyDescent="0.2"/>
  <sheetData/>
  <sheetProtection password="ECDD" sheet="1"/>
  <phoneticPr fontId="21"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G31"/>
  <sheetViews>
    <sheetView workbookViewId="0">
      <selection activeCell="I3" sqref="I3"/>
    </sheetView>
  </sheetViews>
  <sheetFormatPr defaultRowHeight="12.75" x14ac:dyDescent="0.2"/>
  <sheetData>
    <row r="31" spans="7:7" x14ac:dyDescent="0.2">
      <c r="G31" t="s">
        <v>19</v>
      </c>
    </row>
  </sheetData>
  <sheetProtection password="ECDD" sheet="1"/>
  <phoneticPr fontId="21" type="noConversion"/>
  <pageMargins left="0.75" right="0.75" top="1" bottom="1" header="0.5" footer="0.5"/>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3"/>
  <sheetViews>
    <sheetView workbookViewId="0">
      <selection activeCell="A3" sqref="A3:U3"/>
    </sheetView>
  </sheetViews>
  <sheetFormatPr defaultRowHeight="12.75" x14ac:dyDescent="0.2"/>
  <sheetData>
    <row r="1" spans="1:21" x14ac:dyDescent="0.2">
      <c r="A1" s="108" t="s">
        <v>340</v>
      </c>
      <c r="B1" s="108"/>
      <c r="C1" s="108"/>
      <c r="D1" s="108"/>
      <c r="E1" s="108"/>
      <c r="F1" s="108"/>
      <c r="G1" s="108"/>
      <c r="H1" s="108"/>
      <c r="I1" s="108"/>
      <c r="J1" s="108"/>
      <c r="K1" s="108"/>
      <c r="L1" s="108"/>
      <c r="M1" s="108"/>
      <c r="N1" s="108"/>
      <c r="O1" s="108"/>
      <c r="P1" s="108"/>
      <c r="Q1" s="108"/>
      <c r="R1" s="108"/>
      <c r="S1" s="108"/>
      <c r="T1" s="108"/>
      <c r="U1" s="108"/>
    </row>
    <row r="2" spans="1:21" x14ac:dyDescent="0.2">
      <c r="A2" s="108"/>
      <c r="B2" s="108"/>
      <c r="C2" s="108"/>
      <c r="D2" s="108"/>
      <c r="E2" s="108"/>
      <c r="F2" s="108"/>
      <c r="G2" s="108"/>
      <c r="H2" s="108"/>
      <c r="I2" s="108"/>
      <c r="J2" s="108"/>
      <c r="K2" s="108"/>
      <c r="L2" s="108"/>
      <c r="M2" s="108"/>
      <c r="N2" s="108"/>
      <c r="O2" s="108"/>
      <c r="P2" s="108"/>
      <c r="Q2" s="108"/>
      <c r="R2" s="108"/>
      <c r="S2" s="108"/>
      <c r="T2" s="108"/>
      <c r="U2" s="108"/>
    </row>
    <row r="3" spans="1:21" ht="387" customHeight="1" x14ac:dyDescent="0.2">
      <c r="A3" s="109" t="s">
        <v>341</v>
      </c>
      <c r="B3" s="109"/>
      <c r="C3" s="109"/>
      <c r="D3" s="109"/>
      <c r="E3" s="109"/>
      <c r="F3" s="109"/>
      <c r="G3" s="109"/>
      <c r="H3" s="109"/>
      <c r="I3" s="109"/>
      <c r="J3" s="109"/>
      <c r="K3" s="109"/>
      <c r="L3" s="109"/>
      <c r="M3" s="109"/>
      <c r="N3" s="109"/>
      <c r="O3" s="109"/>
      <c r="P3" s="109"/>
      <c r="Q3" s="109"/>
      <c r="R3" s="109"/>
      <c r="S3" s="109"/>
      <c r="T3" s="109"/>
      <c r="U3" s="109"/>
    </row>
  </sheetData>
  <sheetProtection algorithmName="SHA-512" hashValue="+PcoHR4I2iULuSXVLYlvHInwmbIr8mvl29gW/turBkgZWMMUOwL6rLVWXa7SRfRK/NPJDZ//14B7PXso5Ci7sA==" saltValue="2yqKKuZ4bA/xqIUehV6iRQ==" spinCount="100000" sheet="1" formatCells="0" formatRows="0" insertColumns="0" insertRows="0" insertHyperlinks="0" deleteColumns="0" deleteRows="0" sort="0" autoFilter="0" pivotTables="0"/>
  <mergeCells count="2">
    <mergeCell ref="A1:U2"/>
    <mergeCell ref="A3:U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101"/>
  <sheetViews>
    <sheetView workbookViewId="0">
      <selection sqref="A1:IV65536"/>
    </sheetView>
  </sheetViews>
  <sheetFormatPr defaultRowHeight="12.75" x14ac:dyDescent="0.2"/>
  <cols>
    <col min="1" max="1" width="9.140625" style="70"/>
    <col min="2" max="2" width="10.140625" style="70" customWidth="1"/>
    <col min="3" max="3" width="9.140625" style="70"/>
    <col min="4" max="4" width="12.42578125" style="70" customWidth="1"/>
    <col min="5" max="5" width="21.5703125" style="70" customWidth="1"/>
    <col min="6" max="6" width="15.42578125" style="70" customWidth="1"/>
    <col min="7" max="7" width="21.140625" style="70" customWidth="1"/>
    <col min="8" max="8" width="9.140625" style="70"/>
    <col min="9" max="9" width="14.28515625" style="70" customWidth="1"/>
    <col min="10" max="10" width="17.140625" style="70" customWidth="1"/>
    <col min="11" max="11" width="11.85546875" style="70" customWidth="1"/>
    <col min="12" max="12" width="13.5703125" style="70" customWidth="1"/>
    <col min="13" max="16384" width="9.140625" style="70"/>
  </cols>
  <sheetData>
    <row r="1" spans="1:18" ht="42.75" x14ac:dyDescent="0.3">
      <c r="A1" s="70" t="s">
        <v>245</v>
      </c>
      <c r="B1" s="70" t="s">
        <v>260</v>
      </c>
      <c r="C1" s="70" t="s">
        <v>190</v>
      </c>
      <c r="D1" s="70" t="s">
        <v>246</v>
      </c>
      <c r="E1" s="51" t="s">
        <v>247</v>
      </c>
      <c r="F1" s="70" t="s">
        <v>248</v>
      </c>
      <c r="G1" s="70" t="s">
        <v>249</v>
      </c>
      <c r="H1" s="70" t="s">
        <v>250</v>
      </c>
      <c r="I1" s="70" t="s">
        <v>251</v>
      </c>
      <c r="J1" s="70" t="s">
        <v>252</v>
      </c>
      <c r="K1" s="70" t="s">
        <v>253</v>
      </c>
      <c r="L1" s="70" t="s">
        <v>254</v>
      </c>
      <c r="M1" s="70" t="s">
        <v>255</v>
      </c>
      <c r="N1" s="70" t="s">
        <v>256</v>
      </c>
      <c r="O1" s="70" t="s">
        <v>261</v>
      </c>
      <c r="P1" s="74" t="s">
        <v>258</v>
      </c>
      <c r="Q1" s="74" t="s">
        <v>259</v>
      </c>
      <c r="R1" s="70" t="s">
        <v>257</v>
      </c>
    </row>
    <row r="2" spans="1:18" ht="15" x14ac:dyDescent="0.2">
      <c r="A2" s="71">
        <f>1</f>
        <v>1</v>
      </c>
      <c r="B2" s="70">
        <v>100</v>
      </c>
      <c r="C2" s="70">
        <f t="shared" ref="C2:C33" si="0">_ta1*_ta2*(rload/RS)</f>
        <v>123.56602087912086</v>
      </c>
      <c r="D2" s="51" t="str">
        <f t="shared" ref="D2:D33" si="1">IMDIV((COMPLEX(1,2*PI()*(B2)*(esrcout*0.001)*(cout*0.000001))),(COMPLEX(1,2*PI()*(B2)*rload*(cout*0.000001))))</f>
        <v>0.00695236418159339-0.0771899070998462i</v>
      </c>
      <c r="E2" s="51" t="str">
        <f t="shared" ref="E2:E33" si="2">IMDIV(1,(COMPLEX((1-(B2/(fpp*1000))^2),(B2/(fpp*1000)))))</f>
        <v>0.999999999984-0.002000008i</v>
      </c>
      <c r="F2" s="70" t="str">
        <f t="shared" ref="F2:F33" si="3">IMPRODUCT(D2,E2)</f>
        <v>0.0067979837497632-0.0772038118825933i</v>
      </c>
      <c r="G2" s="70" t="str">
        <f t="shared" ref="G2:G33" si="4">IMPRODUCT(C2,F2)</f>
        <v>0.839999801959164-9.53976783103224i</v>
      </c>
      <c r="H2" s="72">
        <f t="shared" ref="H2:H33" si="5">IMABS(G2)</f>
        <v>9.5766784396934312</v>
      </c>
      <c r="I2" s="51" t="str">
        <f t="shared" ref="I2:I33" si="6">IMDIV((COMPLEX(1,(2*PI()*B2*(rf*1000)*(Cz*0.000000001)))),(COMPLEX(0,2*PI()*B2*((Cz*0.000000001)+(Cp*0.000000000001))*(RII*1000))))</f>
        <v>1.70528968646545-4.39807621138559i</v>
      </c>
      <c r="J2" s="73" t="str">
        <f t="shared" ref="J2:J33" si="7">IMDIV(1,(COMPLEX(1,2*PI()*B2*(((Cz*0.000000001)*(Cp*0.000000000001))/((Cz*0.000000001)+(Cp*0.000000000001)))*(rf*1000))))</f>
        <v>0.999911628353474-0.00940020409238885i</v>
      </c>
      <c r="K2" s="73" t="str">
        <f t="shared" ref="K2:K33" si="8">IMPRODUCT(I2,J2)</f>
        <v>1.66379617320715-4.41371761723866i</v>
      </c>
      <c r="L2" s="73" t="str">
        <f t="shared" ref="L2:L33" si="9">IMPRODUCT(G2,K2)</f>
        <v>-40.7082528841992-19.5797511349403i</v>
      </c>
      <c r="M2" s="70">
        <f t="shared" ref="M2:M33" si="10">20*LOG(IMABS(L2))</f>
        <v>33.097426665024457</v>
      </c>
      <c r="N2" s="70">
        <f t="shared" ref="N2:N33" si="11">(180/PI())*IMARGUMENT(L2)+180</f>
        <v>25.686504567437538</v>
      </c>
      <c r="O2" s="70">
        <f t="shared" ref="O2:O55" si="12">IF(N2&gt;180,-(360-N2),N2)</f>
        <v>25.686504567437538</v>
      </c>
      <c r="P2" s="70">
        <v>48.311999999999998</v>
      </c>
      <c r="Q2" s="70">
        <v>11.617000000000001</v>
      </c>
      <c r="R2" s="70">
        <f>B2</f>
        <v>100</v>
      </c>
    </row>
    <row r="3" spans="1:18" ht="15" x14ac:dyDescent="0.2">
      <c r="A3" s="71">
        <f>1+A2</f>
        <v>2</v>
      </c>
      <c r="B3" s="70">
        <v>1000</v>
      </c>
      <c r="C3" s="70">
        <f t="shared" si="0"/>
        <v>123.56602087912086</v>
      </c>
      <c r="D3" s="51" t="str">
        <f t="shared" si="1"/>
        <v>0.00101272709896874-0.00776515969705811i</v>
      </c>
      <c r="E3" s="51" t="str">
        <f t="shared" si="2"/>
        <v>0.999999839936-0.0200079999987195i</v>
      </c>
      <c r="F3" s="70" t="str">
        <f t="shared" si="3"/>
        <v>0.000857361621658794-0.00778542109793046i</v>
      </c>
      <c r="G3" s="70" t="str">
        <f t="shared" si="4"/>
        <v>0.105940764042847-0.962013505939623i</v>
      </c>
      <c r="H3" s="72">
        <f t="shared" si="5"/>
        <v>0.96782923653722475</v>
      </c>
      <c r="I3" s="51" t="str">
        <f t="shared" si="6"/>
        <v>1.70528968646545-0.439807621138559i</v>
      </c>
      <c r="J3" s="73" t="str">
        <f t="shared" si="7"/>
        <v>0.991239479329326-0.0931867691695152i</v>
      </c>
      <c r="K3" s="73" t="str">
        <f t="shared" si="8"/>
        <v>1.64936620964765-0.594865113762266i</v>
      </c>
      <c r="L3" s="73" t="str">
        <f t="shared" si="9"/>
        <v>-0.397533157215084-1.64973303457589i</v>
      </c>
      <c r="M3" s="70">
        <f t="shared" si="10"/>
        <v>4.5933996155966765</v>
      </c>
      <c r="N3" s="70">
        <f t="shared" si="11"/>
        <v>76.451827145150673</v>
      </c>
      <c r="O3" s="70">
        <f t="shared" si="12"/>
        <v>76.451827145150673</v>
      </c>
    </row>
    <row r="4" spans="1:18" ht="15" x14ac:dyDescent="0.2">
      <c r="A4" s="71">
        <f t="shared" ref="A4:A67" si="13">1+A3</f>
        <v>3</v>
      </c>
      <c r="B4" s="70">
        <f t="shared" ref="B4:B35" si="14">(fs*1000/2)*(A4/100)</f>
        <v>3000</v>
      </c>
      <c r="C4" s="70">
        <f t="shared" si="0"/>
        <v>123.56602087912086</v>
      </c>
      <c r="D4" s="51" t="str">
        <f t="shared" si="1"/>
        <v>0.00095907516391149-0.00258852557841592i</v>
      </c>
      <c r="E4" s="51" t="str">
        <f t="shared" si="2"/>
        <v>0.999986993344607-0.0602159971905624i</v>
      </c>
      <c r="F4" s="70" t="str">
        <f t="shared" si="3"/>
        <v>0.000803192040593745-0.00264624357773138i</v>
      </c>
      <c r="G4" s="70" t="str">
        <f t="shared" si="4"/>
        <v>0.0992472444579504-0.326985789177195i</v>
      </c>
      <c r="H4" s="72">
        <f t="shared" si="5"/>
        <v>0.34171584958314294</v>
      </c>
      <c r="I4" s="51" t="str">
        <f t="shared" si="6"/>
        <v>1.70528968646546-0.14660254037952i</v>
      </c>
      <c r="J4" s="73" t="str">
        <f t="shared" si="7"/>
        <v>0.926319173212752-0.261250765647099i</v>
      </c>
      <c r="K4" s="73" t="str">
        <f t="shared" si="8"/>
        <v>1.54134250653496-0.581308980234449i</v>
      </c>
      <c r="L4" s="73" t="str">
        <f t="shared" si="9"/>
        <v>-0.0371057791182466-0.56169041035862i</v>
      </c>
      <c r="M4" s="70">
        <f t="shared" si="10"/>
        <v>-4.9911482483727374</v>
      </c>
      <c r="N4" s="70">
        <f t="shared" si="11"/>
        <v>86.220480332755187</v>
      </c>
      <c r="O4" s="70">
        <f t="shared" si="12"/>
        <v>86.220480332755187</v>
      </c>
    </row>
    <row r="5" spans="1:18" ht="15" x14ac:dyDescent="0.2">
      <c r="A5" s="71">
        <f t="shared" si="13"/>
        <v>4</v>
      </c>
      <c r="B5" s="70">
        <f t="shared" si="14"/>
        <v>4000</v>
      </c>
      <c r="C5" s="70">
        <f t="shared" si="0"/>
        <v>123.56602087912086</v>
      </c>
      <c r="D5" s="51" t="str">
        <f t="shared" si="1"/>
        <v>0.000956140907515747-0.00194139988582891i</v>
      </c>
      <c r="E5" s="51" t="str">
        <f t="shared" si="2"/>
        <v>0.999958777866806-0.0805119788942678i</v>
      </c>
      <c r="F5" s="70" t="str">
        <f t="shared" si="3"/>
        <v>0.000799795546714714-0.00201830065375009i</v>
      </c>
      <c r="G5" s="70" t="str">
        <f t="shared" si="4"/>
        <v>0.0988275532243782-0.249393380721627i</v>
      </c>
      <c r="H5" s="72">
        <f t="shared" si="5"/>
        <v>0.2682609617966798</v>
      </c>
      <c r="I5" s="51" t="str">
        <f t="shared" si="6"/>
        <v>1.70528968646546-0.10995190528464i</v>
      </c>
      <c r="J5" s="73" t="str">
        <f t="shared" si="7"/>
        <v>0.876111575786865-0.329454219215844i</v>
      </c>
      <c r="K5" s="73" t="str">
        <f t="shared" si="8"/>
        <v>1.4577999152755-0.658145019191004i</v>
      </c>
      <c r="L5" s="73" t="str">
        <f t="shared" si="9"/>
        <v>-0.0200662126237611-0.428608511199717i</v>
      </c>
      <c r="M5" s="70">
        <f t="shared" si="10"/>
        <v>-7.3492755501647693</v>
      </c>
      <c r="N5" s="70">
        <f t="shared" si="11"/>
        <v>87.31953432236233</v>
      </c>
      <c r="O5" s="70">
        <f t="shared" si="12"/>
        <v>87.31953432236233</v>
      </c>
    </row>
    <row r="6" spans="1:18" ht="15" x14ac:dyDescent="0.2">
      <c r="A6" s="71">
        <f t="shared" si="13"/>
        <v>5</v>
      </c>
      <c r="B6" s="70">
        <f t="shared" si="14"/>
        <v>5000</v>
      </c>
      <c r="C6" s="70">
        <f t="shared" si="0"/>
        <v>123.56602087912086</v>
      </c>
      <c r="D6" s="51" t="str">
        <f t="shared" si="1"/>
        <v>0.000954782760148713-0.00155312202004762i</v>
      </c>
      <c r="E6" s="51" t="str">
        <f t="shared" si="2"/>
        <v>0.999899000101-0.100999899000101i</v>
      </c>
      <c r="F6" s="70" t="str">
        <f t="shared" si="3"/>
        <v>0.000797821160026729-0.00164939811722252i</v>
      </c>
      <c r="G6" s="70" t="str">
        <f t="shared" si="4"/>
        <v>0.0985835861176672-0.203809562190701i</v>
      </c>
      <c r="H6" s="72">
        <f t="shared" si="5"/>
        <v>0.22640022326001522</v>
      </c>
      <c r="I6" s="51" t="str">
        <f t="shared" si="6"/>
        <v>1.70528968646546-0.0879615242277123i</v>
      </c>
      <c r="J6" s="73" t="str">
        <f t="shared" si="7"/>
        <v>0.819035269521607-0.384988956726392i</v>
      </c>
      <c r="K6" s="73" t="str">
        <f t="shared" si="8"/>
        <v>1.36282818252216-0.728561288011989i</v>
      </c>
      <c r="L6" s="73" t="str">
        <f t="shared" si="9"/>
        <v>-0.0141352676435595-0.349581599699719i</v>
      </c>
      <c r="M6" s="70">
        <f t="shared" si="10"/>
        <v>-9.1219338873201945</v>
      </c>
      <c r="N6" s="70">
        <f t="shared" si="11"/>
        <v>87.684517069320577</v>
      </c>
      <c r="O6" s="70">
        <f t="shared" si="12"/>
        <v>87.684517069320577</v>
      </c>
    </row>
    <row r="7" spans="1:18" ht="15" x14ac:dyDescent="0.2">
      <c r="A7" s="71">
        <f t="shared" si="13"/>
        <v>6</v>
      </c>
      <c r="B7" s="70">
        <f t="shared" si="14"/>
        <v>6000</v>
      </c>
      <c r="C7" s="70">
        <f t="shared" si="0"/>
        <v>123.56602087912086</v>
      </c>
      <c r="D7" s="51" t="str">
        <f t="shared" si="1"/>
        <v>0.000954044999537384-0.00129426930581245i</v>
      </c>
      <c r="E7" s="51" t="str">
        <f t="shared" si="2"/>
        <v>0.999789654644088-0.121727636523225i</v>
      </c>
      <c r="F7" s="70" t="str">
        <f t="shared" si="3"/>
        <v>0.000796295976981296-0.00141013070520516i</v>
      </c>
      <c r="G7" s="70" t="str">
        <f t="shared" si="4"/>
        <v>0.0983951253176308-0.17424424016167i</v>
      </c>
      <c r="H7" s="72">
        <f t="shared" si="5"/>
        <v>0.20010661137451208</v>
      </c>
      <c r="I7" s="51" t="str">
        <f t="shared" si="6"/>
        <v>1.70528968646546-0.0733012701897602i</v>
      </c>
      <c r="J7" s="73" t="str">
        <f t="shared" si="7"/>
        <v>0.75862976768697-0.427914294299903i</v>
      </c>
      <c r="K7" s="73" t="str">
        <f t="shared" si="8"/>
        <v>1.26231685737774-0.785326358335988i</v>
      </c>
      <c r="L7" s="73" t="str">
        <f t="shared" si="9"/>
        <v>-0.012632769214945-0.29722372710076i</v>
      </c>
      <c r="M7" s="70">
        <f t="shared" si="10"/>
        <v>-10.530492172518013</v>
      </c>
      <c r="N7" s="70">
        <f t="shared" si="11"/>
        <v>87.566247501870947</v>
      </c>
      <c r="O7" s="70">
        <f t="shared" si="12"/>
        <v>87.566247501870947</v>
      </c>
    </row>
    <row r="8" spans="1:18" ht="15" x14ac:dyDescent="0.2">
      <c r="A8" s="71">
        <f t="shared" si="13"/>
        <v>7</v>
      </c>
      <c r="B8" s="70">
        <f t="shared" si="14"/>
        <v>7000.0000000000009</v>
      </c>
      <c r="C8" s="70">
        <f t="shared" si="0"/>
        <v>123.56602087912086</v>
      </c>
      <c r="D8" s="51" t="str">
        <f t="shared" si="1"/>
        <v>0.000953600152631058-0.00110937418466911i</v>
      </c>
      <c r="E8" s="51" t="str">
        <f t="shared" si="2"/>
        <v>0.999608313413218-0.142742925212006i</v>
      </c>
      <c r="F8" s="70" t="str">
        <f t="shared" si="3"/>
        <v>0.000794871323967766-0.00124505933295043i</v>
      </c>
      <c r="G8" s="70" t="str">
        <f t="shared" si="4"/>
        <v>0.0982190866136154-0.153847027531097i</v>
      </c>
      <c r="H8" s="72">
        <f t="shared" si="5"/>
        <v>0.1825264278272245</v>
      </c>
      <c r="I8" s="51" t="str">
        <f t="shared" si="6"/>
        <v>1.70528968646546-0.0628296601626516i</v>
      </c>
      <c r="J8" s="73" t="str">
        <f t="shared" si="7"/>
        <v>0.697807811149957-0.459208089920096i</v>
      </c>
      <c r="K8" s="73" t="str">
        <f t="shared" si="8"/>
        <v>1.16111257525544-0.826925847315639i</v>
      </c>
      <c r="L8" s="73" t="str">
        <f t="shared" si="9"/>
        <v>-0.0131766670009727-0.259853619752559i</v>
      </c>
      <c r="M8" s="70">
        <f t="shared" si="10"/>
        <v>-11.694271878320961</v>
      </c>
      <c r="N8" s="70">
        <f t="shared" si="11"/>
        <v>87.097129835740844</v>
      </c>
      <c r="O8" s="70">
        <f t="shared" si="12"/>
        <v>87.097129835740844</v>
      </c>
    </row>
    <row r="9" spans="1:18" ht="15" x14ac:dyDescent="0.2">
      <c r="A9" s="71">
        <f t="shared" si="13"/>
        <v>8</v>
      </c>
      <c r="B9" s="70">
        <f t="shared" si="14"/>
        <v>8000</v>
      </c>
      <c r="C9" s="70">
        <f t="shared" si="0"/>
        <v>123.56602087912086</v>
      </c>
      <c r="D9" s="51" t="str">
        <f t="shared" si="1"/>
        <v>0.000953311429667355-0.000970702692117062i</v>
      </c>
      <c r="E9" s="51" t="str">
        <f t="shared" si="2"/>
        <v>0.999327874060402-0.164093246972151i</v>
      </c>
      <c r="F9" s="70" t="str">
        <f t="shared" si="3"/>
        <v>0.000793384927732863-0.00112648222552783i</v>
      </c>
      <c r="G9" s="70" t="str">
        <f t="shared" si="4"/>
        <v>0.0980354185454188-0.13919492619953i</v>
      </c>
      <c r="H9" s="72">
        <f t="shared" si="5"/>
        <v>0.17025325479728146</v>
      </c>
      <c r="I9" s="51" t="str">
        <f t="shared" si="6"/>
        <v>1.70528968646546-0.0549759526423202i</v>
      </c>
      <c r="J9" s="73" t="str">
        <f t="shared" si="7"/>
        <v>0.638721117507787-0.480371160205721i</v>
      </c>
      <c r="K9" s="73" t="str">
        <f t="shared" si="8"/>
        <v>1.06279567205952-0.854286287082021i</v>
      </c>
      <c r="L9" s="73" t="str">
        <f t="shared" si="9"/>
        <v>-0.0147206981450377-0.231686078849203i</v>
      </c>
      <c r="M9" s="70">
        <f t="shared" si="10"/>
        <v>-12.684504110189499</v>
      </c>
      <c r="N9" s="70">
        <f t="shared" si="11"/>
        <v>86.364470215501242</v>
      </c>
      <c r="O9" s="70">
        <f t="shared" si="12"/>
        <v>86.364470215501242</v>
      </c>
    </row>
    <row r="10" spans="1:18" ht="15" x14ac:dyDescent="0.2">
      <c r="A10" s="71">
        <f t="shared" si="13"/>
        <v>9</v>
      </c>
      <c r="B10" s="70">
        <f t="shared" si="14"/>
        <v>9000</v>
      </c>
      <c r="C10" s="70">
        <f t="shared" si="0"/>
        <v>123.56602087912086</v>
      </c>
      <c r="D10" s="51" t="str">
        <f t="shared" si="1"/>
        <v>0.000953113482057548-0.000862847008398841i</v>
      </c>
      <c r="E10" s="51" t="str">
        <f t="shared" si="2"/>
        <v>0.99891626463625-0.185825679655359i</v>
      </c>
      <c r="F10" s="70" t="str">
        <f t="shared" si="3"/>
        <v>0.000791741427497067-0.00103902487117436i</v>
      </c>
      <c r="G10" s="70" t="str">
        <f t="shared" si="4"/>
        <v>0.0978323377609675-0.128388168925457i</v>
      </c>
      <c r="H10" s="72">
        <f t="shared" si="5"/>
        <v>0.16141464689366861</v>
      </c>
      <c r="I10" s="51" t="str">
        <f t="shared" si="6"/>
        <v>1.70528968646545-0.0488675134598399i</v>
      </c>
      <c r="J10" s="73" t="str">
        <f t="shared" si="7"/>
        <v>0.582793511200677-0.493097591256602i</v>
      </c>
      <c r="K10" s="73" t="str">
        <f t="shared" si="8"/>
        <v>0.969735310811755-0.869353906543746i</v>
      </c>
      <c r="L10" s="73" t="str">
        <f t="shared" si="9"/>
        <v>-0.016743283743272-0.209553465916284i</v>
      </c>
      <c r="M10" s="70">
        <f t="shared" si="10"/>
        <v>-13.546465882128704</v>
      </c>
      <c r="N10" s="70">
        <f t="shared" si="11"/>
        <v>85.431782301009235</v>
      </c>
      <c r="O10" s="70">
        <f t="shared" si="12"/>
        <v>85.431782301009235</v>
      </c>
    </row>
    <row r="11" spans="1:18" ht="15" x14ac:dyDescent="0.2">
      <c r="A11" s="71">
        <f t="shared" si="13"/>
        <v>10</v>
      </c>
      <c r="B11" s="70">
        <f t="shared" si="14"/>
        <v>10000</v>
      </c>
      <c r="C11" s="70">
        <f t="shared" si="0"/>
        <v>123.56602087912086</v>
      </c>
      <c r="D11" s="51" t="str">
        <f t="shared" si="1"/>
        <v>0.00095297189124852-0.000776562417617938i</v>
      </c>
      <c r="E11" s="51" t="str">
        <f t="shared" si="2"/>
        <v>0.998336106489185-0.207986688851913i</v>
      </c>
      <c r="F11" s="70" t="str">
        <f t="shared" si="3"/>
        <v>0.000789871601575491-0.000973475768680246i</v>
      </c>
      <c r="G11" s="70" t="str">
        <f t="shared" si="4"/>
        <v>0.0976012908121017-0.120288527158062i</v>
      </c>
      <c r="H11" s="72">
        <f t="shared" si="5"/>
        <v>0.15490429862997435</v>
      </c>
      <c r="I11" s="51" t="str">
        <f t="shared" si="6"/>
        <v>1.70528968646545-0.0439807621138559i</v>
      </c>
      <c r="J11" s="73" t="str">
        <f t="shared" si="7"/>
        <v>0.530843446082167-0.499047775101519i</v>
      </c>
      <c r="K11" s="73" t="str">
        <f t="shared" si="8"/>
        <v>0.883293352251509-0.874367923255989i</v>
      </c>
      <c r="L11" s="73" t="str">
        <f t="shared" si="9"/>
        <v>-0.0189658583372206-0.191589494345322i</v>
      </c>
      <c r="M11" s="70">
        <f t="shared" si="10"/>
        <v>-14.31021488533114</v>
      </c>
      <c r="N11" s="70">
        <f t="shared" si="11"/>
        <v>84.34658565931376</v>
      </c>
      <c r="O11" s="70">
        <f t="shared" si="12"/>
        <v>84.34658565931376</v>
      </c>
    </row>
    <row r="12" spans="1:18" ht="15" x14ac:dyDescent="0.2">
      <c r="A12" s="71">
        <f t="shared" si="13"/>
        <v>11</v>
      </c>
      <c r="B12" s="70">
        <f t="shared" si="14"/>
        <v>11000</v>
      </c>
      <c r="C12" s="70">
        <f t="shared" si="0"/>
        <v>123.56602087912086</v>
      </c>
      <c r="D12" s="51" t="str">
        <f t="shared" si="1"/>
        <v>0.000952867130036891-0.000705965908226511i</v>
      </c>
      <c r="E12" s="51" t="str">
        <f t="shared" si="2"/>
        <v>0.997544338518663-0.230621852116547i</v>
      </c>
      <c r="F12" s="70" t="str">
        <f t="shared" si="3"/>
        <v>0.000787716045642489-0.000923984277288628i</v>
      </c>
      <c r="G12" s="70" t="str">
        <f t="shared" si="4"/>
        <v>0.0973349373426783-0.114173060499426i</v>
      </c>
      <c r="H12" s="72">
        <f t="shared" si="5"/>
        <v>0.15003192250754069</v>
      </c>
      <c r="I12" s="51" t="str">
        <f t="shared" si="6"/>
        <v>1.70528968646545-0.0399825110125963i</v>
      </c>
      <c r="J12" s="73" t="str">
        <f t="shared" si="7"/>
        <v>0.483233856593994-0.499718817371619i</v>
      </c>
      <c r="K12" s="73" t="str">
        <f t="shared" si="8"/>
        <v>0.8040736986819-0.871486248389462i</v>
      </c>
      <c r="L12" s="73" t="str">
        <f t="shared" si="9"/>
        <v>-0.0212357890816895-0.1766296144276i</v>
      </c>
      <c r="M12" s="70">
        <f t="shared" si="10"/>
        <v>-14.99640289903609</v>
      </c>
      <c r="N12" s="70">
        <f t="shared" si="11"/>
        <v>83.14436051623079</v>
      </c>
      <c r="O12" s="70">
        <f t="shared" si="12"/>
        <v>83.14436051623079</v>
      </c>
    </row>
    <row r="13" spans="1:18" ht="15" x14ac:dyDescent="0.2">
      <c r="A13" s="71">
        <f t="shared" si="13"/>
        <v>12</v>
      </c>
      <c r="B13" s="70">
        <f t="shared" si="14"/>
        <v>12000</v>
      </c>
      <c r="C13" s="70">
        <f t="shared" si="0"/>
        <v>123.56602087912086</v>
      </c>
      <c r="D13" s="51" t="str">
        <f t="shared" si="1"/>
        <v>0.000952787450529204-0.000647135467486911i</v>
      </c>
      <c r="E13" s="51" t="str">
        <f t="shared" si="2"/>
        <v>0.996491807450037-0.253775502746189i</v>
      </c>
      <c r="F13" s="70" t="str">
        <f t="shared" si="3"/>
        <v>0.000785217760087178-0.000886659305929365i</v>
      </c>
      <c r="G13" s="70" t="str">
        <f t="shared" si="4"/>
        <v>0.0970262341375887-0.109560962309135i</v>
      </c>
      <c r="H13" s="72">
        <f t="shared" si="5"/>
        <v>0.1463478546922567</v>
      </c>
      <c r="I13" s="51" t="str">
        <f t="shared" si="6"/>
        <v>1.70528968646545-0.03665063509488i</v>
      </c>
      <c r="J13" s="73" t="str">
        <f t="shared" si="7"/>
        <v>0.440012215592542-0.49638842222788i</v>
      </c>
      <c r="K13" s="73" t="str">
        <f t="shared" si="8"/>
        <v>0.732155342240377-0.862612784057033i</v>
      </c>
      <c r="L13" s="73" t="str">
        <f t="shared" si="9"/>
        <v>-0.0234704110601494-0.163911713811625i</v>
      </c>
      <c r="M13" s="70">
        <f t="shared" si="10"/>
        <v>-15.619656515867495</v>
      </c>
      <c r="N13" s="70">
        <f t="shared" si="11"/>
        <v>81.851245367206772</v>
      </c>
      <c r="O13" s="70">
        <f t="shared" si="12"/>
        <v>81.851245367206772</v>
      </c>
    </row>
    <row r="14" spans="1:18" ht="15" x14ac:dyDescent="0.2">
      <c r="A14" s="71">
        <f t="shared" si="13"/>
        <v>13</v>
      </c>
      <c r="B14" s="70">
        <f t="shared" si="14"/>
        <v>13000</v>
      </c>
      <c r="C14" s="70">
        <f t="shared" si="0"/>
        <v>123.56602087912086</v>
      </c>
      <c r="D14" s="51" t="str">
        <f t="shared" si="1"/>
        <v>0.000952725441127379-0.000597355853218769i</v>
      </c>
      <c r="E14" s="51" t="str">
        <f t="shared" si="2"/>
        <v>0.99512283085849-0.277490278875169i</v>
      </c>
      <c r="F14" s="70" t="str">
        <f t="shared" si="3"/>
        <v>0.00078231839570819-0.000858814496034855i</v>
      </c>
      <c r="G14" s="70" t="str">
        <f t="shared" si="4"/>
        <v>0.0966679712181985-0.106120289948335i</v>
      </c>
      <c r="H14" s="72">
        <f t="shared" si="5"/>
        <v>0.14354864192377839</v>
      </c>
      <c r="I14" s="51" t="str">
        <f t="shared" si="6"/>
        <v>1.70528968646545-0.0338313554721969i</v>
      </c>
      <c r="J14" s="73" t="str">
        <f t="shared" si="7"/>
        <v>0.401024566545213-0.490105971777979i</v>
      </c>
      <c r="K14" s="73" t="str">
        <f t="shared" si="8"/>
        <v>0.667282107998562-0.849339863611989i</v>
      </c>
      <c r="L14" s="73" t="str">
        <f t="shared" si="9"/>
        <v>-0.0256273849807598-0.152916132268256i</v>
      </c>
      <c r="M14" s="70">
        <f t="shared" si="10"/>
        <v>-16.190636150679744</v>
      </c>
      <c r="N14" s="70">
        <f t="shared" si="11"/>
        <v>80.486150129241082</v>
      </c>
      <c r="O14" s="70">
        <f t="shared" si="12"/>
        <v>80.486150129241082</v>
      </c>
    </row>
    <row r="15" spans="1:18" ht="15" x14ac:dyDescent="0.2">
      <c r="A15" s="71">
        <f t="shared" si="13"/>
        <v>14</v>
      </c>
      <c r="B15" s="70">
        <f t="shared" si="14"/>
        <v>14000.000000000002</v>
      </c>
      <c r="C15" s="70">
        <f t="shared" si="0"/>
        <v>123.56602087912086</v>
      </c>
      <c r="D15" s="51" t="str">
        <f t="shared" si="1"/>
        <v>0.000952676238559791-0.000554687605306935i</v>
      </c>
      <c r="E15" s="51" t="str">
        <f t="shared" si="2"/>
        <v>0.993374742343426-0.301806562343923i</v>
      </c>
      <c r="F15" s="70" t="str">
        <f t="shared" si="3"/>
        <v>0.000778956153683568-0.000838536597589338i</v>
      </c>
      <c r="G15" s="70" t="str">
        <f t="shared" si="4"/>
        <v>0.0962525123499834-0.103614630725631i</v>
      </c>
      <c r="H15" s="72">
        <f t="shared" si="5"/>
        <v>0.14142325775519593</v>
      </c>
      <c r="I15" s="51" t="str">
        <f t="shared" si="6"/>
        <v>1.70528968646545-0.0314148300813257i</v>
      </c>
      <c r="J15" s="73" t="str">
        <f t="shared" si="7"/>
        <v>0.366000413197469-0.481709570941611i</v>
      </c>
      <c r="K15" s="73" t="str">
        <f t="shared" si="8"/>
        <v>0.609003905548058-0.83295220398872i</v>
      </c>
      <c r="L15" s="73" t="str">
        <f t="shared" si="9"/>
        <v>-0.0276878790884391-0.143275457085199i</v>
      </c>
      <c r="M15" s="70">
        <f t="shared" si="10"/>
        <v>-16.717330575500441</v>
      </c>
      <c r="N15" s="70">
        <f t="shared" si="11"/>
        <v>79.062456979502372</v>
      </c>
      <c r="O15" s="70">
        <f t="shared" si="12"/>
        <v>79.062456979502372</v>
      </c>
    </row>
    <row r="16" spans="1:18" ht="15" x14ac:dyDescent="0.2">
      <c r="A16" s="71">
        <f t="shared" si="13"/>
        <v>15</v>
      </c>
      <c r="B16" s="70">
        <f t="shared" si="14"/>
        <v>15000</v>
      </c>
      <c r="C16" s="70">
        <f t="shared" si="0"/>
        <v>123.56602087912086</v>
      </c>
      <c r="D16" s="51" t="str">
        <f t="shared" si="1"/>
        <v>0.000952636544435481-0.000517708452189386i</v>
      </c>
      <c r="E16" s="51" t="str">
        <f t="shared" si="2"/>
        <v>0.991177431652325-0.326761790654613i</v>
      </c>
      <c r="F16" s="70" t="str">
        <f t="shared" si="3"/>
        <v>0.000775064502537274-0.000824426157088537i</v>
      </c>
      <c r="G16" s="70" t="str">
        <f t="shared" si="4"/>
        <v>0.0957716365031862-0.101871059740096i</v>
      </c>
      <c r="H16" s="72">
        <f t="shared" si="5"/>
        <v>0.13982102549712841</v>
      </c>
      <c r="I16" s="51" t="str">
        <f t="shared" si="6"/>
        <v>1.70528968646545-0.029320508075904i</v>
      </c>
      <c r="J16" s="73" t="str">
        <f t="shared" si="7"/>
        <v>0.334611798327622-0.471854577966111i</v>
      </c>
      <c r="K16" s="73" t="str">
        <f t="shared" si="8"/>
        <v>0.556775032693843-0.814459733252274i</v>
      </c>
      <c r="L16" s="73" t="str">
        <f t="shared" si="9"/>
        <v>-0.0296466200968407-0.134721404136867i</v>
      </c>
      <c r="M16" s="70">
        <f t="shared" si="10"/>
        <v>-17.205890819487987</v>
      </c>
      <c r="N16" s="70">
        <f t="shared" si="11"/>
        <v>77.589372283540428</v>
      </c>
      <c r="O16" s="70">
        <f t="shared" si="12"/>
        <v>77.589372283540428</v>
      </c>
    </row>
    <row r="17" spans="1:18" ht="15" x14ac:dyDescent="0.2">
      <c r="A17" s="71">
        <f t="shared" si="13"/>
        <v>16</v>
      </c>
      <c r="B17" s="70">
        <f t="shared" si="14"/>
        <v>16000</v>
      </c>
      <c r="C17" s="70">
        <f t="shared" si="0"/>
        <v>123.56602087912086</v>
      </c>
      <c r="D17" s="51" t="str">
        <f t="shared" si="1"/>
        <v>0.000952604057701003-0.000485351689710074i</v>
      </c>
      <c r="E17" s="51" t="str">
        <f t="shared" si="2"/>
        <v>0.98845289678367-0.352389624521807i</v>
      </c>
      <c r="F17" s="70" t="str">
        <f t="shared" si="3"/>
        <v>0.000770571340624477-0.000815435069863978i</v>
      </c>
      <c r="G17" s="70" t="str">
        <f t="shared" si="4"/>
        <v>0.0952164343644563-0.10076006686838i</v>
      </c>
      <c r="H17" s="72">
        <f t="shared" si="5"/>
        <v>0.13863174401413705</v>
      </c>
      <c r="I17" s="51" t="str">
        <f t="shared" si="6"/>
        <v>1.70528968646546-0.02748797632116i</v>
      </c>
      <c r="J17" s="73" t="str">
        <f t="shared" si="7"/>
        <v>0.306512085907131-0.461044929589287i</v>
      </c>
      <c r="K17" s="73" t="str">
        <f t="shared" si="8"/>
        <v>0.510018706766904-0.79464056038537i</v>
      </c>
      <c r="L17" s="73" t="str">
        <f t="shared" si="9"/>
        <v>-0.031505873283241-0.127052359759226i</v>
      </c>
      <c r="M17" s="70">
        <f t="shared" si="10"/>
        <v>-17.661178638320763</v>
      </c>
      <c r="N17" s="70">
        <f t="shared" si="11"/>
        <v>76.072980122015863</v>
      </c>
      <c r="O17" s="70">
        <f t="shared" si="12"/>
        <v>76.072980122015863</v>
      </c>
    </row>
    <row r="18" spans="1:18" ht="15" x14ac:dyDescent="0.2">
      <c r="A18" s="71">
        <f t="shared" si="13"/>
        <v>17</v>
      </c>
      <c r="B18" s="70">
        <f t="shared" si="14"/>
        <v>17000</v>
      </c>
      <c r="C18" s="70">
        <f t="shared" si="0"/>
        <v>123.56602087912086</v>
      </c>
      <c r="D18" s="51" t="str">
        <f t="shared" si="1"/>
        <v>0.000952577133488724-0.000456801602626115i</v>
      </c>
      <c r="E18" s="51" t="str">
        <f t="shared" si="2"/>
        <v>0.985114830259947-0.378718953288537i</v>
      </c>
      <c r="F18" s="70" t="str">
        <f t="shared" si="3"/>
        <v>0.000765398436359163-0.000810761048154942i</v>
      </c>
      <c r="G18" s="70" t="str">
        <f t="shared" si="4"/>
        <v>0.0945772391680028-0.100182516604291i</v>
      </c>
      <c r="H18" s="72">
        <f t="shared" si="5"/>
        <v>0.13777296832764638</v>
      </c>
      <c r="I18" s="51" t="str">
        <f t="shared" si="6"/>
        <v>1.70528968646545-0.0258710365375624i</v>
      </c>
      <c r="J18" s="73" t="str">
        <f t="shared" si="7"/>
        <v>0.281359935200637-0.449662675863285i</v>
      </c>
      <c r="K18" s="73" t="str">
        <f t="shared" si="8"/>
        <v>0.468166956165396-0.774084196701898i</v>
      </c>
      <c r="L18" s="73" t="str">
        <f t="shared" si="9"/>
        <v>-0.0332717647053966-0.120112890067267i</v>
      </c>
      <c r="M18" s="70">
        <f t="shared" si="10"/>
        <v>-18.087134368989894</v>
      </c>
      <c r="N18" s="70">
        <f t="shared" si="11"/>
        <v>74.517049537486812</v>
      </c>
      <c r="O18" s="70">
        <f t="shared" si="12"/>
        <v>74.517049537486812</v>
      </c>
    </row>
    <row r="19" spans="1:18" ht="15" x14ac:dyDescent="0.2">
      <c r="A19" s="71">
        <f t="shared" si="13"/>
        <v>18</v>
      </c>
      <c r="B19" s="70">
        <f t="shared" si="14"/>
        <v>18000</v>
      </c>
      <c r="C19" s="70">
        <f t="shared" si="0"/>
        <v>123.56602087912086</v>
      </c>
      <c r="D19" s="51" t="str">
        <f t="shared" si="1"/>
        <v>0.000952554570735828-0.000431423745556941i</v>
      </c>
      <c r="E19" s="51" t="str">
        <f t="shared" si="2"/>
        <v>0.981068267923973-0.405772721108261i</v>
      </c>
      <c r="F19" s="70" t="str">
        <f t="shared" si="3"/>
        <v>0.000759461075629504-0.000809776806966409i</v>
      </c>
      <c r="G19" s="70" t="str">
        <f t="shared" si="4"/>
        <v>0.0938435831281149-0.100060897837039i</v>
      </c>
      <c r="H19" s="72">
        <f t="shared" si="5"/>
        <v>0.13718163641784484</v>
      </c>
      <c r="I19" s="51" t="str">
        <f t="shared" si="6"/>
        <v>1.70528968646545-0.02443375672992i</v>
      </c>
      <c r="J19" s="73" t="str">
        <f t="shared" si="7"/>
        <v>0.258833039906607-0.437993718401659i</v>
      </c>
      <c r="K19" s="73" t="str">
        <f t="shared" si="8"/>
        <v>0.430683481504578-0.753230434257745i</v>
      </c>
      <c r="L19" s="73" t="str">
        <f t="shared" si="9"/>
        <v>-0.0349520324315319-0.113780418714823i</v>
      </c>
      <c r="M19" s="70">
        <f t="shared" si="10"/>
        <v>-18.48702847170037</v>
      </c>
      <c r="N19" s="70">
        <f t="shared" si="11"/>
        <v>72.92364600769389</v>
      </c>
      <c r="O19" s="70">
        <f t="shared" si="12"/>
        <v>72.92364600769389</v>
      </c>
    </row>
    <row r="20" spans="1:18" ht="15" x14ac:dyDescent="0.2">
      <c r="A20" s="71">
        <f t="shared" si="13"/>
        <v>19</v>
      </c>
      <c r="B20" s="70">
        <f t="shared" si="14"/>
        <v>19000</v>
      </c>
      <c r="C20" s="70">
        <f t="shared" si="0"/>
        <v>123.56602087912086</v>
      </c>
      <c r="D20" s="51" t="str">
        <f t="shared" si="1"/>
        <v>0.000952535475878149-0.000408717240444731i</v>
      </c>
      <c r="E20" s="51" t="str">
        <f t="shared" si="2"/>
        <v>0.976209335792462-0.433566558673604i</v>
      </c>
      <c r="F20" s="70" t="str">
        <f t="shared" si="3"/>
        <v>0.000752667896815571-0.000811981114112492i</v>
      </c>
      <c r="G20" s="70" t="str">
        <f t="shared" si="4"/>
        <v>0.0930041770529568-0.100333275299876i</v>
      </c>
      <c r="H20" s="72">
        <f t="shared" si="5"/>
        <v>0.13680841743729968</v>
      </c>
      <c r="I20" s="51" t="str">
        <f t="shared" si="6"/>
        <v>1.70528968646545-0.0231477695336084i</v>
      </c>
      <c r="J20" s="73" t="str">
        <f t="shared" si="7"/>
        <v>0.238635099485273-0.426249209710619i</v>
      </c>
      <c r="K20" s="73" t="str">
        <f t="shared" si="8"/>
        <v>0.397075255510629-0.732402251469082i</v>
      </c>
      <c r="L20" s="73" t="str">
        <f t="shared" si="9"/>
        <v>-0.0365546593600378-0.107956329595531i</v>
      </c>
      <c r="M20" s="70">
        <f t="shared" si="10"/>
        <v>-18.863636948140808</v>
      </c>
      <c r="N20" s="70">
        <f t="shared" si="11"/>
        <v>71.293591966585794</v>
      </c>
      <c r="O20" s="70">
        <f t="shared" si="12"/>
        <v>71.293591966585794</v>
      </c>
    </row>
    <row r="21" spans="1:18" ht="15" x14ac:dyDescent="0.2">
      <c r="A21" s="71">
        <f t="shared" si="13"/>
        <v>20</v>
      </c>
      <c r="B21" s="70">
        <f t="shared" si="14"/>
        <v>20000</v>
      </c>
      <c r="C21" s="70">
        <f t="shared" si="0"/>
        <v>123.56602087912086</v>
      </c>
      <c r="D21" s="51" t="str">
        <f t="shared" si="1"/>
        <v>0.000952519172997727-0.000388281384758634i</v>
      </c>
      <c r="E21" s="51" t="str">
        <f t="shared" si="2"/>
        <v>0.970425138632163-0.462107208872458i</v>
      </c>
      <c r="F21" s="70" t="str">
        <f t="shared" si="3"/>
        <v>0.000744920923538167-0.000816963993064167i</v>
      </c>
      <c r="G21" s="70" t="str">
        <f t="shared" si="4"/>
        <v>0.0920469143912111-0.100948989824457i</v>
      </c>
      <c r="H21" s="72">
        <f t="shared" si="5"/>
        <v>0.13661380968087108</v>
      </c>
      <c r="I21" s="51" t="str">
        <f t="shared" si="6"/>
        <v>1.70528968646546-0.021990381056928i</v>
      </c>
      <c r="J21" s="73" t="str">
        <f t="shared" si="7"/>
        <v>0.220498498699885-0.414582815334864i</v>
      </c>
      <c r="K21" s="73" t="str">
        <f t="shared" si="8"/>
        <v>0.366896981625164-0.711832645185249i</v>
      </c>
      <c r="L21" s="73" t="str">
        <f t="shared" si="9"/>
        <v>-0.0380870513974768-0.102559878216939i</v>
      </c>
      <c r="M21" s="70">
        <f t="shared" si="10"/>
        <v>-19.219366139699282</v>
      </c>
      <c r="N21" s="70">
        <f t="shared" si="11"/>
        <v>69.626813651335098</v>
      </c>
      <c r="O21" s="70">
        <f t="shared" si="12"/>
        <v>69.626813651335098</v>
      </c>
    </row>
    <row r="22" spans="1:18" ht="15" x14ac:dyDescent="0.2">
      <c r="A22" s="71">
        <f t="shared" si="13"/>
        <v>21</v>
      </c>
      <c r="B22" s="70">
        <f t="shared" si="14"/>
        <v>21000</v>
      </c>
      <c r="C22" s="70">
        <f t="shared" si="0"/>
        <v>123.56602087912086</v>
      </c>
      <c r="D22" s="51" t="str">
        <f t="shared" si="1"/>
        <v>0.000952505143173878-0.000369791800201283i</v>
      </c>
      <c r="E22" s="51" t="str">
        <f t="shared" si="2"/>
        <v>0.963593842808501-0.491390740625996i</v>
      </c>
      <c r="F22" s="70" t="str">
        <f t="shared" si="3"/>
        <v>0.00073611582462745-0.00082438130954931i</v>
      </c>
      <c r="G22" s="70" t="str">
        <f t="shared" si="4"/>
        <v>0.0909589033553667-0.101865518108127i</v>
      </c>
      <c r="H22" s="72">
        <f t="shared" si="5"/>
        <v>0.13656539048766378</v>
      </c>
      <c r="I22" s="51" t="str">
        <f t="shared" si="6"/>
        <v>1.70528968646546-0.0209432200542172i</v>
      </c>
      <c r="J22" s="73" t="str">
        <f t="shared" si="7"/>
        <v>0.204184389767398-0.403104359617597i</v>
      </c>
      <c r="K22" s="73" t="str">
        <f t="shared" si="8"/>
        <v>0.339751230699302-0.691685985631687i</v>
      </c>
      <c r="L22" s="73" t="str">
        <f t="shared" si="9"/>
        <v>-0.0395555519364576-0.0975239338623924i</v>
      </c>
      <c r="M22" s="70">
        <f t="shared" si="10"/>
        <v>-19.556343307486223</v>
      </c>
      <c r="N22" s="70">
        <f t="shared" si="11"/>
        <v>67.922603951084383</v>
      </c>
      <c r="O22" s="70">
        <f t="shared" si="12"/>
        <v>67.922603951084383</v>
      </c>
    </row>
    <row r="23" spans="1:18" ht="15" x14ac:dyDescent="0.2">
      <c r="A23" s="71">
        <f t="shared" si="13"/>
        <v>22</v>
      </c>
      <c r="B23" s="70">
        <f t="shared" si="14"/>
        <v>22000</v>
      </c>
      <c r="C23" s="70">
        <f t="shared" si="0"/>
        <v>123.56602087912086</v>
      </c>
      <c r="D23" s="51" t="str">
        <f t="shared" si="1"/>
        <v>0.000952492982673142-0.000352983086306859i</v>
      </c>
      <c r="E23" s="51" t="str">
        <f t="shared" si="2"/>
        <v>0.95558501521352-0.521400553935948i</v>
      </c>
      <c r="F23" s="70" t="str">
        <f t="shared" si="3"/>
        <v>0.000726142444608069-0.000833935716684535i</v>
      </c>
      <c r="G23" s="70" t="str">
        <f t="shared" si="4"/>
        <v>0.0897265324716565-0.103046118179686i</v>
      </c>
      <c r="H23" s="72">
        <f t="shared" si="5"/>
        <v>0.13663584120313763</v>
      </c>
      <c r="I23" s="51" t="str">
        <f t="shared" si="6"/>
        <v>1.70528968646546-0.0199912555062982i</v>
      </c>
      <c r="J23" s="73" t="str">
        <f t="shared" si="7"/>
        <v>0.189481297901549-0.391890463837912i</v>
      </c>
      <c r="K23" s="73" t="str">
        <f t="shared" si="8"/>
        <v>0.315286120696535-0.672074735246972i</v>
      </c>
      <c r="L23" s="73" t="str">
        <f t="shared" si="9"/>
        <v>-0.0409651622473004-0.0927919464092273i</v>
      </c>
      <c r="M23" s="70">
        <f t="shared" si="10"/>
        <v>-19.876483671099564</v>
      </c>
      <c r="N23" s="70">
        <f t="shared" si="11"/>
        <v>66.17982420393119</v>
      </c>
      <c r="O23" s="70">
        <f t="shared" si="12"/>
        <v>66.17982420393119</v>
      </c>
    </row>
    <row r="24" spans="1:18" ht="15" x14ac:dyDescent="0.2">
      <c r="A24" s="71">
        <f t="shared" si="13"/>
        <v>23</v>
      </c>
      <c r="B24" s="70">
        <f t="shared" si="14"/>
        <v>23000</v>
      </c>
      <c r="C24" s="70">
        <f t="shared" si="0"/>
        <v>123.56602087912086</v>
      </c>
      <c r="D24" s="51" t="str">
        <f t="shared" si="1"/>
        <v>0.000952482373575571-0.000337635999183294i</v>
      </c>
      <c r="E24" s="51" t="str">
        <f t="shared" si="2"/>
        <v>0.946260289080358-0.552105191497926i</v>
      </c>
      <c r="F24" s="70" t="str">
        <f t="shared" si="3"/>
        <v>0.000714885658177879-0.000845362001452459i</v>
      </c>
      <c r="G24" s="70" t="str">
        <f t="shared" si="4"/>
        <v>0.0883355761645919-0.10445801872189i</v>
      </c>
      <c r="H24" s="72">
        <f t="shared" si="5"/>
        <v>0.13680150471260594</v>
      </c>
      <c r="I24" s="51" t="str">
        <f t="shared" si="6"/>
        <v>1.70528968646546-0.0191220704842852i</v>
      </c>
      <c r="J24" s="73" t="str">
        <f t="shared" si="7"/>
        <v>0.176202969211461-0.380992759580187i</v>
      </c>
      <c r="K24" s="73" t="str">
        <f t="shared" si="8"/>
        <v>0.293191735718201-0.653072389126909i</v>
      </c>
      <c r="L24" s="73" t="str">
        <f t="shared" si="9"/>
        <v>-0.042319386948804-0.0883157535894673i</v>
      </c>
      <c r="M24" s="70">
        <f t="shared" si="10"/>
        <v>-20.181540931936382</v>
      </c>
      <c r="N24" s="70">
        <f t="shared" si="11"/>
        <v>64.397062344219265</v>
      </c>
      <c r="O24" s="70">
        <f t="shared" si="12"/>
        <v>64.397062344219265</v>
      </c>
    </row>
    <row r="25" spans="1:18" ht="15" x14ac:dyDescent="0.2">
      <c r="A25" s="71">
        <f t="shared" si="13"/>
        <v>24</v>
      </c>
      <c r="B25" s="70">
        <f t="shared" si="14"/>
        <v>24000</v>
      </c>
      <c r="C25" s="70">
        <f t="shared" si="0"/>
        <v>123.56602087912086</v>
      </c>
      <c r="D25" s="51" t="str">
        <f t="shared" si="1"/>
        <v>0.000952473062782495-0.000323567835566202i</v>
      </c>
      <c r="E25" s="51" t="str">
        <f t="shared" si="2"/>
        <v>0.935474435292397-0.583455988747857i</v>
      </c>
      <c r="F25" s="70" t="str">
        <f t="shared" si="3"/>
        <v>0.000702226609110392-0.000858415550856536i</v>
      </c>
      <c r="G25" s="70" t="str">
        <f t="shared" si="4"/>
        <v>0.0867713478432089-0.106070993880101i</v>
      </c>
      <c r="H25" s="72">
        <f t="shared" si="5"/>
        <v>0.1370413169421528</v>
      </c>
      <c r="I25" s="51" t="str">
        <f t="shared" si="6"/>
        <v>1.70528968646546-0.01832531754744i</v>
      </c>
      <c r="J25" s="73" t="str">
        <f t="shared" si="7"/>
        <v>0.164185907640667-0.370444186582645i</v>
      </c>
      <c r="K25" s="73" t="str">
        <f t="shared" si="8"/>
        <v>0.27319602760987-0.634723409684801i</v>
      </c>
      <c r="L25" s="73" t="str">
        <f t="shared" si="9"/>
        <v>-0.0436201553631144-0.0840539799386619i</v>
      </c>
      <c r="M25" s="70">
        <f t="shared" si="10"/>
        <v>-20.473145945675213</v>
      </c>
      <c r="N25" s="70">
        <f t="shared" si="11"/>
        <v>62.572760417863691</v>
      </c>
      <c r="O25" s="70">
        <f t="shared" si="12"/>
        <v>62.572760417863691</v>
      </c>
      <c r="P25" s="70">
        <v>-9.1029999999999998</v>
      </c>
      <c r="Q25" s="70">
        <v>72.905000000000001</v>
      </c>
      <c r="R25" s="70">
        <f>B25</f>
        <v>24000</v>
      </c>
    </row>
    <row r="26" spans="1:18" ht="15" x14ac:dyDescent="0.2">
      <c r="A26" s="71">
        <f t="shared" si="13"/>
        <v>25</v>
      </c>
      <c r="B26" s="70">
        <f t="shared" si="14"/>
        <v>25000</v>
      </c>
      <c r="C26" s="70">
        <f t="shared" si="0"/>
        <v>123.56602087912086</v>
      </c>
      <c r="D26" s="51" t="str">
        <f t="shared" si="1"/>
        <v>0.000952464846780062-0.000310625124698084i</v>
      </c>
      <c r="E26" s="51" t="str">
        <f t="shared" si="2"/>
        <v>0.923076923076923-0.615384615384615i</v>
      </c>
      <c r="F26" s="70" t="str">
        <f t="shared" si="3"/>
        <v>0.000688044397213544-0.000872863097739808i</v>
      </c>
      <c r="G26" s="70" t="str">
        <f t="shared" si="4"/>
        <v>0.0850189083518509-0.107856219759931i</v>
      </c>
      <c r="H26" s="72">
        <f t="shared" si="5"/>
        <v>0.13733600736239185</v>
      </c>
      <c r="I26" s="51" t="str">
        <f t="shared" si="6"/>
        <v>1.70528968646546-0.0175923048455424i</v>
      </c>
      <c r="J26" s="73" t="str">
        <f t="shared" si="7"/>
        <v>0.153286867894759-0.360263797828444i</v>
      </c>
      <c r="K26" s="73" t="str">
        <f t="shared" si="8"/>
        <v>0.255060644335315-0.617050808152546i</v>
      </c>
      <c r="L26" s="73" t="str">
        <f t="shared" si="9"/>
        <v>-0.0448677900222358-0.0799708630142962i</v>
      </c>
      <c r="M26" s="70">
        <f t="shared" si="10"/>
        <v>-20.752836659321609</v>
      </c>
      <c r="N26" s="70">
        <f t="shared" si="11"/>
        <v>60.705321090345549</v>
      </c>
      <c r="O26" s="70">
        <f t="shared" si="12"/>
        <v>60.705321090345549</v>
      </c>
    </row>
    <row r="27" spans="1:18" ht="15" x14ac:dyDescent="0.2">
      <c r="A27" s="71">
        <f t="shared" si="13"/>
        <v>26</v>
      </c>
      <c r="B27" s="70">
        <f t="shared" si="14"/>
        <v>26000</v>
      </c>
      <c r="C27" s="70">
        <f t="shared" si="0"/>
        <v>123.56602087912086</v>
      </c>
      <c r="D27" s="51" t="str">
        <f t="shared" si="1"/>
        <v>0.000952457560423-0.000298678006695737i</v>
      </c>
      <c r="E27" s="51" t="str">
        <f t="shared" si="2"/>
        <v>0.908914055000462-0.647800587445505i</v>
      </c>
      <c r="F27" s="70" t="str">
        <f t="shared" si="3"/>
        <v>0.000672218275265366-0.000888475205364209i</v>
      </c>
      <c r="G27" s="70" t="str">
        <f t="shared" si="4"/>
        <v>0.0830633374367668-0.109785345776615i</v>
      </c>
      <c r="H27" s="72">
        <f t="shared" si="5"/>
        <v>0.13766749860960323</v>
      </c>
      <c r="I27" s="51" t="str">
        <f t="shared" si="6"/>
        <v>1.70528968646546-0.0169156777360985i</v>
      </c>
      <c r="J27" s="73" t="str">
        <f t="shared" si="7"/>
        <v>0.143380455356643-0.350460411998794i</v>
      </c>
      <c r="K27" s="73" t="str">
        <f t="shared" si="8"/>
        <v>0.238576936371773-0.600061903672447i</v>
      </c>
      <c r="L27" s="73" t="str">
        <f t="shared" si="9"/>
        <v>-0.0460610070115748-0.0760353958415937i</v>
      </c>
      <c r="M27" s="70">
        <f t="shared" si="10"/>
        <v>-21.022081396331224</v>
      </c>
      <c r="N27" s="70">
        <f t="shared" si="11"/>
        <v>58.793200162631322</v>
      </c>
      <c r="O27" s="70">
        <f t="shared" si="12"/>
        <v>58.793200162631322</v>
      </c>
    </row>
    <row r="28" spans="1:18" ht="15" x14ac:dyDescent="0.2">
      <c r="A28" s="71">
        <f t="shared" si="13"/>
        <v>27</v>
      </c>
      <c r="B28" s="70">
        <f t="shared" si="14"/>
        <v>27000</v>
      </c>
      <c r="C28" s="70">
        <f t="shared" si="0"/>
        <v>123.56602087912086</v>
      </c>
      <c r="D28" s="51" t="str">
        <f t="shared" si="1"/>
        <v>0.000952451068570586-0.000287615860168539i</v>
      </c>
      <c r="E28" s="51" t="str">
        <f t="shared" si="2"/>
        <v>0.89283175581238-0.680588859597241i</v>
      </c>
      <c r="F28" s="70" t="str">
        <f t="shared" si="3"/>
        <v>0.000654630409603068-0.000905020160014394i</v>
      </c>
      <c r="G28" s="70" t="str">
        <f t="shared" si="4"/>
        <v>0.0808900748611201-0.111829739988364i</v>
      </c>
      <c r="H28" s="72">
        <f t="shared" si="5"/>
        <v>0.13801845875426486</v>
      </c>
      <c r="I28" s="51" t="str">
        <f t="shared" si="6"/>
        <v>1.70528968646545-0.01628917115328i</v>
      </c>
      <c r="J28" s="73" t="str">
        <f t="shared" si="7"/>
        <v>0.134356910890912-0.341035381429499i</v>
      </c>
      <c r="K28" s="73" t="str">
        <f t="shared" si="8"/>
        <v>0.223562270750201-0.583752681388664i</v>
      </c>
      <c r="L28" s="73" t="str">
        <f t="shared" si="9"/>
        <v>-0.0471969417600988-0.0722207087071118i</v>
      </c>
      <c r="M28" s="70">
        <f t="shared" si="10"/>
        <v>-21.282296875831509</v>
      </c>
      <c r="N28" s="70">
        <f t="shared" si="11"/>
        <v>56.834990088439767</v>
      </c>
      <c r="O28" s="70">
        <f t="shared" si="12"/>
        <v>56.834990088439767</v>
      </c>
    </row>
    <row r="29" spans="1:18" ht="15" x14ac:dyDescent="0.2">
      <c r="A29" s="71">
        <f t="shared" si="13"/>
        <v>28</v>
      </c>
      <c r="B29" s="70">
        <f t="shared" si="14"/>
        <v>28000.000000000004</v>
      </c>
      <c r="C29" s="70">
        <f t="shared" si="0"/>
        <v>123.56602087912086</v>
      </c>
      <c r="D29" s="51" t="str">
        <f t="shared" si="1"/>
        <v>0.000952445259774961-0.000277343866775089i</v>
      </c>
      <c r="E29" s="51" t="str">
        <f t="shared" si="2"/>
        <v>0.874679080449271-0.713607641392179i</v>
      </c>
      <c r="F29" s="70" t="str">
        <f t="shared" si="3"/>
        <v>0.000635169241374272-0.000922259093742251i</v>
      </c>
      <c r="G29" s="70" t="str">
        <f t="shared" si="4"/>
        <v>0.0784853357414286-0.113959886433314i</v>
      </c>
      <c r="H29" s="72">
        <f t="shared" si="5"/>
        <v>0.13837197563935622</v>
      </c>
      <c r="I29" s="51" t="str">
        <f t="shared" si="6"/>
        <v>1.70528968646546-0.0157074150406629i</v>
      </c>
      <c r="J29" s="73" t="str">
        <f t="shared" si="7"/>
        <v>0.126120113554447-0.331984684151935i</v>
      </c>
      <c r="K29" s="73" t="str">
        <f t="shared" si="8"/>
        <v>0.209856707679133-0.568111078917363i</v>
      </c>
      <c r="L29" s="73" t="str">
        <f t="shared" si="9"/>
        <v>-0.0482711998751426-0.0685036353416376i</v>
      </c>
      <c r="M29" s="70">
        <f t="shared" si="10"/>
        <v>-21.53486187471788</v>
      </c>
      <c r="N29" s="70">
        <f t="shared" si="11"/>
        <v>54.829497886430204</v>
      </c>
      <c r="O29" s="70">
        <f t="shared" si="12"/>
        <v>54.829497886430204</v>
      </c>
    </row>
    <row r="30" spans="1:18" ht="15" x14ac:dyDescent="0.2">
      <c r="A30" s="71">
        <f t="shared" si="13"/>
        <v>29</v>
      </c>
      <c r="B30" s="70">
        <f t="shared" si="14"/>
        <v>28999.999999999996</v>
      </c>
      <c r="C30" s="70">
        <f t="shared" si="0"/>
        <v>123.56602087912086</v>
      </c>
      <c r="D30" s="51" t="str">
        <f t="shared" si="1"/>
        <v>0.000952440041465869-0.000267780286560848i</v>
      </c>
      <c r="E30" s="51" t="str">
        <f t="shared" si="2"/>
        <v>0.854312480830752-0.74668661675985i</v>
      </c>
      <c r="F30" s="70" t="str">
        <f t="shared" si="3"/>
        <v>0.000613733458460148-0.000939942273158129i</v>
      </c>
      <c r="G30" s="70" t="str">
        <f t="shared" si="4"/>
        <v>0.0758366013423017-0.116144926550226i</v>
      </c>
      <c r="H30" s="72">
        <f t="shared" si="5"/>
        <v>0.13871133359069326</v>
      </c>
      <c r="I30" s="51" t="str">
        <f t="shared" si="6"/>
        <v>1.70528968646545-0.0151657800392607i</v>
      </c>
      <c r="J30" s="73" t="str">
        <f t="shared" si="7"/>
        <v>0.118585807599703-0.32330050082799i</v>
      </c>
      <c r="K30" s="73" t="str">
        <f t="shared" si="8"/>
        <v>0.19732005037881-0.553119455964921i</v>
      </c>
      <c r="L30" s="73" t="str">
        <f t="shared" si="9"/>
        <v>-0.049277936589126-0.0648644224348163i</v>
      </c>
      <c r="M30" s="70">
        <f t="shared" si="10"/>
        <v>-21.781127113250889</v>
      </c>
      <c r="N30" s="70">
        <f t="shared" si="11"/>
        <v>52.775819533153637</v>
      </c>
      <c r="O30" s="70">
        <f t="shared" si="12"/>
        <v>52.775819533153637</v>
      </c>
    </row>
    <row r="31" spans="1:18" ht="15" x14ac:dyDescent="0.2">
      <c r="A31" s="71">
        <f t="shared" si="13"/>
        <v>30</v>
      </c>
      <c r="B31" s="70">
        <f t="shared" si="14"/>
        <v>30000</v>
      </c>
      <c r="C31" s="70">
        <f t="shared" si="0"/>
        <v>123.56602087912086</v>
      </c>
      <c r="D31" s="51" t="str">
        <f t="shared" si="1"/>
        <v>0.000952435336239592-0.000258854278227948i</v>
      </c>
      <c r="E31" s="51" t="str">
        <f t="shared" si="2"/>
        <v>0.831600831600832-0.77962577962578i</v>
      </c>
      <c r="F31" s="70" t="str">
        <f t="shared" si="3"/>
        <v>0.00059023654918993-0.000957806574596728i</v>
      </c>
      <c r="G31" s="70" t="str">
        <f t="shared" si="4"/>
        <v>0.0729331817608231-0.118352347194779i</v>
      </c>
      <c r="H31" s="72">
        <f t="shared" si="5"/>
        <v>0.13901988019082298</v>
      </c>
      <c r="I31" s="51" t="str">
        <f t="shared" si="6"/>
        <v>1.70528968646546-0.014660254037952i</v>
      </c>
      <c r="J31" s="73" t="str">
        <f t="shared" si="7"/>
        <v>0.111680045137476-0.314972399831426i</v>
      </c>
      <c r="K31" s="73" t="str">
        <f t="shared" si="8"/>
        <v>0.185829253760463-0.538756442786491i</v>
      </c>
      <c r="L31" s="73" t="str">
        <f t="shared" si="9"/>
        <v>-0.0502099708291009-0.0612865499265667i</v>
      </c>
      <c r="M31" s="70">
        <f t="shared" si="10"/>
        <v>-22.022421721755038</v>
      </c>
      <c r="N31" s="70">
        <f t="shared" si="11"/>
        <v>50.673411811694962</v>
      </c>
      <c r="O31" s="70">
        <f t="shared" si="12"/>
        <v>50.673411811694962</v>
      </c>
    </row>
    <row r="32" spans="1:18" ht="15" x14ac:dyDescent="0.2">
      <c r="A32" s="71">
        <f t="shared" si="13"/>
        <v>31</v>
      </c>
      <c r="B32" s="70">
        <f t="shared" si="14"/>
        <v>31000</v>
      </c>
      <c r="C32" s="70">
        <f t="shared" si="0"/>
        <v>123.56602087912086</v>
      </c>
      <c r="D32" s="51" t="str">
        <f t="shared" si="1"/>
        <v>0.000952431078971999-0.000250504141288075i</v>
      </c>
      <c r="E32" s="51" t="str">
        <f t="shared" si="2"/>
        <v>0.80643116012275-0.812195125529735i</v>
      </c>
      <c r="F32" s="70" t="str">
        <f t="shared" si="3"/>
        <v>0.000564611857473165-0.000975574225018579i</v>
      </c>
      <c r="G32" s="70" t="str">
        <f t="shared" si="4"/>
        <v>0.0697668405691283-0.120547825057778i</v>
      </c>
      <c r="H32" s="72">
        <f t="shared" si="5"/>
        <v>0.13928097561820429</v>
      </c>
      <c r="I32" s="51" t="str">
        <f t="shared" si="6"/>
        <v>1.70528968646545-0.0141873426173729i</v>
      </c>
      <c r="J32" s="73" t="str">
        <f t="shared" si="7"/>
        <v>0.105337828054767-0.30698822458764i</v>
      </c>
      <c r="K32" s="73" t="str">
        <f t="shared" si="8"/>
        <v>0.175276164654741-0.524998317112825i</v>
      </c>
      <c r="L32" s="73" t="str">
        <f t="shared" si="9"/>
        <v>-0.0510589410519091-0.0577566343226691i</v>
      </c>
      <c r="M32" s="70">
        <f t="shared" si="10"/>
        <v>-22.260056501437315</v>
      </c>
      <c r="N32" s="70">
        <f t="shared" si="11"/>
        <v>48.522161613555738</v>
      </c>
      <c r="O32" s="70">
        <f t="shared" si="12"/>
        <v>48.522161613555738</v>
      </c>
    </row>
    <row r="33" spans="1:18" ht="15" x14ac:dyDescent="0.2">
      <c r="A33" s="71">
        <f t="shared" si="13"/>
        <v>32</v>
      </c>
      <c r="B33" s="70">
        <f t="shared" si="14"/>
        <v>32000</v>
      </c>
      <c r="C33" s="70">
        <f t="shared" si="0"/>
        <v>123.56602087912086</v>
      </c>
      <c r="D33" s="51" t="str">
        <f t="shared" si="1"/>
        <v>0.000952427214552899-0.000242675887811518i</v>
      </c>
      <c r="E33" s="51" t="str">
        <f t="shared" si="2"/>
        <v>0.778714955716654-0.844135453351387i</v>
      </c>
      <c r="F33" s="70" t="str">
        <f t="shared" si="3"/>
        <v>0.000536817995628671-0.000992952921771456i</v>
      </c>
      <c r="G33" s="70" t="str">
        <f t="shared" si="4"/>
        <v>0.0663324636561402-0.122695241463596i</v>
      </c>
      <c r="H33" s="72">
        <f t="shared" si="5"/>
        <v>0.13947801981854807</v>
      </c>
      <c r="I33" s="51" t="str">
        <f t="shared" si="6"/>
        <v>1.70528968646546-0.01374398816058i</v>
      </c>
      <c r="J33" s="73" t="str">
        <f t="shared" si="7"/>
        <v>0.0995019294336525-0.299334754869248i</v>
      </c>
      <c r="K33" s="73" t="str">
        <f t="shared" si="8"/>
        <v>0.165565560719649-0.511820023619286i</v>
      </c>
      <c r="L33" s="73" t="str">
        <f t="shared" si="9"/>
        <v>-0.0518155098447271-0.0542643895657641i</v>
      </c>
      <c r="M33" s="70">
        <f t="shared" si="10"/>
        <v>-22.495324110444656</v>
      </c>
      <c r="N33" s="70">
        <f t="shared" si="11"/>
        <v>46.322451813781214</v>
      </c>
      <c r="O33" s="70">
        <f t="shared" si="12"/>
        <v>46.322451813781214</v>
      </c>
    </row>
    <row r="34" spans="1:18" ht="15" x14ac:dyDescent="0.2">
      <c r="A34" s="71">
        <f t="shared" si="13"/>
        <v>33</v>
      </c>
      <c r="B34" s="70">
        <f t="shared" si="14"/>
        <v>33000</v>
      </c>
      <c r="C34" s="70">
        <f t="shared" ref="C34:C65" si="15">_ta1*_ta2*(rload/RS)</f>
        <v>123.56602087912086</v>
      </c>
      <c r="D34" s="51" t="str">
        <f t="shared" ref="D34:D65" si="16">IMDIV((COMPLEX(1,2*PI()*(B34)*(esrcout*0.001)*(cout*0.000001))),(COMPLEX(1,2*PI()*(B34)*rload*(cout*0.000001))))</f>
        <v>0.000952423696093548-0.000235322073858112i</v>
      </c>
      <c r="E34" s="51" t="str">
        <f t="shared" ref="E34:E65" si="17">IMDIV(1,(COMPLEX((1-(B34/(fpp*1000))^2),(B34/(fpp*1000)))))</f>
        <v>0.748394849515882-0.875160525656418i</v>
      </c>
      <c r="F34" s="70" t="str">
        <f t="shared" ref="F34:F65" si="18">IMPRODUCT(D34,E34)</f>
        <v>0.000506844398857067-0.00100963745057367i</v>
      </c>
      <c r="G34" s="70" t="str">
        <f t="shared" ref="G34:G65" si="19">IMPRODUCT(C34,F34)</f>
        <v>0.0626287455716378-0.124756882297928i</v>
      </c>
      <c r="H34" s="72">
        <f t="shared" ref="H34:H65" si="20">IMABS(G34)</f>
        <v>0.13959455380700209</v>
      </c>
      <c r="I34" s="51" t="str">
        <f t="shared" ref="I34:I65" si="21">IMDIV((COMPLEX(1,(2*PI()*B34*(rf*1000)*(Cz*0.000000001)))),(COMPLEX(0,2*PI()*B34*((Cz*0.000000001)+(Cp*0.000000000001))*(RII*1000))))</f>
        <v>1.70528968646545-0.0133275036708655i</v>
      </c>
      <c r="J34" s="73" t="str">
        <f t="shared" ref="J34:J65" si="22">IMDIV(1,(COMPLEX(1,2*PI()*B34*(((Cz*0.000000001)*(Cp*0.000000000001))/((Cz*0.000000001)+(Cp*0.000000000001)))*(rf*1000))))</f>
        <v>0.0941218739799354-0.29199819660135i</v>
      </c>
      <c r="K34" s="73" t="str">
        <f t="shared" ref="K34:K65" si="23">IMPRODUCT(I34,J34)</f>
        <v>0.156613453931694-0.499195922751769i</v>
      </c>
      <c r="L34" s="73" t="str">
        <f t="shared" ref="L34:L65" si="24">IMPRODUCT(G34,K34)</f>
        <v>-0.0524696228189645-0.0508026206748478i</v>
      </c>
      <c r="M34" s="70">
        <f t="shared" ref="M34:M65" si="25">20*LOG(IMABS(L34))</f>
        <v>-22.729496277872393</v>
      </c>
      <c r="N34" s="70">
        <f t="shared" ref="N34:N65" si="26">(180/PI())*IMARGUMENT(L34)+180</f>
        <v>44.075222055204762</v>
      </c>
      <c r="O34" s="70">
        <f t="shared" si="12"/>
        <v>44.075222055204762</v>
      </c>
    </row>
    <row r="35" spans="1:18" ht="15" x14ac:dyDescent="0.2">
      <c r="A35" s="71">
        <f t="shared" si="13"/>
        <v>34</v>
      </c>
      <c r="B35" s="70">
        <f t="shared" si="14"/>
        <v>34000</v>
      </c>
      <c r="C35" s="70">
        <f t="shared" si="15"/>
        <v>123.56602087912086</v>
      </c>
      <c r="D35" s="51" t="str">
        <f t="shared" si="16"/>
        <v>0.000952420483497584-0.000228400837126155i</v>
      </c>
      <c r="E35" s="51" t="str">
        <f t="shared" si="17"/>
        <v>0.715451364638305-0.904960803485952i</v>
      </c>
      <c r="F35" s="70" t="str">
        <f t="shared" si="18"/>
        <v>0.000474716729545271-0.00102531289660889i</v>
      </c>
      <c r="G35" s="70" t="str">
        <f t="shared" si="19"/>
        <v>0.0586588573146589-0.126693834790006i</v>
      </c>
      <c r="H35" s="72">
        <f t="shared" si="20"/>
        <v>0.13961443089902581</v>
      </c>
      <c r="I35" s="51" t="str">
        <f t="shared" si="21"/>
        <v>1.70528968646546-0.0129355182687812i</v>
      </c>
      <c r="J35" s="73" t="str">
        <f t="shared" si="22"/>
        <v>0.0891530577040775-0.284964541664557i</v>
      </c>
      <c r="K35" s="73" t="str">
        <f t="shared" si="23"/>
        <v>0.148345625784967-0.487100334915575i</v>
      </c>
      <c r="L35" s="73" t="str">
        <f t="shared" si="24"/>
        <v>-0.0530108244617763-0.0473672252487559i</v>
      </c>
      <c r="M35" s="70">
        <f t="shared" si="25"/>
        <v>-22.963818167679708</v>
      </c>
      <c r="N35" s="70">
        <f t="shared" si="26"/>
        <v>41.782022105512709</v>
      </c>
      <c r="O35" s="70">
        <f t="shared" si="12"/>
        <v>41.782022105512709</v>
      </c>
    </row>
    <row r="36" spans="1:18" ht="15" x14ac:dyDescent="0.2">
      <c r="A36" s="71">
        <f t="shared" si="13"/>
        <v>35</v>
      </c>
      <c r="B36" s="70">
        <f t="shared" ref="B36:B67" si="27">(fs*1000/2)*(A36/100)</f>
        <v>35000</v>
      </c>
      <c r="C36" s="70">
        <f t="shared" si="15"/>
        <v>123.56602087912086</v>
      </c>
      <c r="D36" s="51" t="str">
        <f t="shared" si="16"/>
        <v>0.000952417542313607-0.000221875099575749i</v>
      </c>
      <c r="E36" s="51" t="str">
        <f t="shared" si="17"/>
        <v>0.679909345420611-0.933208905479269i</v>
      </c>
      <c r="F36" s="70" t="str">
        <f t="shared" si="18"/>
        <v>0.000440501768933363-0.00103965948593942i</v>
      </c>
      <c r="G36" s="70" t="str">
        <f t="shared" si="19"/>
        <v>0.0544310507773096-0.128466585746766i</v>
      </c>
      <c r="H36" s="72">
        <f t="shared" si="20"/>
        <v>0.13952205181315688</v>
      </c>
      <c r="I36" s="51" t="str">
        <f t="shared" si="21"/>
        <v>1.70528968646545-0.0125659320325303i</v>
      </c>
      <c r="J36" s="73" t="str">
        <f t="shared" si="22"/>
        <v>0.0845559885927345-0.278219829246299i</v>
      </c>
      <c r="K36" s="73" t="str">
        <f t="shared" si="23"/>
        <v>0.140696363811669-0.475507930189492i</v>
      </c>
      <c r="L36" s="73" t="str">
        <f t="shared" si="24"/>
        <v>-0.0534286293641398-0.0439571777790276i</v>
      </c>
      <c r="M36" s="70">
        <f t="shared" si="25"/>
        <v>-23.199500076372107</v>
      </c>
      <c r="N36" s="70">
        <f t="shared" si="26"/>
        <v>39.44505493041828</v>
      </c>
      <c r="O36" s="70">
        <f t="shared" si="12"/>
        <v>39.44505493041828</v>
      </c>
    </row>
    <row r="37" spans="1:18" ht="15" x14ac:dyDescent="0.2">
      <c r="A37" s="71">
        <f t="shared" si="13"/>
        <v>36</v>
      </c>
      <c r="B37" s="70">
        <f t="shared" si="27"/>
        <v>36000</v>
      </c>
      <c r="C37" s="70">
        <f t="shared" si="15"/>
        <v>123.56602087912086</v>
      </c>
      <c r="D37" s="51" t="str">
        <f t="shared" si="16"/>
        <v>0.000952414842807685-0.000215711902948182i</v>
      </c>
      <c r="E37" s="51" t="str">
        <f t="shared" si="17"/>
        <v>0.641843596575924-0.959566838734771i</v>
      </c>
      <c r="F37" s="70" t="str">
        <f t="shared" si="18"/>
        <v>0.000404311379350529-0.00105235900348954i</v>
      </c>
      <c r="G37" s="70" t="str">
        <f t="shared" si="19"/>
        <v>0.0499591483424936-0.130035814597519i</v>
      </c>
      <c r="H37" s="72">
        <f t="shared" si="20"/>
        <v>0.13930265460911939</v>
      </c>
      <c r="I37" s="51" t="str">
        <f t="shared" si="21"/>
        <v>1.70528968646546-0.01221687836496i</v>
      </c>
      <c r="J37" s="73" t="str">
        <f t="shared" si="22"/>
        <v>0.0802956318361882-0.271750332739843i</v>
      </c>
      <c r="K37" s="73" t="str">
        <f t="shared" si="23"/>
        <v>0.133607372077759-0.464394001682192i</v>
      </c>
      <c r="L37" s="73" t="str">
        <f t="shared" si="24"/>
        <v>-0.053712941781662-0.0405744722837701i</v>
      </c>
      <c r="M37" s="70">
        <f t="shared" si="25"/>
        <v>-23.437706746606779</v>
      </c>
      <c r="N37" s="70">
        <f t="shared" si="26"/>
        <v>37.067206312685585</v>
      </c>
      <c r="O37" s="70">
        <f t="shared" si="12"/>
        <v>37.067206312685585</v>
      </c>
    </row>
    <row r="38" spans="1:18" ht="15" x14ac:dyDescent="0.2">
      <c r="A38" s="71">
        <f t="shared" si="13"/>
        <v>37</v>
      </c>
      <c r="B38" s="70">
        <f t="shared" si="27"/>
        <v>37000</v>
      </c>
      <c r="C38" s="70">
        <f t="shared" si="15"/>
        <v>123.56602087912086</v>
      </c>
      <c r="D38" s="51" t="str">
        <f t="shared" si="16"/>
        <v>0.000952412359208901-0.000209881852038909i</v>
      </c>
      <c r="E38" s="51" t="str">
        <f t="shared" si="17"/>
        <v>0.601383213294196-0.983694911223927i</v>
      </c>
      <c r="F38" s="70" t="str">
        <f t="shared" si="18"/>
        <v>0.000366305095153227-0.00106310261373187i</v>
      </c>
      <c r="G38" s="70" t="str">
        <f t="shared" si="19"/>
        <v>0.045262863035832-0.13136335976504i</v>
      </c>
      <c r="H38" s="72">
        <f t="shared" si="20"/>
        <v>0.1389426466530698</v>
      </c>
      <c r="I38" s="51" t="str">
        <f t="shared" si="21"/>
        <v>1.70528968646545-0.0118866924632043i</v>
      </c>
      <c r="J38" s="73" t="str">
        <f t="shared" si="22"/>
        <v>0.0763408450812433-0.265542690453955i</v>
      </c>
      <c r="K38" s="73" t="str">
        <f t="shared" si="23"/>
        <v>0.127026831475823-0.453734651495279i</v>
      </c>
      <c r="L38" s="73" t="str">
        <f t="shared" si="24"/>
        <v>-0.0538545101872735-0.0372240007482134i</v>
      </c>
      <c r="M38" s="70">
        <f t="shared" si="25"/>
        <v>-23.679544704494006</v>
      </c>
      <c r="N38" s="70">
        <f t="shared" si="26"/>
        <v>34.652057801369921</v>
      </c>
      <c r="O38" s="70">
        <f t="shared" si="12"/>
        <v>34.652057801369921</v>
      </c>
    </row>
    <row r="39" spans="1:18" ht="15" x14ac:dyDescent="0.2">
      <c r="A39" s="71">
        <f t="shared" si="13"/>
        <v>38</v>
      </c>
      <c r="B39" s="70">
        <f t="shared" si="27"/>
        <v>38000</v>
      </c>
      <c r="C39" s="70">
        <f t="shared" si="15"/>
        <v>123.56602087912086</v>
      </c>
      <c r="D39" s="51" t="str">
        <f t="shared" si="16"/>
        <v>0.000952410069091999-0.000204358645874758i</v>
      </c>
      <c r="E39" s="51" t="str">
        <f t="shared" si="17"/>
        <v>0.558714077224444-1.00526207076368i</v>
      </c>
      <c r="F39" s="70" t="str">
        <f t="shared" si="18"/>
        <v>0.000326690917361484-0.00107159977052435i</v>
      </c>
      <c r="G39" s="70" t="str">
        <f t="shared" si="19"/>
        <v>0.0403678967157083-0.132413319618673i</v>
      </c>
      <c r="H39" s="72">
        <f t="shared" si="20"/>
        <v>0.13842996170514152</v>
      </c>
      <c r="I39" s="51" t="str">
        <f t="shared" si="21"/>
        <v>1.70528968646546-0.0115738847668042i</v>
      </c>
      <c r="J39" s="73" t="str">
        <f t="shared" si="22"/>
        <v>0.0726638910178404-0.259583994036589i</v>
      </c>
      <c r="K39" s="73" t="str">
        <f t="shared" si="23"/>
        <v>0.120908588696887-0.443506911303455i</v>
      </c>
      <c r="L39" s="73" t="str">
        <f t="shared" si="24"/>
        <v>-0.0538453969789569-0.0339133487879642i</v>
      </c>
      <c r="M39" s="70">
        <f t="shared" si="25"/>
        <v>-23.926048168395113</v>
      </c>
      <c r="N39" s="70">
        <f t="shared" si="26"/>
        <v>32.203880053685026</v>
      </c>
      <c r="O39" s="70">
        <f t="shared" si="12"/>
        <v>32.203880053685026</v>
      </c>
    </row>
    <row r="40" spans="1:18" ht="15" x14ac:dyDescent="0.2">
      <c r="A40" s="71">
        <f t="shared" si="13"/>
        <v>39</v>
      </c>
      <c r="B40" s="70">
        <f t="shared" si="27"/>
        <v>39000</v>
      </c>
      <c r="C40" s="70">
        <f t="shared" si="15"/>
        <v>123.56602087912086</v>
      </c>
      <c r="D40" s="51" t="str">
        <f t="shared" si="16"/>
        <v>0.00095240795286939-0.000199118681017699i</v>
      </c>
      <c r="E40" s="51" t="str">
        <f t="shared" si="17"/>
        <v>0.514079044457808-1.02395723870554i</v>
      </c>
      <c r="F40" s="70" t="str">
        <f t="shared" si="18"/>
        <v>0.000285723955555541-0.00107758775881261i</v>
      </c>
      <c r="G40" s="70" t="str">
        <f t="shared" si="19"/>
        <v>0.035305772257841-0.133153231504524i</v>
      </c>
      <c r="H40" s="72">
        <f t="shared" si="20"/>
        <v>0.13775442139844332</v>
      </c>
      <c r="I40" s="51" t="str">
        <f t="shared" si="21"/>
        <v>1.70528968646545-0.0112771184907323i</v>
      </c>
      <c r="J40" s="73" t="str">
        <f t="shared" si="22"/>
        <v>0.0692400163068267-0.253861845200607i</v>
      </c>
      <c r="K40" s="73" t="str">
        <f t="shared" si="23"/>
        <v>0.115211455590128-0.433688814275876i</v>
      </c>
      <c r="L40" s="73" t="str">
        <f t="shared" si="24"/>
        <v>-0.0536794376756388-0.0306524961257627i</v>
      </c>
      <c r="M40" s="70">
        <f t="shared" si="25"/>
        <v>-24.178164214707852</v>
      </c>
      <c r="N40" s="70">
        <f t="shared" si="26"/>
        <v>29.727604267864933</v>
      </c>
      <c r="O40" s="70">
        <f t="shared" si="12"/>
        <v>29.727604267864933</v>
      </c>
    </row>
    <row r="41" spans="1:18" ht="15" x14ac:dyDescent="0.2">
      <c r="A41" s="71">
        <f t="shared" si="13"/>
        <v>40</v>
      </c>
      <c r="B41" s="70">
        <f t="shared" si="27"/>
        <v>40000</v>
      </c>
      <c r="C41" s="70">
        <f t="shared" si="15"/>
        <v>123.56602087912086</v>
      </c>
      <c r="D41" s="51" t="str">
        <f t="shared" si="16"/>
        <v>0.000952405993370922-0.000194140714373038i</v>
      </c>
      <c r="E41" s="51" t="str">
        <f t="shared" si="17"/>
        <v>0.467775467775468-1.03950103950104i</v>
      </c>
      <c r="F41" s="70" t="str">
        <f t="shared" si="18"/>
        <v>0.000243702684660995-0.00108084128361621i</v>
      </c>
      <c r="G41" s="70" t="str">
        <f t="shared" si="19"/>
        <v>0.0301133710211183-0.133555256618336i</v>
      </c>
      <c r="H41" s="72">
        <f t="shared" si="20"/>
        <v>0.13690807749963152</v>
      </c>
      <c r="I41" s="51" t="str">
        <f t="shared" si="21"/>
        <v>1.70528968646546-0.010995190528464i</v>
      </c>
      <c r="J41" s="73" t="str">
        <f t="shared" si="22"/>
        <v>0.0660470873836707-0.248364388815717i</v>
      </c>
      <c r="K41" s="73" t="str">
        <f t="shared" si="23"/>
        <v>0.109898603160942-0.424259431042373i</v>
      </c>
      <c r="L41" s="73" t="str">
        <f t="shared" si="24"/>
        <v>-0.0533526597739253-0.0274534178033438i</v>
      </c>
      <c r="M41" s="70">
        <f t="shared" si="25"/>
        <v>-24.436738001837046</v>
      </c>
      <c r="N41" s="70">
        <f t="shared" si="26"/>
        <v>27.228770398246013</v>
      </c>
      <c r="O41" s="70">
        <f t="shared" si="12"/>
        <v>27.228770398246013</v>
      </c>
    </row>
    <row r="42" spans="1:18" ht="15" x14ac:dyDescent="0.2">
      <c r="A42" s="71">
        <f t="shared" si="13"/>
        <v>41</v>
      </c>
      <c r="B42" s="70">
        <f t="shared" si="27"/>
        <v>41000</v>
      </c>
      <c r="C42" s="70">
        <f t="shared" si="15"/>
        <v>123.56602087912086</v>
      </c>
      <c r="D42" s="51" t="str">
        <f t="shared" si="16"/>
        <v>0.000952404175494493-0.00018940557534273i</v>
      </c>
      <c r="E42" s="51" t="str">
        <f t="shared" si="17"/>
        <v>0.420149875001565-1.05165719627986i</v>
      </c>
      <c r="F42" s="70" t="str">
        <f t="shared" si="18"/>
        <v>0.000200962758960271-0.00108118143373062i</v>
      </c>
      <c r="G42" s="70" t="str">
        <f t="shared" si="19"/>
        <v>0.0248321684696106-0.133597287614476i</v>
      </c>
      <c r="H42" s="72">
        <f t="shared" si="20"/>
        <v>0.13588551007685901</v>
      </c>
      <c r="I42" s="51" t="str">
        <f t="shared" si="21"/>
        <v>1.70528968646545-0.010727015149721i</v>
      </c>
      <c r="J42" s="73" t="str">
        <f t="shared" si="22"/>
        <v>0.0630652750208313-0.243080328507632i</v>
      </c>
      <c r="K42" s="73" t="str">
        <f t="shared" si="23"/>
        <v>0.10493703670063-0.415198879347268i</v>
      </c>
      <c r="L42" s="73" t="str">
        <f t="shared" si="24"/>
        <v>-0.0528636299273133-0.0243295919938498i</v>
      </c>
      <c r="M42" s="70">
        <f t="shared" si="25"/>
        <v>-24.702498926937899</v>
      </c>
      <c r="N42" s="70">
        <f t="shared" si="26"/>
        <v>24.71345214548208</v>
      </c>
      <c r="O42" s="70">
        <f t="shared" si="12"/>
        <v>24.71345214548208</v>
      </c>
    </row>
    <row r="43" spans="1:18" ht="15" x14ac:dyDescent="0.2">
      <c r="A43" s="71">
        <f t="shared" si="13"/>
        <v>42</v>
      </c>
      <c r="B43" s="70">
        <f t="shared" si="27"/>
        <v>42000</v>
      </c>
      <c r="C43" s="70">
        <f t="shared" si="15"/>
        <v>123.56602087912086</v>
      </c>
      <c r="D43" s="51" t="str">
        <f t="shared" si="16"/>
        <v>0.000952402485914201-0.000184895919099645i</v>
      </c>
      <c r="E43" s="51" t="str">
        <f t="shared" si="17"/>
        <v>0.371589855273829-1.06024279358022i</v>
      </c>
      <c r="F43" s="70" t="str">
        <f t="shared" si="18"/>
        <v>0.000157868536115503-0.00107848332009738i</v>
      </c>
      <c r="G43" s="70" t="str">
        <f t="shared" si="19"/>
        <v>0.0195071868298045-0.133263892448936i</v>
      </c>
      <c r="H43" s="72">
        <f t="shared" si="20"/>
        <v>0.13468405758906465</v>
      </c>
      <c r="I43" s="51" t="str">
        <f t="shared" si="21"/>
        <v>1.70528968646546-0.0104716100271086i</v>
      </c>
      <c r="J43" s="73" t="str">
        <f t="shared" si="22"/>
        <v>0.0602767807060561-0.237998929438286i</v>
      </c>
      <c r="K43" s="73" t="str">
        <f t="shared" si="23"/>
        <v>0.100297140495431-0.406488314702173i</v>
      </c>
      <c r="L43" s="73" t="str">
        <f t="shared" si="24"/>
        <v>-0.0522136999940801-0.0212954308429466i</v>
      </c>
      <c r="M43" s="70">
        <f t="shared" si="25"/>
        <v>-24.976048603089652</v>
      </c>
      <c r="N43" s="70">
        <f t="shared" si="26"/>
        <v>22.188160225345399</v>
      </c>
      <c r="O43" s="70">
        <f t="shared" si="12"/>
        <v>22.188160225345399</v>
      </c>
    </row>
    <row r="44" spans="1:18" ht="15" x14ac:dyDescent="0.2">
      <c r="A44" s="71">
        <f t="shared" si="13"/>
        <v>43</v>
      </c>
      <c r="B44" s="70">
        <f t="shared" si="27"/>
        <v>43000</v>
      </c>
      <c r="C44" s="70">
        <f t="shared" si="15"/>
        <v>123.56602087912086</v>
      </c>
      <c r="D44" s="51" t="str">
        <f t="shared" si="16"/>
        <v>0.000952400912835421-0.000180596014288667i</v>
      </c>
      <c r="E44" s="51" t="str">
        <f t="shared" si="17"/>
        <v>0.322513460849838-1.0651366218543i</v>
      </c>
      <c r="F44" s="70" t="str">
        <f t="shared" si="18"/>
        <v>0.000114802685935315-0.0010726817365324i</v>
      </c>
      <c r="G44" s="70" t="str">
        <f t="shared" si="19"/>
        <v>0.0141857110872623-0.132547013853014i</v>
      </c>
      <c r="H44" s="72">
        <f t="shared" si="20"/>
        <v>0.13330395823231345</v>
      </c>
      <c r="I44" s="51" t="str">
        <f t="shared" si="21"/>
        <v>1.70528968646545-0.0102280842125247i</v>
      </c>
      <c r="J44" s="73" t="str">
        <f t="shared" si="22"/>
        <v>0.0576655989083591-0.233110011820384i</v>
      </c>
      <c r="K44" s="73" t="str">
        <f t="shared" si="23"/>
        <v>0.0959522822505966-0.39810990757094i</v>
      </c>
      <c r="L44" s="73" t="str">
        <f t="shared" si="24"/>
        <v>-0.0514071280796571-0.0183656606144762i</v>
      </c>
      <c r="M44" s="70">
        <f t="shared" si="25"/>
        <v>-25.25785148519212</v>
      </c>
      <c r="N44" s="70">
        <f t="shared" si="26"/>
        <v>19.659726992590379</v>
      </c>
      <c r="O44" s="70">
        <f t="shared" si="12"/>
        <v>19.659726992590379</v>
      </c>
    </row>
    <row r="45" spans="1:18" ht="15" x14ac:dyDescent="0.2">
      <c r="A45" s="71">
        <f t="shared" si="13"/>
        <v>44</v>
      </c>
      <c r="B45" s="70">
        <f t="shared" si="27"/>
        <v>44000</v>
      </c>
      <c r="C45" s="70">
        <f t="shared" si="15"/>
        <v>123.56602087912086</v>
      </c>
      <c r="D45" s="51" t="str">
        <f t="shared" si="16"/>
        <v>0.000952399445788421-0.000176491559677638i</v>
      </c>
      <c r="E45" s="51" t="str">
        <f t="shared" si="17"/>
        <v>0.27335668044953-1.0662849237393i</v>
      </c>
      <c r="F45" s="70" t="str">
        <f t="shared" si="18"/>
        <v>0.0000721544617111945-0.0010637743173027i</v>
      </c>
      <c r="G45" s="70" t="str">
        <f t="shared" si="19"/>
        <v>0.00891583972232719-0.131446359502498i</v>
      </c>
      <c r="H45" s="72">
        <f t="shared" si="20"/>
        <v>0.1317483875590672</v>
      </c>
      <c r="I45" s="51" t="str">
        <f t="shared" si="21"/>
        <v>1.70528968646546-0.00999562775314914i</v>
      </c>
      <c r="J45" s="73" t="str">
        <f t="shared" si="22"/>
        <v>0.0552173101742198-0.228403937863041i</v>
      </c>
      <c r="K45" s="73" t="str">
        <f t="shared" si="23"/>
        <v>0.091878468814229-0.390046811263973i</v>
      </c>
      <c r="L45" s="73" t="str">
        <f t="shared" si="24"/>
        <v>-0.0504510596743267-0.0155546850957286i</v>
      </c>
      <c r="M45" s="70">
        <f t="shared" si="25"/>
        <v>-25.548228837800998</v>
      </c>
      <c r="N45" s="70">
        <f t="shared" si="26"/>
        <v>17.135176955324852</v>
      </c>
      <c r="O45" s="70">
        <f t="shared" si="12"/>
        <v>17.135176955324852</v>
      </c>
      <c r="P45" s="70">
        <v>-13.846</v>
      </c>
      <c r="Q45" s="70">
        <v>23.129000000000001</v>
      </c>
      <c r="R45" s="70">
        <f>B45</f>
        <v>44000</v>
      </c>
    </row>
    <row r="46" spans="1:18" ht="15" x14ac:dyDescent="0.2">
      <c r="A46" s="71">
        <f t="shared" si="13"/>
        <v>45</v>
      </c>
      <c r="B46" s="70">
        <f t="shared" si="27"/>
        <v>45000</v>
      </c>
      <c r="C46" s="70">
        <f t="shared" si="15"/>
        <v>123.56602087912086</v>
      </c>
      <c r="D46" s="51" t="str">
        <f t="shared" si="16"/>
        <v>0.000952398075453683-0.000172569525254838i</v>
      </c>
      <c r="E46" s="51" t="str">
        <f t="shared" si="17"/>
        <v>0.224559744711027-1.06370405389434i</v>
      </c>
      <c r="F46" s="70" t="str">
        <f t="shared" si="18"/>
        <v>0.0000303073650949596-0.00105182186231738i</v>
      </c>
      <c r="G46" s="70" t="str">
        <f t="shared" si="19"/>
        <v>0.00374496050811492-0.129969442200225i</v>
      </c>
      <c r="H46" s="72">
        <f t="shared" si="20"/>
        <v>0.13002338495457255</v>
      </c>
      <c r="I46" s="51" t="str">
        <f t="shared" si="21"/>
        <v>1.70528968646546-0.00977350269196798i</v>
      </c>
      <c r="J46" s="73" t="str">
        <f t="shared" si="22"/>
        <v>0.05291890074074-0.22387159418991i</v>
      </c>
      <c r="K46" s="73" t="str">
        <f t="shared" si="23"/>
        <v>0.0880540460238031-0.38228312368348i</v>
      </c>
      <c r="L46" s="73" t="str">
        <f t="shared" si="24"/>
        <v>-0.0493553654227626-0.0128759704463001i</v>
      </c>
      <c r="M46" s="70">
        <f t="shared" si="25"/>
        <v>-25.847356534854917</v>
      </c>
      <c r="N46" s="70">
        <f t="shared" si="26"/>
        <v>14.621588879832814</v>
      </c>
      <c r="O46" s="70">
        <f t="shared" si="12"/>
        <v>14.621588879832814</v>
      </c>
    </row>
    <row r="47" spans="1:18" ht="15" x14ac:dyDescent="0.2">
      <c r="A47" s="71">
        <f t="shared" si="13"/>
        <v>46</v>
      </c>
      <c r="B47" s="70">
        <f t="shared" si="27"/>
        <v>46000</v>
      </c>
      <c r="C47" s="70">
        <f t="shared" si="15"/>
        <v>123.56602087912086</v>
      </c>
      <c r="D47" s="51" t="str">
        <f t="shared" si="16"/>
        <v>0.000952396793513551-0.000168818014052876i</v>
      </c>
      <c r="E47" s="51" t="str">
        <f t="shared" si="17"/>
        <v>0.176553152797926-1.05747982144591i</v>
      </c>
      <c r="F47" s="70" t="str">
        <f t="shared" si="18"/>
        <v>-0.0000103729867480357-0.00103694574378049i</v>
      </c>
      <c r="G47" s="70" t="str">
        <f t="shared" si="19"/>
        <v>-0.00128174869708662-0.128131259426496i</v>
      </c>
      <c r="H47" s="72">
        <f t="shared" si="20"/>
        <v>0.1281376701908635</v>
      </c>
      <c r="I47" s="51" t="str">
        <f t="shared" si="21"/>
        <v>1.70528968646546-0.00956103524214262i</v>
      </c>
      <c r="J47" s="73" t="str">
        <f t="shared" si="22"/>
        <v>0.0507586049866209-0.219504371269533i</v>
      </c>
      <c r="K47" s="73" t="str">
        <f t="shared" si="23"/>
        <v>0.0844594365535465-0.374803845271139i</v>
      </c>
      <c r="L47" s="73" t="str">
        <f t="shared" si="24"/>
        <v>-0.0481323445052438-0.0103414896357188i</v>
      </c>
      <c r="M47" s="70">
        <f t="shared" si="25"/>
        <v>-26.155266927822865</v>
      </c>
      <c r="N47" s="70">
        <f t="shared" si="26"/>
        <v>12.125955901950533</v>
      </c>
      <c r="O47" s="70">
        <f t="shared" si="12"/>
        <v>12.125955901950533</v>
      </c>
    </row>
    <row r="48" spans="1:18" ht="15" x14ac:dyDescent="0.2">
      <c r="A48" s="71">
        <f t="shared" si="13"/>
        <v>47</v>
      </c>
      <c r="B48" s="70">
        <f t="shared" si="27"/>
        <v>47000</v>
      </c>
      <c r="C48" s="70">
        <f t="shared" si="15"/>
        <v>123.56602087912086</v>
      </c>
      <c r="D48" s="51" t="str">
        <f t="shared" si="16"/>
        <v>0.000952395592525703-0.000165226141612077i</v>
      </c>
      <c r="E48" s="51" t="str">
        <f t="shared" si="17"/>
        <v>0.129744340337863-1.04776357317518i</v>
      </c>
      <c r="F48" s="70" t="str">
        <f t="shared" si="18"/>
        <v>-0.0000495499946244826-0.00101932256585105i</v>
      </c>
      <c r="G48" s="70" t="str">
        <f t="shared" si="19"/>
        <v>-0.00612269567032914-0.12595363345451i</v>
      </c>
      <c r="H48" s="72">
        <f t="shared" si="20"/>
        <v>0.12610235994090091</v>
      </c>
      <c r="I48" s="51" t="str">
        <f t="shared" si="21"/>
        <v>1.70528968646546-0.00935760896039493i</v>
      </c>
      <c r="J48" s="73" t="str">
        <f t="shared" si="22"/>
        <v>0.0487257675811212-0.215294141013525i</v>
      </c>
      <c r="K48" s="73" t="str">
        <f t="shared" si="23"/>
        <v>0.0810769105381304-0.367594834906124i</v>
      </c>
      <c r="L48" s="73" t="str">
        <f t="shared" si="24"/>
        <v>-0.0467963143446525-0.00796126016742869i</v>
      </c>
      <c r="M48" s="70">
        <f t="shared" si="25"/>
        <v>-26.47185474155911</v>
      </c>
      <c r="N48" s="70">
        <f t="shared" si="26"/>
        <v>9.6550502302660277</v>
      </c>
      <c r="O48" s="70">
        <f t="shared" si="12"/>
        <v>9.6550502302660277</v>
      </c>
    </row>
    <row r="49" spans="1:15" ht="15" x14ac:dyDescent="0.2">
      <c r="A49" s="71">
        <f t="shared" si="13"/>
        <v>48</v>
      </c>
      <c r="B49" s="70">
        <f t="shared" si="27"/>
        <v>48000</v>
      </c>
      <c r="C49" s="70">
        <f t="shared" si="15"/>
        <v>123.56602087912086</v>
      </c>
      <c r="D49" s="51" t="str">
        <f t="shared" si="16"/>
        <v>0.0009523944658149-0.000161783930510949i</v>
      </c>
      <c r="E49" s="51" t="str">
        <f t="shared" si="17"/>
        <v>0.0845058374562984-1.03476535660774i</v>
      </c>
      <c r="F49" s="70" t="str">
        <f t="shared" si="18"/>
        <v>-0.0000869255146261319-0.000999176485584992i</v>
      </c>
      <c r="G49" s="70" t="str">
        <f t="shared" si="19"/>
        <v>-0.0107410399552209-0.123464262479722i</v>
      </c>
      <c r="H49" s="72">
        <f t="shared" si="20"/>
        <v>0.12393060174541776</v>
      </c>
      <c r="I49" s="51" t="str">
        <f t="shared" si="21"/>
        <v>1.70528968646545-0.00916265877371998i</v>
      </c>
      <c r="J49" s="73" t="str">
        <f t="shared" si="22"/>
        <v>0.0468107226492827-0.211233233404061i</v>
      </c>
      <c r="K49" s="73" t="str">
        <f t="shared" si="23"/>
        <v>0.0778903845104655-0.360642765041281i</v>
      </c>
      <c r="L49" s="73" t="str">
        <f t="shared" si="24"/>
        <v>-0.0453631167366239-0.00574300052897684i</v>
      </c>
      <c r="M49" s="70">
        <f t="shared" si="25"/>
        <v>-26.796886686463573</v>
      </c>
      <c r="N49" s="70">
        <f t="shared" si="26"/>
        <v>7.215298624192144</v>
      </c>
      <c r="O49" s="70">
        <f t="shared" si="12"/>
        <v>7.215298624192144</v>
      </c>
    </row>
    <row r="50" spans="1:15" ht="15" x14ac:dyDescent="0.2">
      <c r="A50" s="71">
        <f t="shared" si="13"/>
        <v>49</v>
      </c>
      <c r="B50" s="70">
        <f t="shared" si="27"/>
        <v>49000</v>
      </c>
      <c r="C50" s="70">
        <f t="shared" si="15"/>
        <v>123.56602087912086</v>
      </c>
      <c r="D50" s="51" t="str">
        <f t="shared" si="16"/>
        <v>0.000952393407380017-0.000158482217811282i</v>
      </c>
      <c r="E50" s="51" t="str">
        <f t="shared" si="17"/>
        <v>0.0411656036515804-1.01874473683204i</v>
      </c>
      <c r="F50" s="70" t="str">
        <f t="shared" si="18"/>
        <v>-0.000122247075748129-0.000976769787326168i</v>
      </c>
      <c r="G50" s="70" t="str">
        <f t="shared" si="19"/>
        <v>-0.0151055847143048-0.12069555593484i</v>
      </c>
      <c r="H50" s="72">
        <f t="shared" si="20"/>
        <v>0.12163714856893484</v>
      </c>
      <c r="I50" s="51" t="str">
        <f t="shared" si="21"/>
        <v>1.70528968646546-0.00897566573752163i</v>
      </c>
      <c r="J50" s="73" t="str">
        <f t="shared" si="22"/>
        <v>0.0450046876606795-0.207314412787062i</v>
      </c>
      <c r="K50" s="73" t="str">
        <f t="shared" si="23"/>
        <v>0.0748852448386089-0.353935077014484i</v>
      </c>
      <c r="L50" s="73" t="str">
        <f t="shared" si="24"/>
        <v>-0.0438495762948646-0.00369191996790623i</v>
      </c>
      <c r="M50" s="70">
        <f t="shared" si="25"/>
        <v>-27.130014240831891</v>
      </c>
      <c r="N50" s="70">
        <f t="shared" si="26"/>
        <v>4.8126739110364554</v>
      </c>
      <c r="O50" s="70">
        <f t="shared" si="12"/>
        <v>4.8126739110364554</v>
      </c>
    </row>
    <row r="51" spans="1:15" ht="15" x14ac:dyDescent="0.2">
      <c r="A51" s="71">
        <f t="shared" si="13"/>
        <v>50</v>
      </c>
      <c r="B51" s="70">
        <f t="shared" si="27"/>
        <v>50000</v>
      </c>
      <c r="C51" s="70">
        <f t="shared" si="15"/>
        <v>123.56602087912086</v>
      </c>
      <c r="D51" s="51" t="str">
        <f t="shared" si="16"/>
        <v>0.000952392411813982-0.000155312573609828i</v>
      </c>
      <c r="E51" s="51" t="str">
        <f t="shared" si="17"/>
        <v>-i</v>
      </c>
      <c r="F51" s="70" t="str">
        <f t="shared" si="18"/>
        <v>-0.000155312573609828-0.000952392411813982i</v>
      </c>
      <c r="G51" s="70" t="str">
        <f t="shared" si="19"/>
        <v>-0.019191356713462-0.117683340643323i</v>
      </c>
      <c r="H51" s="72">
        <f t="shared" si="20"/>
        <v>0.11923790017220087</v>
      </c>
      <c r="I51" s="51" t="str">
        <f t="shared" si="21"/>
        <v>1.70528968646546-0.00879615242277123i</v>
      </c>
      <c r="J51" s="73" t="str">
        <f t="shared" si="22"/>
        <v>0.0432996700791745-0.203530854295385i</v>
      </c>
      <c r="K51" s="73" t="str">
        <f t="shared" si="23"/>
        <v>0.0720481923962543-0.347459937205296i</v>
      </c>
      <c r="L51" s="73" t="str">
        <f t="shared" si="24"/>
        <v>-0.0422729487108751-0.00181064436996013i</v>
      </c>
      <c r="M51" s="70">
        <f t="shared" si="25"/>
        <v>-27.470788882039471</v>
      </c>
      <c r="N51" s="70">
        <f t="shared" si="26"/>
        <v>2.4526064933419605</v>
      </c>
      <c r="O51" s="70">
        <f t="shared" si="12"/>
        <v>2.4526064933419605</v>
      </c>
    </row>
    <row r="52" spans="1:15" ht="15" x14ac:dyDescent="0.2">
      <c r="A52" s="71">
        <f t="shared" si="13"/>
        <v>51</v>
      </c>
      <c r="B52" s="70">
        <f t="shared" si="27"/>
        <v>51000</v>
      </c>
      <c r="C52" s="70">
        <f t="shared" si="15"/>
        <v>123.56602087912086</v>
      </c>
      <c r="D52" s="51" t="str">
        <f t="shared" si="16"/>
        <v>0.000952391474234574-0.000152267229172141i</v>
      </c>
      <c r="E52" s="51" t="str">
        <f t="shared" si="17"/>
        <v>-0.0387703964914096-0.978856545080144i</v>
      </c>
      <c r="F52" s="70" t="str">
        <f t="shared" si="18"/>
        <v>-0.000185972368947481-0.000926351167185388i</v>
      </c>
      <c r="G52" s="70" t="str">
        <f t="shared" si="19"/>
        <v>-0.022979865624304-0.114465527665828i</v>
      </c>
      <c r="H52" s="72">
        <f t="shared" si="20"/>
        <v>0.11674943789126996</v>
      </c>
      <c r="I52" s="51" t="str">
        <f t="shared" si="21"/>
        <v>1.70528968646545-0.00862367884585409i</v>
      </c>
      <c r="J52" s="73" t="str">
        <f t="shared" si="22"/>
        <v>0.0416883850916251-0.199876120735013i</v>
      </c>
      <c r="K52" s="73" t="str">
        <f t="shared" si="23"/>
        <v>0.0693671056679744-0.341206194504773i</v>
      </c>
      <c r="L52" s="73" t="str">
        <f t="shared" si="24"/>
        <v>-0.0406503938638349-0.00009926985303612i</v>
      </c>
      <c r="M52" s="70">
        <f t="shared" si="25"/>
        <v>-27.818678943628594</v>
      </c>
      <c r="N52" s="70">
        <f t="shared" si="26"/>
        <v>0.13991825822293436</v>
      </c>
      <c r="O52" s="70">
        <f t="shared" si="12"/>
        <v>0.13991825822293436</v>
      </c>
    </row>
    <row r="53" spans="1:15" ht="15" x14ac:dyDescent="0.2">
      <c r="A53" s="71">
        <f t="shared" si="13"/>
        <v>52</v>
      </c>
      <c r="B53" s="70">
        <f t="shared" si="27"/>
        <v>52000</v>
      </c>
      <c r="C53" s="70">
        <f t="shared" si="15"/>
        <v>123.56602087912086</v>
      </c>
      <c r="D53" s="51" t="str">
        <f t="shared" si="16"/>
        <v>0.000952390590224462-0.000149339013358666i</v>
      </c>
      <c r="E53" s="51" t="str">
        <f t="shared" si="17"/>
        <v>-0.0749821807052913-0.955655244283123i</v>
      </c>
      <c r="F53" s="70" t="str">
        <f t="shared" si="18"/>
        <v>-0.000214128934630506-0.000898959297267897i</v>
      </c>
      <c r="G53" s="70" t="str">
        <f t="shared" si="19"/>
        <v>-0.026459060407377-0.111080823295685i</v>
      </c>
      <c r="H53" s="72">
        <f t="shared" si="20"/>
        <v>0.11418857728200497</v>
      </c>
      <c r="I53" s="51" t="str">
        <f t="shared" si="21"/>
        <v>1.70528968646545-0.00845783886804923i</v>
      </c>
      <c r="J53" s="73" t="str">
        <f t="shared" si="22"/>
        <v>0.0401641829718042-0.196344140167237i</v>
      </c>
      <c r="K53" s="73" t="str">
        <f t="shared" si="23"/>
        <v>0.0668309198869088-0.335163339412958i</v>
      </c>
      <c r="L53" s="73" t="str">
        <f t="shared" si="24"/>
        <v>-0.0389985030268908+0.00144447344121986i</v>
      </c>
      <c r="M53" s="70">
        <f t="shared" si="25"/>
        <v>-28.17308725077239</v>
      </c>
      <c r="N53" s="70">
        <f t="shared" si="26"/>
        <v>357.87877971549165</v>
      </c>
      <c r="O53" s="70">
        <f t="shared" si="12"/>
        <v>-2.1212202845083539</v>
      </c>
    </row>
    <row r="54" spans="1:15" ht="15" x14ac:dyDescent="0.2">
      <c r="A54" s="71">
        <f t="shared" si="13"/>
        <v>53</v>
      </c>
      <c r="B54" s="70">
        <f t="shared" si="27"/>
        <v>53000</v>
      </c>
      <c r="C54" s="70">
        <f t="shared" si="15"/>
        <v>123.56602087912086</v>
      </c>
      <c r="D54" s="51" t="str">
        <f t="shared" si="16"/>
        <v>0.000952389755779068-0.000146521296247864i</v>
      </c>
      <c r="E54" s="51" t="str">
        <f t="shared" si="17"/>
        <v>-0.108527966006091-0.93074145603929i</v>
      </c>
      <c r="F54" s="70" t="str">
        <f t="shared" si="18"/>
        <v>-0.000239734367650241-0.000870526969752357i</v>
      </c>
      <c r="G54" s="70" t="str">
        <f t="shared" si="19"/>
        <v>-0.0296230218785125-0.107567553720258i</v>
      </c>
      <c r="H54" s="72">
        <f t="shared" si="20"/>
        <v>0.11157195901558518</v>
      </c>
      <c r="I54" s="51" t="str">
        <f t="shared" si="21"/>
        <v>1.70528968646546-0.00829825700261436i</v>
      </c>
      <c r="J54" s="73" t="str">
        <f t="shared" si="22"/>
        <v>0.0387209848385007-0.19292918434399i</v>
      </c>
      <c r="K54" s="73" t="str">
        <f t="shared" si="23"/>
        <v>0.0644295201398895-0.329321464963584i</v>
      </c>
      <c r="L54" s="73" t="str">
        <f t="shared" si="24"/>
        <v>-0.0373329014584304+0.00282497109286203i</v>
      </c>
      <c r="M54" s="70">
        <f t="shared" si="25"/>
        <v>-28.533368732215706</v>
      </c>
      <c r="N54" s="70">
        <f t="shared" si="26"/>
        <v>355.67268972679119</v>
      </c>
      <c r="O54" s="70">
        <f t="shared" si="12"/>
        <v>-4.3273102732088091</v>
      </c>
    </row>
    <row r="55" spans="1:15" ht="15" x14ac:dyDescent="0.2">
      <c r="A55" s="71">
        <f t="shared" si="13"/>
        <v>54</v>
      </c>
      <c r="B55" s="70">
        <f t="shared" si="27"/>
        <v>54000</v>
      </c>
      <c r="C55" s="70">
        <f t="shared" si="15"/>
        <v>123.56602087912086</v>
      </c>
      <c r="D55" s="51" t="str">
        <f t="shared" si="16"/>
        <v>0.000952388967261148-0.000143807939023444i</v>
      </c>
      <c r="E55" s="51" t="str">
        <f t="shared" si="17"/>
        <v>-0.139353101464065-0.9044552258485i</v>
      </c>
      <c r="F55" s="70" t="str">
        <f t="shared" si="18"/>
        <v>-0.000262786198356255-0.000841353096161729i</v>
      </c>
      <c r="G55" s="70" t="str">
        <f t="shared" si="19"/>
        <v>-0.0324714448728338-0.103962654247033i</v>
      </c>
      <c r="H55" s="72">
        <f t="shared" si="20"/>
        <v>0.10891569313105257</v>
      </c>
      <c r="I55" s="51" t="str">
        <f t="shared" si="21"/>
        <v>1.70528968646545-0.00814458557663997i</v>
      </c>
      <c r="J55" s="73" t="str">
        <f t="shared" si="22"/>
        <v>0.0373532257393393-0.189625848096206i</v>
      </c>
      <c r="K55" s="73" t="str">
        <f t="shared" si="23"/>
        <v>0.0621536466621486-0.323671229589322i</v>
      </c>
      <c r="L55" s="73" t="str">
        <f t="shared" si="24"/>
        <v>-0.0356679388427423+0.00404841441040279i</v>
      </c>
      <c r="M55" s="70">
        <f t="shared" si="25"/>
        <v>-28.898847308199009</v>
      </c>
      <c r="N55" s="70">
        <f t="shared" si="26"/>
        <v>353.52447597112382</v>
      </c>
      <c r="O55" s="70">
        <f t="shared" si="12"/>
        <v>-6.4755240288761797</v>
      </c>
    </row>
    <row r="56" spans="1:15" ht="15" x14ac:dyDescent="0.2">
      <c r="A56" s="71">
        <f t="shared" si="13"/>
        <v>55</v>
      </c>
      <c r="B56" s="70">
        <f t="shared" si="27"/>
        <v>55000.000000000007</v>
      </c>
      <c r="C56" s="70">
        <f t="shared" si="15"/>
        <v>123.56602087912086</v>
      </c>
      <c r="D56" s="51" t="str">
        <f t="shared" si="16"/>
        <v>0.000952388221361076-0.000141193249328434i</v>
      </c>
      <c r="E56" s="51" t="str">
        <f t="shared" si="17"/>
        <v>-0.167450761502273-0.877123036440475i</v>
      </c>
      <c r="F56" s="70" t="str">
        <f t="shared" si="18"/>
        <v>-0.000283321984488561-0.000811718731471344i</v>
      </c>
      <c r="G56" s="70" t="str">
        <f t="shared" si="19"/>
        <v>-0.0350089702508275-0.100300853720962i</v>
      </c>
      <c r="H56" s="72">
        <f t="shared" si="20"/>
        <v>0.10623506603366489</v>
      </c>
      <c r="I56" s="51" t="str">
        <f t="shared" si="21"/>
        <v>1.70528968646545-0.00799650220251926i</v>
      </c>
      <c r="J56" s="73" t="str">
        <f t="shared" si="22"/>
        <v>0.0360558041389606-0.186429029732103i</v>
      </c>
      <c r="K56" s="73" t="str">
        <f t="shared" si="23"/>
        <v>0.0599948107885215-0.318203821977127i</v>
      </c>
      <c r="L56" s="73" t="str">
        <f t="shared" si="24"/>
        <v>-0.0340164715476782+0.00512245739638056i</v>
      </c>
      <c r="M56" s="70">
        <f t="shared" si="25"/>
        <v>-29.268831492333021</v>
      </c>
      <c r="N56" s="70">
        <f t="shared" si="26"/>
        <v>351.43631339988303</v>
      </c>
      <c r="O56" s="70">
        <f>IF(N56&gt;180,-(360-N56),N56)</f>
        <v>-8.5636866001169665</v>
      </c>
    </row>
    <row r="57" spans="1:15" ht="15" x14ac:dyDescent="0.2">
      <c r="A57" s="71">
        <f t="shared" si="13"/>
        <v>56</v>
      </c>
      <c r="B57" s="70">
        <f t="shared" si="27"/>
        <v>56000.000000000007</v>
      </c>
      <c r="C57" s="70">
        <f t="shared" si="15"/>
        <v>123.56602087912086</v>
      </c>
      <c r="D57" s="51" t="str">
        <f t="shared" si="16"/>
        <v>0.000952387515062069-0.00013867194140275i</v>
      </c>
      <c r="E57" s="51" t="str">
        <f t="shared" si="17"/>
        <v>-0.192855936857753-0.84905129434231i</v>
      </c>
      <c r="F57" s="70" t="str">
        <f t="shared" si="18"/>
        <v>-0.000301413177805889-0.000781882145203795i</v>
      </c>
      <c r="G57" s="70" t="str">
        <f t="shared" si="19"/>
        <v>-0.0372444270220046-0.0966140654792639i</v>
      </c>
      <c r="H57" s="72">
        <f t="shared" si="20"/>
        <v>0.10354431414920338</v>
      </c>
      <c r="I57" s="51" t="str">
        <f t="shared" si="21"/>
        <v>1.70528968646545-0.00785370752033144i</v>
      </c>
      <c r="J57" s="73" t="str">
        <f t="shared" si="22"/>
        <v>0.0348240370157494-0.183333912470321i</v>
      </c>
      <c r="K57" s="73" t="str">
        <f t="shared" si="23"/>
        <v>0.0579452202369486-0.312910927916397i</v>
      </c>
      <c r="L57" s="73" t="str">
        <f t="shared" si="24"/>
        <v>-0.032389733405281+0.00605586491698707i</v>
      </c>
      <c r="M57" s="70">
        <f t="shared" si="25"/>
        <v>-29.642628301375922</v>
      </c>
      <c r="N57" s="70">
        <f t="shared" si="26"/>
        <v>349.40975739164253</v>
      </c>
      <c r="O57" s="70">
        <f t="shared" ref="O57:O101" si="28">IF(N57&gt;180,-(360-N57),N57)</f>
        <v>-10.590242608357471</v>
      </c>
    </row>
    <row r="58" spans="1:15" ht="15" x14ac:dyDescent="0.2">
      <c r="A58" s="71">
        <f t="shared" si="13"/>
        <v>57</v>
      </c>
      <c r="B58" s="70">
        <f t="shared" si="27"/>
        <v>56999.999999999993</v>
      </c>
      <c r="C58" s="70">
        <f t="shared" si="15"/>
        <v>123.56602087912086</v>
      </c>
      <c r="D58" s="51" t="str">
        <f t="shared" si="16"/>
        <v>0.000952386845609627-0.000136239100416801i</v>
      </c>
      <c r="E58" s="51" t="str">
        <f t="shared" si="17"/>
        <v>-0.215638830467112-0.820521584554433i</v>
      </c>
      <c r="F58" s="70" t="str">
        <f t="shared" si="18"/>
        <v>-0.000317158708091786-0.000752075523390639i</v>
      </c>
      <c r="G58" s="70" t="str">
        <f t="shared" si="19"/>
        <v>-0.0391900395460646-0.0929309798259634i</v>
      </c>
      <c r="H58" s="72">
        <f t="shared" si="20"/>
        <v>0.10085646340733807</v>
      </c>
      <c r="I58" s="51" t="str">
        <f t="shared" si="21"/>
        <v>1.70528968646546-0.0077159231778695i</v>
      </c>
      <c r="J58" s="73" t="str">
        <f t="shared" si="22"/>
        <v>0.0336536198786038-0.18033594690929i</v>
      </c>
      <c r="K58" s="73" t="str">
        <f t="shared" si="23"/>
        <v>0.0559977125786516-0.307784699109036i</v>
      </c>
      <c r="L58" s="73" t="str">
        <f t="shared" si="24"/>
        <v>-0.0307972862340886+0.00685817223180995i</v>
      </c>
      <c r="M58" s="70">
        <f t="shared" si="25"/>
        <v>-30.019555222856784</v>
      </c>
      <c r="N58" s="70">
        <f t="shared" si="26"/>
        <v>347.44578810406074</v>
      </c>
      <c r="O58" s="70">
        <f t="shared" si="28"/>
        <v>-12.554211895939261</v>
      </c>
    </row>
    <row r="59" spans="1:15" ht="15" x14ac:dyDescent="0.2">
      <c r="A59" s="71">
        <f t="shared" si="13"/>
        <v>58</v>
      </c>
      <c r="B59" s="70">
        <f t="shared" si="27"/>
        <v>57999.999999999993</v>
      </c>
      <c r="C59" s="70">
        <f t="shared" si="15"/>
        <v>123.56602087912086</v>
      </c>
      <c r="D59" s="51" t="str">
        <f t="shared" si="16"/>
        <v>0.000952386210484648-0.000133890150494733i</v>
      </c>
      <c r="E59" s="51" t="str">
        <f t="shared" si="17"/>
        <v>-0.235898099010801-0.791787600846437i</v>
      </c>
      <c r="F59" s="70" t="str">
        <f t="shared" si="18"/>
        <v>-0.000330678657614622-0.000722503160700892i</v>
      </c>
      <c r="G59" s="70" t="str">
        <f t="shared" si="19"/>
        <v>-0.040860645911088-0.0892768406403972i</v>
      </c>
      <c r="H59" s="72">
        <f t="shared" si="20"/>
        <v>9.8183230029380231E-2</v>
      </c>
      <c r="I59" s="51" t="str">
        <f t="shared" si="21"/>
        <v>1.70528968646545-0.00758289001963033i</v>
      </c>
      <c r="J59" s="73" t="str">
        <f t="shared" si="22"/>
        <v>0.0325405911070791-0.177430834517231i</v>
      </c>
      <c r="K59" s="73" t="str">
        <f t="shared" si="23"/>
        <v>0.0541456959021559-0.302817723886731i</v>
      </c>
      <c r="L59" s="73" t="str">
        <f t="shared" si="24"/>
        <v>-0.0292470377863909+0.00753937112691715i</v>
      </c>
      <c r="M59" s="70">
        <f t="shared" si="25"/>
        <v>-30.398950132894306</v>
      </c>
      <c r="N59" s="70">
        <f t="shared" si="26"/>
        <v>345.54486258629402</v>
      </c>
      <c r="O59" s="70">
        <f t="shared" si="28"/>
        <v>-14.455137413705984</v>
      </c>
    </row>
    <row r="60" spans="1:15" ht="15" x14ac:dyDescent="0.2">
      <c r="A60" s="71">
        <f t="shared" si="13"/>
        <v>59</v>
      </c>
      <c r="B60" s="70">
        <f t="shared" si="27"/>
        <v>59000</v>
      </c>
      <c r="C60" s="70">
        <f t="shared" si="15"/>
        <v>123.56602087912086</v>
      </c>
      <c r="D60" s="51" t="str">
        <f t="shared" si="16"/>
        <v>0.000952385607379683-0.000131620825989533i</v>
      </c>
      <c r="E60" s="51" t="str">
        <f t="shared" si="17"/>
        <v>-0.253754296104207-0.763073571363313i</v>
      </c>
      <c r="F60" s="70" t="str">
        <f t="shared" si="18"/>
        <v>-0.000342108313174031-0.000693340936686605i</v>
      </c>
      <c r="G60" s="70" t="str">
        <f t="shared" si="19"/>
        <v>-0.0422729629685831-0.0856733806589662i</v>
      </c>
      <c r="H60" s="72">
        <f t="shared" si="20"/>
        <v>9.5534975541313238E-2</v>
      </c>
      <c r="I60" s="51" t="str">
        <f t="shared" si="21"/>
        <v>1.70528968646546-0.0074543664599756i</v>
      </c>
      <c r="J60" s="73" t="str">
        <f t="shared" si="22"/>
        <v>0.031481300096969-0.17461451211504i</v>
      </c>
      <c r="K60" s="73" t="str">
        <f t="shared" si="23"/>
        <v>0.05238309580935-0.298002999764535i</v>
      </c>
      <c r="L60" s="73" t="str">
        <f t="shared" si="24"/>
        <v>-0.0277453131056692+0.00810963286620333i</v>
      </c>
      <c r="M60" s="70">
        <f t="shared" si="25"/>
        <v>-30.780179176419335</v>
      </c>
      <c r="N60" s="70">
        <f t="shared" si="26"/>
        <v>343.70697149212492</v>
      </c>
      <c r="O60" s="70">
        <f t="shared" si="28"/>
        <v>-16.293028507875079</v>
      </c>
    </row>
    <row r="61" spans="1:15" ht="15" x14ac:dyDescent="0.2">
      <c r="A61" s="71">
        <f t="shared" si="13"/>
        <v>60</v>
      </c>
      <c r="B61" s="70">
        <f t="shared" si="27"/>
        <v>60000</v>
      </c>
      <c r="C61" s="70">
        <f t="shared" si="15"/>
        <v>123.56602087912086</v>
      </c>
      <c r="D61" s="51" t="str">
        <f t="shared" si="16"/>
        <v>0.000952385034177958-0.000129427145630633i</v>
      </c>
      <c r="E61" s="51" t="str">
        <f t="shared" si="17"/>
        <v>-0.269343780607248-0.734573947110676i</v>
      </c>
      <c r="F61" s="70" t="str">
        <f t="shared" si="18"/>
        <v>-0.000351592794928417-0.000664736837007879i</v>
      </c>
      <c r="G61" s="70" t="str">
        <f t="shared" si="19"/>
        <v>-0.0434449226390732-0.0821388858808363i</v>
      </c>
      <c r="H61" s="72">
        <f t="shared" si="20"/>
        <v>9.2920707470725297E-2</v>
      </c>
      <c r="I61" s="51" t="str">
        <f t="shared" si="21"/>
        <v>1.70528968646546-0.00733012701897602i</v>
      </c>
      <c r="J61" s="73" t="str">
        <f t="shared" si="22"/>
        <v>0.0304723787609727-0.171883137316086i</v>
      </c>
      <c r="K61" s="73" t="str">
        <f t="shared" si="23"/>
        <v>0.0507043079942089-0.293333907749336i</v>
      </c>
      <c r="L61" s="73" t="str">
        <f t="shared" si="24"/>
        <v>-0.0262969651118786+0.00857907356158384i</v>
      </c>
      <c r="M61" s="70">
        <f t="shared" si="25"/>
        <v>-31.162642714936556</v>
      </c>
      <c r="N61" s="70">
        <f t="shared" si="26"/>
        <v>341.93169764921709</v>
      </c>
      <c r="O61" s="70">
        <f t="shared" si="28"/>
        <v>-18.068302350782915</v>
      </c>
    </row>
    <row r="62" spans="1:15" ht="15" x14ac:dyDescent="0.2">
      <c r="A62" s="71">
        <f t="shared" si="13"/>
        <v>61</v>
      </c>
      <c r="B62" s="70">
        <f t="shared" si="27"/>
        <v>61000</v>
      </c>
      <c r="C62" s="70">
        <f t="shared" si="15"/>
        <v>123.56602087912086</v>
      </c>
      <c r="D62" s="51" t="str">
        <f t="shared" si="16"/>
        <v>0.000952384488934763-0.000127305389214363i</v>
      </c>
      <c r="E62" s="51" t="str">
        <f t="shared" si="17"/>
        <v>-0.282813264215408-0.706454099800979i</v>
      </c>
      <c r="F62" s="70" t="str">
        <f t="shared" si="18"/>
        <v>-0.00035928238024101-0.000636812274118896i</v>
      </c>
      <c r="G62" s="70" t="str">
        <f t="shared" si="19"/>
        <v>-0.0443950940983609-0.0786883587598559i</v>
      </c>
      <c r="H62" s="72">
        <f t="shared" si="20"/>
        <v>9.0348116661732966E-2</v>
      </c>
      <c r="I62" s="51" t="str">
        <f t="shared" si="21"/>
        <v>1.70528968646545-0.00720996100227146i</v>
      </c>
      <c r="J62" s="73" t="str">
        <f t="shared" si="22"/>
        <v>0.0295107159922182-0.169233074881492i</v>
      </c>
      <c r="K62" s="73" t="str">
        <f t="shared" si="23"/>
        <v>0.0491041557515507-0.288804188315697i</v>
      </c>
      <c r="L62" s="73" t="str">
        <f t="shared" si="24"/>
        <v>-0.0249055111967452+0.00895756369189825i</v>
      </c>
      <c r="M62" s="70">
        <f t="shared" si="25"/>
        <v>-31.545779512332679</v>
      </c>
      <c r="N62" s="70">
        <f t="shared" si="26"/>
        <v>340.21827422681019</v>
      </c>
      <c r="O62" s="70">
        <f t="shared" si="28"/>
        <v>-19.781725773189805</v>
      </c>
    </row>
    <row r="63" spans="1:15" ht="15" x14ac:dyDescent="0.2">
      <c r="A63" s="71">
        <f t="shared" si="13"/>
        <v>62</v>
      </c>
      <c r="B63" s="70">
        <f t="shared" si="27"/>
        <v>62000</v>
      </c>
      <c r="C63" s="70">
        <f t="shared" si="15"/>
        <v>123.56602087912086</v>
      </c>
      <c r="D63" s="51" t="str">
        <f t="shared" si="16"/>
        <v>0.000952383969860955-0.000125252076550177i</v>
      </c>
      <c r="E63" s="51" t="str">
        <f t="shared" si="17"/>
        <v>-0.294315093739357-0.678851778714291i</v>
      </c>
      <c r="F63" s="70" t="str">
        <f t="shared" si="18"/>
        <v>-0.000365328572319234-0.000609663975308173i</v>
      </c>
      <c r="G63" s="70" t="str">
        <f t="shared" si="19"/>
        <v>-0.0451421979949379-0.0753337515021775i</v>
      </c>
      <c r="H63" s="72">
        <f t="shared" si="20"/>
        <v>8.782364234763898E-2</v>
      </c>
      <c r="I63" s="51" t="str">
        <f t="shared" si="21"/>
        <v>1.70528968646545-0.00709367130868645i</v>
      </c>
      <c r="J63" s="73" t="str">
        <f t="shared" si="22"/>
        <v>0.0285934347484632-0.166660883946259i</v>
      </c>
      <c r="K63" s="73" t="str">
        <f t="shared" si="23"/>
        <v>0.0475778518464472-0.284407918958463i</v>
      </c>
      <c r="L63" s="73" t="str">
        <f t="shared" si="24"/>
        <v>-0.0235732843002944+0.00925458052094352i</v>
      </c>
      <c r="M63" s="70">
        <f t="shared" si="25"/>
        <v>-31.929069369230447</v>
      </c>
      <c r="N63" s="70">
        <f t="shared" si="26"/>
        <v>338.56564074763992</v>
      </c>
      <c r="O63" s="70">
        <f t="shared" si="28"/>
        <v>-21.434359252360082</v>
      </c>
    </row>
    <row r="64" spans="1:15" ht="15" x14ac:dyDescent="0.2">
      <c r="A64" s="71">
        <f t="shared" si="13"/>
        <v>63</v>
      </c>
      <c r="B64" s="70">
        <f t="shared" si="27"/>
        <v>63000</v>
      </c>
      <c r="C64" s="70">
        <f t="shared" si="15"/>
        <v>123.56602087912086</v>
      </c>
      <c r="D64" s="51" t="str">
        <f t="shared" si="16"/>
        <v>0.000952383475308241-0.000123263948411986i</v>
      </c>
      <c r="E64" s="51" t="str">
        <f t="shared" si="17"/>
        <v>-0.304003299211843-0.65187909633581i</v>
      </c>
      <c r="F64" s="70" t="str">
        <f t="shared" si="18"/>
        <v>-0.000369880909910135-0.000583366232257972i</v>
      </c>
      <c r="G64" s="70" t="str">
        <f t="shared" si="19"/>
        <v>-0.045704712236744-0.0720842440353626i</v>
      </c>
      <c r="H64" s="72">
        <f t="shared" si="20"/>
        <v>8.5352556838054275E-2</v>
      </c>
      <c r="I64" s="51" t="str">
        <f t="shared" si="21"/>
        <v>1.70528968646546-0.00698107335140573i</v>
      </c>
      <c r="J64" s="73" t="str">
        <f t="shared" si="22"/>
        <v>0.0277178714579756-0.164163306069946i</v>
      </c>
      <c r="K64" s="73" t="str">
        <f t="shared" si="23"/>
        <v>0.0461209642467776-0.280139493230945i</v>
      </c>
      <c r="L64" s="73" t="str">
        <f t="shared" si="24"/>
        <v>-0.0223015889929824+0.00947910008235669i</v>
      </c>
      <c r="M64" s="70">
        <f t="shared" si="25"/>
        <v>-32.312034434825819</v>
      </c>
      <c r="N64" s="70">
        <f t="shared" si="26"/>
        <v>336.97249566906885</v>
      </c>
      <c r="O64" s="70">
        <f t="shared" si="28"/>
        <v>-23.027504330931151</v>
      </c>
    </row>
    <row r="65" spans="1:15" ht="15" x14ac:dyDescent="0.2">
      <c r="A65" s="71">
        <f t="shared" si="13"/>
        <v>64</v>
      </c>
      <c r="B65" s="70">
        <f t="shared" si="27"/>
        <v>64000</v>
      </c>
      <c r="C65" s="70">
        <f t="shared" si="15"/>
        <v>123.56602087912086</v>
      </c>
      <c r="D65" s="51" t="str">
        <f t="shared" si="16"/>
        <v>0.000952383003756092-0.00012133794927532i</v>
      </c>
      <c r="E65" s="51" t="str">
        <f t="shared" si="17"/>
        <v>-0.312030390352364-0.625624842811758i</v>
      </c>
      <c r="F65" s="70" t="str">
        <f t="shared" si="18"/>
        <v>-0.000373084475869443-0.000557973339344562i</v>
      </c>
      <c r="G65" s="70" t="str">
        <f t="shared" si="19"/>
        <v>-0.0461005641349595-0.0689465452994429i</v>
      </c>
      <c r="H65" s="72">
        <f t="shared" si="20"/>
        <v>8.293906270443166E-2</v>
      </c>
      <c r="I65" s="51" t="str">
        <f t="shared" si="21"/>
        <v>1.70528968646545-0.00687199408028998i</v>
      </c>
      <c r="J65" s="73" t="str">
        <f t="shared" si="22"/>
        <v>0.026881557485397-0.161737254065216i</v>
      </c>
      <c r="K65" s="73" t="str">
        <f t="shared" si="23"/>
        <v>0.0447293852834771-0.275993601178564i</v>
      </c>
      <c r="L65" s="73" t="str">
        <f t="shared" si="24"/>
        <v>-0.0210908552209925+0.00963952412330733i</v>
      </c>
      <c r="M65" s="70">
        <f t="shared" si="25"/>
        <v>-32.694239426626936</v>
      </c>
      <c r="N65" s="70">
        <f t="shared" si="26"/>
        <v>335.43734468657885</v>
      </c>
      <c r="O65" s="70">
        <f t="shared" si="28"/>
        <v>-24.562655313421146</v>
      </c>
    </row>
    <row r="66" spans="1:15" ht="15" x14ac:dyDescent="0.2">
      <c r="A66" s="71">
        <f t="shared" si="13"/>
        <v>65</v>
      </c>
      <c r="B66" s="70">
        <f t="shared" si="27"/>
        <v>65000</v>
      </c>
      <c r="C66" s="70">
        <f t="shared" ref="C66:C101" si="29">_ta1*_ta2*(rload/RS)</f>
        <v>123.56602087912086</v>
      </c>
      <c r="D66" s="51" t="str">
        <f t="shared" ref="D66:D101" si="30">IMDIV((COMPLEX(1,2*PI()*(B66)*(esrcout*0.001)*(cout*0.000001))),(COMPLEX(1,2*PI()*(B66)*rload*(cout*0.000001))))</f>
        <v>0.000952382553800034-0.00011947121164797i</v>
      </c>
      <c r="E66" s="51" t="str">
        <f t="shared" ref="E66:E101" si="31">IMDIV(1,(COMPLEX((1-(B66/(fpp*1000))^2),(B66/(fpp*1000)))))</f>
        <v>-0.318544850191589-0.60015696412908i</v>
      </c>
      <c r="F66" s="70" t="str">
        <f t="shared" ref="F66:F97" si="32">IMPRODUCT(D66,E66)</f>
        <v>-0.000375078037608783-0.000533522082961518i</v>
      </c>
      <c r="G66" s="70" t="str">
        <f t="shared" ref="G66:G97" si="33">IMPRODUCT(C66,F66)</f>
        <v>-0.0463469006264666-0.065925200842695i</v>
      </c>
      <c r="H66" s="72">
        <f t="shared" ref="H66:H97" si="34">IMABS(G66)</f>
        <v>8.0586396518452438E-2</v>
      </c>
      <c r="I66" s="51" t="str">
        <f t="shared" ref="I66:I101" si="35">IMDIV((COMPLEX(1,(2*PI()*B66*(rf*1000)*(Cz*0.000000001)))),(COMPLEX(0,2*PI()*B66*((Cz*0.000000001)+(Cp*0.000000000001))*(RII*1000))))</f>
        <v>1.70528968646545-0.00676627109443938i</v>
      </c>
      <c r="J66" s="73" t="str">
        <f t="shared" ref="J66:J101" si="36">IMDIV(1,(COMPLEX(1,2*PI()*B66*(((Cz*0.000000001)*(Cp*0.000000000001))/((Cz*0.000000001)+(Cp*0.000000000001)))*(rf*1000))))</f>
        <v>0.0260822024281827-0.159379801558033i</v>
      </c>
      <c r="K66" s="73" t="str">
        <f t="shared" ref="K66:K97" si="37">IMPRODUCT(I66,J66)</f>
        <v>0.0433993038567645-0.271965211080193i</v>
      </c>
      <c r="L66" s="73" t="str">
        <f t="shared" ref="L66:L97" si="38">IMPRODUCT(G66,K66)</f>
        <v>-0.019940784385795+0.00974363678859937i</v>
      </c>
      <c r="M66" s="70">
        <f t="shared" ref="M66:M97" si="39">20*LOG(IMABS(L66))</f>
        <v>-33.075290977666924</v>
      </c>
      <c r="N66" s="70">
        <f t="shared" ref="N66:N101" si="40">(180/PI())*IMARGUMENT(L66)+180</f>
        <v>333.95854427548369</v>
      </c>
      <c r="O66" s="70">
        <f t="shared" si="28"/>
        <v>-26.041455724516311</v>
      </c>
    </row>
    <row r="67" spans="1:15" ht="15" x14ac:dyDescent="0.2">
      <c r="A67" s="71">
        <f t="shared" si="13"/>
        <v>66</v>
      </c>
      <c r="B67" s="70">
        <f t="shared" si="27"/>
        <v>66000</v>
      </c>
      <c r="C67" s="70">
        <f t="shared" si="29"/>
        <v>123.56602087912086</v>
      </c>
      <c r="D67" s="51" t="str">
        <f t="shared" si="30"/>
        <v>0.000952382124141179-0.000117661041825118i</v>
      </c>
      <c r="E67" s="51" t="str">
        <f t="shared" si="31"/>
        <v>-0.323689253851623-0.57552507419739i</v>
      </c>
      <c r="F67" s="70" t="str">
        <f t="shared" si="32"/>
        <v>-0.000375992738971425-0.000510034177824843i</v>
      </c>
      <c r="G67" s="70" t="str">
        <f t="shared" si="33"/>
        <v>-0.0464599266341409-0.0630228938661698i</v>
      </c>
      <c r="H67" s="72">
        <f t="shared" si="34"/>
        <v>7.8296934385174086E-2</v>
      </c>
      <c r="I67" s="51" t="str">
        <f t="shared" si="35"/>
        <v>1.70528968646546-0.00666375183543274i</v>
      </c>
      <c r="J67" s="73" t="str">
        <f t="shared" si="36"/>
        <v>0.0253176790421888-0.157088173234351i</v>
      </c>
      <c r="K67" s="73" t="str">
        <f t="shared" si="37"/>
        <v>0.0421271803531721-0.268049552412425i</v>
      </c>
      <c r="L67" s="73" t="str">
        <f t="shared" si="38"/>
        <v>-0.0188504842010742+0.00979858572311661i</v>
      </c>
      <c r="M67" s="70">
        <f t="shared" si="39"/>
        <v>-33.454836311793642</v>
      </c>
      <c r="N67" s="70">
        <f t="shared" si="40"/>
        <v>332.53434027926545</v>
      </c>
      <c r="O67" s="70">
        <f t="shared" si="28"/>
        <v>-27.46565972073455</v>
      </c>
    </row>
    <row r="68" spans="1:15" ht="15" x14ac:dyDescent="0.2">
      <c r="A68" s="71">
        <f t="shared" ref="A68:A100" si="41">1+A67</f>
        <v>67</v>
      </c>
      <c r="B68" s="70">
        <f t="shared" ref="B68:B99" si="42">(fs*1000/2)*(A68/100)</f>
        <v>67000</v>
      </c>
      <c r="C68" s="70">
        <f t="shared" si="29"/>
        <v>123.56602087912086</v>
      </c>
      <c r="D68" s="51" t="str">
        <f t="shared" si="30"/>
        <v>0.000952381713576843-0.000115904906920136i</v>
      </c>
      <c r="E68" s="51" t="str">
        <f t="shared" si="31"/>
        <v>-0.327598930100435-0.551762903889622i</v>
      </c>
      <c r="F68" s="70" t="str">
        <f t="shared" si="32"/>
        <v>-0.000375951258432303-0.000487518576394106i</v>
      </c>
      <c r="G68" s="70" t="str">
        <f t="shared" si="33"/>
        <v>-0.0464548010489777-0.0602407305896734i</v>
      </c>
      <c r="H68" s="72">
        <f t="shared" si="34"/>
        <v>7.6072295630391695E-2</v>
      </c>
      <c r="I68" s="51" t="str">
        <f t="shared" si="35"/>
        <v>1.70528968646546-0.00656429285281435i</v>
      </c>
      <c r="J68" s="73" t="str">
        <f t="shared" si="36"/>
        <v>0.0245860096192775-0.154859735729719i</v>
      </c>
      <c r="K68" s="73" t="str">
        <f t="shared" si="37"/>
        <v>0.0409097239786552-0.26424209995588i</v>
      </c>
      <c r="L68" s="73" t="str">
        <f t="shared" si="38"/>
        <v>-0.0178185902422887+0.00981088252151841i</v>
      </c>
      <c r="M68" s="70">
        <f t="shared" si="39"/>
        <v>-33.832561424050851</v>
      </c>
      <c r="N68" s="70">
        <f t="shared" si="40"/>
        <v>331.16290157747346</v>
      </c>
      <c r="O68" s="70">
        <f t="shared" si="28"/>
        <v>-28.837098422526537</v>
      </c>
    </row>
    <row r="69" spans="1:15" ht="15" x14ac:dyDescent="0.2">
      <c r="A69" s="71">
        <f t="shared" si="41"/>
        <v>68</v>
      </c>
      <c r="B69" s="70">
        <f t="shared" si="42"/>
        <v>68000</v>
      </c>
      <c r="C69" s="70">
        <f t="shared" si="29"/>
        <v>123.56602087912086</v>
      </c>
      <c r="D69" s="51" t="str">
        <f t="shared" si="30"/>
        <v>0.000952381320992122-0.000114200423039716i</v>
      </c>
      <c r="E69" s="51" t="str">
        <f t="shared" si="31"/>
        <v>-0.330401080778646-0.528890618948869i</v>
      </c>
      <c r="F69" s="70" t="str">
        <f t="shared" si="32"/>
        <v>-0.00037506735019489-0.000465973603137164i</v>
      </c>
      <c r="G69" s="70" t="str">
        <f t="shared" si="33"/>
        <v>-0.0463455800252583-0.057578503974366i</v>
      </c>
      <c r="H69" s="72">
        <f t="shared" si="34"/>
        <v>7.3913441996728196E-2</v>
      </c>
      <c r="I69" s="51" t="str">
        <f t="shared" si="35"/>
        <v>1.70528968646546-0.00646775913439058i</v>
      </c>
      <c r="J69" s="73" t="str">
        <f t="shared" si="36"/>
        <v>0.0238853536609308-0.152691989120003i</v>
      </c>
      <c r="K69" s="73" t="str">
        <f t="shared" si="37"/>
        <v>0.0397438722481862-0.260538558966556i</v>
      </c>
      <c r="L69" s="73" t="str">
        <f t="shared" si="38"/>
        <v>-0.0168433732647234+0.00978641792805111i</v>
      </c>
      <c r="M69" s="70">
        <f t="shared" si="39"/>
        <v>-34.208188917723959</v>
      </c>
      <c r="N69" s="70">
        <f t="shared" si="40"/>
        <v>329.84234902923333</v>
      </c>
      <c r="O69" s="70">
        <f t="shared" si="28"/>
        <v>-30.157650970766667</v>
      </c>
    </row>
    <row r="70" spans="1:15" ht="15" x14ac:dyDescent="0.2">
      <c r="A70" s="71">
        <f t="shared" si="41"/>
        <v>69</v>
      </c>
      <c r="B70" s="70">
        <f t="shared" si="42"/>
        <v>69000</v>
      </c>
      <c r="C70" s="70">
        <f t="shared" si="29"/>
        <v>123.56602087912086</v>
      </c>
      <c r="D70" s="51" t="str">
        <f t="shared" si="30"/>
        <v>0.000952380945352309-0.000112545344487254i</v>
      </c>
      <c r="E70" s="51" t="str">
        <f t="shared" si="31"/>
        <v>-0.332214276180469-0.506916962769844i</v>
      </c>
      <c r="F70" s="70" t="str">
        <f t="shared" si="32"/>
        <v>-0.000373445690609653-0.000445388886061551i</v>
      </c>
      <c r="G70" s="70" t="str">
        <f t="shared" si="33"/>
        <v>-0.0461451980030901-0.05503493239441i</v>
      </c>
      <c r="H70" s="72">
        <f t="shared" si="34"/>
        <v>7.1820770550041241E-2</v>
      </c>
      <c r="I70" s="51" t="str">
        <f t="shared" si="35"/>
        <v>1.70528968646546-0.00637402349476175i</v>
      </c>
      <c r="J70" s="73" t="str">
        <f t="shared" si="36"/>
        <v>0.0232139967102632-0.150582558973472i</v>
      </c>
      <c r="K70" s="73" t="str">
        <f t="shared" si="37"/>
        <v>0.0386267724028567-0.256934851339477i</v>
      </c>
      <c r="L70" s="73" t="str">
        <f t="shared" si="38"/>
        <v>-0.015922832233986+0.00973048778114921i</v>
      </c>
      <c r="M70" s="70">
        <f t="shared" si="39"/>
        <v>-34.581475624313079</v>
      </c>
      <c r="N70" s="70">
        <f t="shared" si="40"/>
        <v>328.57077999889304</v>
      </c>
      <c r="O70" s="70">
        <f t="shared" si="28"/>
        <v>-31.429220001106955</v>
      </c>
    </row>
    <row r="71" spans="1:15" ht="15" x14ac:dyDescent="0.2">
      <c r="A71" s="71">
        <f t="shared" si="41"/>
        <v>70</v>
      </c>
      <c r="B71" s="70">
        <f t="shared" si="42"/>
        <v>70000</v>
      </c>
      <c r="C71" s="70">
        <f t="shared" si="29"/>
        <v>123.56602087912086</v>
      </c>
      <c r="D71" s="51" t="str">
        <f t="shared" si="30"/>
        <v>0.000952380585696073-0.000110937553891659i</v>
      </c>
      <c r="E71" s="51" t="str">
        <f t="shared" si="31"/>
        <v>-0.333148250971682-0.485841199333704i</v>
      </c>
      <c r="F71" s="70" t="str">
        <f t="shared" si="32"/>
        <v>-0.000371181960617904-0.000425747073930633i</v>
      </c>
      <c r="G71" s="70" t="str">
        <f t="shared" si="33"/>
        <v>-0.0458654778956649-0.0526078718265372i</v>
      </c>
      <c r="H71" s="72">
        <f t="shared" si="34"/>
        <v>6.9794199191015094E-2</v>
      </c>
      <c r="I71" s="51" t="str">
        <f t="shared" si="35"/>
        <v>1.70528968646546-0.00628296601626516i</v>
      </c>
      <c r="J71" s="73" t="str">
        <f t="shared" si="36"/>
        <v>0.0225703402208711-0.148529188926572i</v>
      </c>
      <c r="K71" s="73" t="str">
        <f t="shared" si="37"/>
        <v>0.037555764552219-0.253427102696146i</v>
      </c>
      <c r="L71" s="73" t="str">
        <f t="shared" si="38"/>
        <v>-0.0150547736249341+0.00964782632896174i</v>
      </c>
      <c r="M71" s="70">
        <f t="shared" si="39"/>
        <v>-34.952210108868968</v>
      </c>
      <c r="N71" s="70">
        <f t="shared" si="40"/>
        <v>327.34628883781215</v>
      </c>
      <c r="O71" s="70">
        <f t="shared" si="28"/>
        <v>-32.653711162187847</v>
      </c>
    </row>
    <row r="72" spans="1:15" ht="15" x14ac:dyDescent="0.2">
      <c r="A72" s="71">
        <f t="shared" si="41"/>
        <v>71</v>
      </c>
      <c r="B72" s="70">
        <f t="shared" si="42"/>
        <v>71000</v>
      </c>
      <c r="C72" s="70">
        <f t="shared" si="29"/>
        <v>123.56602087912086</v>
      </c>
      <c r="D72" s="51" t="str">
        <f t="shared" si="30"/>
        <v>0.000952380241129303-0.000109375053170345i</v>
      </c>
      <c r="E72" s="51" t="str">
        <f t="shared" si="31"/>
        <v>-0.333303933678997-0.465654846344132i</v>
      </c>
      <c r="F72" s="70" t="str">
        <f t="shared" si="32"/>
        <v>-0.000368363104304467-0.000407025339376228i</v>
      </c>
      <c r="G72" s="70" t="str">
        <f t="shared" si="33"/>
        <v>-0.0455171630375835-0.0502945015836942i</v>
      </c>
      <c r="H72" s="72">
        <f t="shared" si="34"/>
        <v>6.7833244213602054E-2</v>
      </c>
      <c r="I72" s="51" t="str">
        <f t="shared" si="35"/>
        <v>1.70528968646545-0.00619447353716281i</v>
      </c>
      <c r="J72" s="73" t="str">
        <f t="shared" si="36"/>
        <v>0.0219528923549727-0.146529733747877i</v>
      </c>
      <c r="K72" s="73" t="str">
        <f t="shared" si="37"/>
        <v>0.0365283663629124-0.25001163033154i</v>
      </c>
      <c r="L72" s="73" t="str">
        <f t="shared" si="38"/>
        <v>-0.0142368779448889+0.0095426441592035i</v>
      </c>
      <c r="M72" s="70">
        <f t="shared" si="39"/>
        <v>-35.320210141595318</v>
      </c>
      <c r="N72" s="70">
        <f t="shared" si="40"/>
        <v>326.16698373005937</v>
      </c>
      <c r="O72" s="70">
        <f t="shared" si="28"/>
        <v>-33.833016269940629</v>
      </c>
    </row>
    <row r="73" spans="1:15" ht="15" x14ac:dyDescent="0.2">
      <c r="A73" s="71">
        <f t="shared" si="41"/>
        <v>72</v>
      </c>
      <c r="B73" s="70">
        <f t="shared" si="42"/>
        <v>72000</v>
      </c>
      <c r="C73" s="70">
        <f t="shared" si="29"/>
        <v>123.56602087912086</v>
      </c>
      <c r="D73" s="51" t="str">
        <f t="shared" si="30"/>
        <v>0.000952379910819543-0.000107855955245306i</v>
      </c>
      <c r="E73" s="51" t="str">
        <f t="shared" si="31"/>
        <v>-0.3327736520237-0.446343199435663i</v>
      </c>
      <c r="F73" s="70" t="str">
        <f t="shared" si="32"/>
        <v>-0.000365067713179805-0.000389196676353961i</v>
      </c>
      <c r="G73" s="70" t="str">
        <f t="shared" si="33"/>
        <v>-0.0451099646690687-0.048091484636438i</v>
      </c>
      <c r="H73" s="72">
        <f t="shared" si="34"/>
        <v>6.5937089767303031E-2</v>
      </c>
      <c r="I73" s="51" t="str">
        <f t="shared" si="35"/>
        <v>1.70528968646546-0.00610843918248i</v>
      </c>
      <c r="J73" s="73" t="str">
        <f t="shared" si="36"/>
        <v>0.0213602596155594-0.144582152856828i</v>
      </c>
      <c r="K73" s="73" t="str">
        <f t="shared" si="37"/>
        <v>0.0355422591350402-0.246684931960505i</v>
      </c>
      <c r="L73" s="73" t="str">
        <f t="shared" si="38"/>
        <v>-0.0134667546692599+0.00941866855599291i</v>
      </c>
      <c r="M73" s="70">
        <f t="shared" si="39"/>
        <v>-35.685320197781735</v>
      </c>
      <c r="N73" s="70">
        <f t="shared" si="40"/>
        <v>325.03100031825863</v>
      </c>
      <c r="O73" s="70">
        <f t="shared" si="28"/>
        <v>-34.968999681741366</v>
      </c>
    </row>
    <row r="74" spans="1:15" ht="15" x14ac:dyDescent="0.2">
      <c r="A74" s="71">
        <f t="shared" si="41"/>
        <v>73</v>
      </c>
      <c r="B74" s="70">
        <f t="shared" si="42"/>
        <v>73000</v>
      </c>
      <c r="C74" s="70">
        <f t="shared" si="29"/>
        <v>123.56602087912086</v>
      </c>
      <c r="D74" s="51" t="str">
        <f t="shared" si="30"/>
        <v>0.000952379593990966-0.000106378476440065i</v>
      </c>
      <c r="E74" s="51" t="str">
        <f t="shared" si="31"/>
        <v>-0.331641465588464-0.427886655849379i</v>
      </c>
      <c r="F74" s="70" t="str">
        <f t="shared" si="32"/>
        <v>-0.000361366494886002-0.000372231005738333i</v>
      </c>
      <c r="G74" s="70" t="str">
        <f t="shared" si="33"/>
        <v>-0.0446526198520984-0.045995104226919i</v>
      </c>
      <c r="H74" s="72">
        <f t="shared" si="34"/>
        <v>6.410464938287358E-2</v>
      </c>
      <c r="I74" s="51" t="str">
        <f t="shared" si="35"/>
        <v>1.70528968646546-0.00602476193340495i</v>
      </c>
      <c r="J74" s="73" t="str">
        <f t="shared" si="36"/>
        <v>0.0207911392280247-0.14268450426597i</v>
      </c>
      <c r="K74" s="73" t="str">
        <f t="shared" si="37"/>
        <v>0.0345952751256296-0.243443675207369i</v>
      </c>
      <c r="L74" s="73" t="str">
        <f t="shared" si="38"/>
        <v>-0.0127419868834106+0.00927918459927009i</v>
      </c>
      <c r="M74" s="70">
        <f t="shared" si="39"/>
        <v>-36.047409032092979</v>
      </c>
      <c r="N74" s="70">
        <f t="shared" si="40"/>
        <v>323.9365125161857</v>
      </c>
      <c r="O74" s="70">
        <f t="shared" si="28"/>
        <v>-36.063487483814299</v>
      </c>
    </row>
    <row r="75" spans="1:15" ht="15" x14ac:dyDescent="0.2">
      <c r="A75" s="71">
        <f t="shared" si="41"/>
        <v>74</v>
      </c>
      <c r="B75" s="70">
        <f t="shared" si="42"/>
        <v>74000</v>
      </c>
      <c r="C75" s="70">
        <f t="shared" si="29"/>
        <v>123.56602087912086</v>
      </c>
      <c r="D75" s="51" t="str">
        <f t="shared" si="30"/>
        <v>0.000952379289919805-0.000104940929493085i</v>
      </c>
      <c r="E75" s="51" t="str">
        <f t="shared" si="31"/>
        <v>-0.329983585977756-0.410261850846i</v>
      </c>
      <c r="F75" s="70" t="str">
        <f t="shared" si="32"/>
        <v>-0.000357322793262019-0.000356096105959931i</v>
      </c>
      <c r="G75" s="70" t="str">
        <f t="shared" si="33"/>
        <v>-0.0441529557328004-0.0440013788640185i</v>
      </c>
      <c r="H75" s="72">
        <f t="shared" si="34"/>
        <v>6.2334619930481054E-2</v>
      </c>
      <c r="I75" s="51" t="str">
        <f t="shared" si="35"/>
        <v>1.70528968646545-0.00594334623160215i</v>
      </c>
      <c r="J75" s="73" t="str">
        <f t="shared" si="36"/>
        <v>0.0202443121961688-0.140834938917418i</v>
      </c>
      <c r="K75" s="73" t="str">
        <f t="shared" si="37"/>
        <v>0.0336853859942206-0.240284687786467i</v>
      </c>
      <c r="L75" s="73" t="str">
        <f t="shared" si="38"/>
        <v>-0.0120601669391599+0.00912707575179324i</v>
      </c>
      <c r="M75" s="70">
        <f t="shared" si="39"/>
        <v>-36.406367359909048</v>
      </c>
      <c r="N75" s="70">
        <f t="shared" si="40"/>
        <v>322.88174089288225</v>
      </c>
      <c r="O75" s="70">
        <f t="shared" si="28"/>
        <v>-37.118259107117751</v>
      </c>
    </row>
    <row r="76" spans="1:15" ht="15" x14ac:dyDescent="0.2">
      <c r="A76" s="71">
        <f t="shared" si="41"/>
        <v>75</v>
      </c>
      <c r="B76" s="70">
        <f t="shared" si="42"/>
        <v>75000</v>
      </c>
      <c r="C76" s="70">
        <f t="shared" si="29"/>
        <v>123.56602087912086</v>
      </c>
      <c r="D76" s="51" t="str">
        <f t="shared" si="30"/>
        <v>0.00095237899793022-0.000103541717130106i</v>
      </c>
      <c r="E76" s="51" t="str">
        <f t="shared" si="31"/>
        <v>-0.327868852459016-0.39344262295082i</v>
      </c>
      <c r="F76" s="70" t="str">
        <f t="shared" si="32"/>
        <v>-0.00035299313392995-0.000340758387011855i</v>
      </c>
      <c r="G76" s="70" t="str">
        <f t="shared" si="33"/>
        <v>-0.0436179569573745-0.0421061579642424i</v>
      </c>
      <c r="H76" s="72">
        <f t="shared" si="34"/>
        <v>6.0625528514356958E-2</v>
      </c>
      <c r="I76" s="51" t="str">
        <f t="shared" si="35"/>
        <v>1.70528968646545-0.0058641016151808i</v>
      </c>
      <c r="J76" s="73" t="str">
        <f t="shared" si="36"/>
        <v>0.01971863696576-0.139031695386241i</v>
      </c>
      <c r="K76" s="73" t="str">
        <f t="shared" si="37"/>
        <v>0.0328106922593911-0.237204948324843i</v>
      </c>
      <c r="L76" s="73" t="str">
        <f t="shared" si="38"/>
        <v>-0.0114189243867776+0.00896486303491918i</v>
      </c>
      <c r="M76" s="70">
        <f t="shared" si="39"/>
        <v>-36.762105667572953</v>
      </c>
      <c r="N76" s="70">
        <f t="shared" si="40"/>
        <v>321.86495898366684</v>
      </c>
      <c r="O76" s="70">
        <f t="shared" si="28"/>
        <v>-38.135041016333162</v>
      </c>
    </row>
    <row r="77" spans="1:15" ht="15" x14ac:dyDescent="0.2">
      <c r="A77" s="71">
        <f t="shared" si="41"/>
        <v>76</v>
      </c>
      <c r="B77" s="70">
        <f t="shared" si="42"/>
        <v>76000</v>
      </c>
      <c r="C77" s="70">
        <f t="shared" si="29"/>
        <v>123.56602087912086</v>
      </c>
      <c r="D77" s="51" t="str">
        <f t="shared" si="30"/>
        <v>0.000952378717390543-0.000102179326143928i</v>
      </c>
      <c r="E77" s="51" t="str">
        <f t="shared" si="31"/>
        <v>-0.325359237914116-0.377400825419304i</v>
      </c>
      <c r="F77" s="70" t="str">
        <f t="shared" si="32"/>
        <v>-0.000348427775723317-0.000326183526370203i</v>
      </c>
      <c r="G77" s="70" t="str">
        <f t="shared" si="33"/>
        <v>-0.043053833809893-0.0403052004298858i</v>
      </c>
      <c r="H77" s="72">
        <f t="shared" si="34"/>
        <v>5.8975772885339554E-2</v>
      </c>
      <c r="I77" s="51" t="str">
        <f t="shared" si="35"/>
        <v>1.70528968646546-0.00578694238340212i</v>
      </c>
      <c r="J77" s="73" t="str">
        <f t="shared" si="36"/>
        <v>0.0192130436361328-0.137273094925294i</v>
      </c>
      <c r="K77" s="73" t="str">
        <f t="shared" si="37"/>
        <v>0.0319694136671841-0.23420157778183i</v>
      </c>
      <c r="L77" s="73" t="str">
        <f t="shared" si="38"/>
        <v>-0.0108159473565188+0.00879474218235185i</v>
      </c>
      <c r="M77" s="70">
        <f t="shared" si="39"/>
        <v>-37.114552164779468</v>
      </c>
      <c r="N77" s="70">
        <f t="shared" si="40"/>
        <v>320.88449785002643</v>
      </c>
      <c r="O77" s="70">
        <f t="shared" si="28"/>
        <v>-39.115502149973565</v>
      </c>
    </row>
    <row r="78" spans="1:15" ht="15" x14ac:dyDescent="0.2">
      <c r="A78" s="71">
        <f t="shared" si="41"/>
        <v>77</v>
      </c>
      <c r="B78" s="70">
        <f t="shared" si="42"/>
        <v>77000</v>
      </c>
      <c r="C78" s="70">
        <f t="shared" si="29"/>
        <v>123.56602087912086</v>
      </c>
      <c r="D78" s="51" t="str">
        <f t="shared" si="30"/>
        <v>0.00095237844770985-0.000100852321935517i</v>
      </c>
      <c r="E78" s="51" t="str">
        <f t="shared" si="31"/>
        <v>-0.322510365759674-0.362107001509111i</v>
      </c>
      <c r="F78" s="70" t="str">
        <f t="shared" si="32"/>
        <v>-0.000343671253403836-0.00031233698476698i</v>
      </c>
      <c r="G78" s="70" t="str">
        <f t="shared" si="33"/>
        <v>-0.042466089273652-0.0385942383810383i</v>
      </c>
      <c r="H78" s="72">
        <f t="shared" si="34"/>
        <v>5.7383655986789406E-2</v>
      </c>
      <c r="I78" s="51" t="str">
        <f t="shared" si="35"/>
        <v>1.70528968646545-0.00571178728751375i</v>
      </c>
      <c r="J78" s="73" t="str">
        <f t="shared" si="36"/>
        <v>0.0187265286667236-0.135557536827791i</v>
      </c>
      <c r="K78" s="73" t="str">
        <f t="shared" si="37"/>
        <v>0.0311598803830837-0.23127183142347i</v>
      </c>
      <c r="L78" s="73" t="str">
        <f t="shared" si="38"/>
        <v>-0.0102489984548811+0.0086186183882807i</v>
      </c>
      <c r="M78" s="70">
        <f t="shared" si="39"/>
        <v>-37.463650885625327</v>
      </c>
      <c r="N78" s="70">
        <f t="shared" si="40"/>
        <v>319.93874917554496</v>
      </c>
      <c r="O78" s="70">
        <f t="shared" si="28"/>
        <v>-40.061250824455044</v>
      </c>
    </row>
    <row r="79" spans="1:15" ht="15" x14ac:dyDescent="0.2">
      <c r="A79" s="71">
        <f t="shared" si="41"/>
        <v>78</v>
      </c>
      <c r="B79" s="70">
        <f t="shared" si="42"/>
        <v>78000</v>
      </c>
      <c r="C79" s="70">
        <f t="shared" si="29"/>
        <v>123.56602087912086</v>
      </c>
      <c r="D79" s="51" t="str">
        <f t="shared" si="30"/>
        <v>0.000952378188334858-0.0000995593434750119i</v>
      </c>
      <c r="E79" s="51" t="str">
        <f t="shared" si="31"/>
        <v>-0.319372023352939-0.34753094059053i</v>
      </c>
      <c r="F79" s="70" t="str">
        <f t="shared" si="32"/>
        <v>-0.000338762901288157-0.000299184418620613i</v>
      </c>
      <c r="G79" s="70" t="str">
        <f t="shared" si="33"/>
        <v>-0.041859583733644-0.0369690281179823i</v>
      </c>
      <c r="H79" s="72">
        <f t="shared" si="34"/>
        <v>5.584741525211457E-2</v>
      </c>
      <c r="I79" s="51" t="str">
        <f t="shared" si="35"/>
        <v>1.70528968646545-0.00563855924536615i</v>
      </c>
      <c r="J79" s="73" t="str">
        <f t="shared" si="36"/>
        <v>0.0182581500311223-0.133883494085579i</v>
      </c>
      <c r="K79" s="73" t="str">
        <f t="shared" si="37"/>
        <v>0.0303805249286335-0.228413091312757i</v>
      </c>
      <c r="L79" s="73" t="str">
        <f t="shared" si="38"/>
        <v>-0.00971592612237876+0.00843813844134111i</v>
      </c>
      <c r="M79" s="70">
        <f t="shared" si="39"/>
        <v>-37.809359939736098</v>
      </c>
      <c r="N79" s="70">
        <f t="shared" si="40"/>
        <v>319.02616715062209</v>
      </c>
      <c r="O79" s="70">
        <f t="shared" si="28"/>
        <v>-40.973832849377914</v>
      </c>
    </row>
    <row r="80" spans="1:15" ht="15" x14ac:dyDescent="0.2">
      <c r="A80" s="71">
        <f t="shared" si="41"/>
        <v>79</v>
      </c>
      <c r="B80" s="70">
        <f t="shared" si="42"/>
        <v>79000</v>
      </c>
      <c r="C80" s="70">
        <f t="shared" si="29"/>
        <v>123.56602087912086</v>
      </c>
      <c r="D80" s="51" t="str">
        <f t="shared" si="30"/>
        <v>0.000952377938747074-0.0000982990986454554i</v>
      </c>
      <c r="E80" s="51" t="str">
        <f t="shared" si="31"/>
        <v>-0.315988661370671-0.333642131091727i</v>
      </c>
      <c r="F80" s="70" t="str">
        <f t="shared" si="32"/>
        <v>-0.000333737350740112-0.000286692004493399i</v>
      </c>
      <c r="G80" s="70" t="str">
        <f t="shared" si="33"/>
        <v>-0.0412385964496952-0.0354253902131084i</v>
      </c>
      <c r="H80" s="72">
        <f t="shared" si="34"/>
        <v>5.436524725311024E-2</v>
      </c>
      <c r="I80" s="51" t="str">
        <f t="shared" si="35"/>
        <v>1.70528968646545-0.0055671850777033i</v>
      </c>
      <c r="J80" s="73" t="str">
        <f t="shared" si="36"/>
        <v>0.017807022776225-0.132249509322614i</v>
      </c>
      <c r="K80" s="73" t="str">
        <f t="shared" si="37"/>
        <v>0.0296298747921174-0.225622859279448i</v>
      </c>
      <c r="L80" s="73" t="str">
        <f t="shared" si="38"/>
        <v>-0.00921467228037882+0.00825472016717522i</v>
      </c>
      <c r="M80" s="70">
        <f t="shared" si="39"/>
        <v>-38.15164991111547</v>
      </c>
      <c r="N80" s="70">
        <f t="shared" si="40"/>
        <v>318.14526936592409</v>
      </c>
      <c r="O80" s="70">
        <f t="shared" si="28"/>
        <v>-41.854730634075906</v>
      </c>
    </row>
    <row r="81" spans="1:18" ht="15" x14ac:dyDescent="0.2">
      <c r="A81" s="71">
        <f t="shared" si="41"/>
        <v>80</v>
      </c>
      <c r="B81" s="70">
        <f t="shared" si="42"/>
        <v>80000</v>
      </c>
      <c r="C81" s="70">
        <f t="shared" si="29"/>
        <v>123.56602087912086</v>
      </c>
      <c r="D81" s="51" t="str">
        <f t="shared" si="30"/>
        <v>0.000952377698460212-0.0000970703599357342i</v>
      </c>
      <c r="E81" s="51" t="str">
        <f t="shared" si="31"/>
        <v>-0.31239987183595-0.320410124959949i</v>
      </c>
      <c r="F81" s="70" t="str">
        <f t="shared" si="32"/>
        <v>-0.000328624997095303-0.000274826689369712i</v>
      </c>
      <c r="G81" s="70" t="str">
        <f t="shared" si="33"/>
        <v>-0.0406068832524792-0.0339592404367975i</v>
      </c>
      <c r="H81" s="72">
        <f t="shared" si="34"/>
        <v>5.293532826501314E-2</v>
      </c>
      <c r="I81" s="51" t="str">
        <f t="shared" si="35"/>
        <v>1.70528968646546-0.00549759526423202i</v>
      </c>
      <c r="J81" s="73" t="str">
        <f t="shared" si="36"/>
        <v>0.0173723149485136-0.130654190984611i</v>
      </c>
      <c r="K81" s="73" t="str">
        <f t="shared" si="37"/>
        <v>0.0289065456501209-0.222898750335935i</v>
      </c>
      <c r="L81" s="73" t="str">
        <f t="shared" si="38"/>
        <v>-0.00874327698016663+0.0080695791980851i</v>
      </c>
      <c r="M81" s="70">
        <f t="shared" si="39"/>
        <v>-38.490502399662617</v>
      </c>
      <c r="N81" s="70">
        <f t="shared" si="40"/>
        <v>317.29463690406476</v>
      </c>
      <c r="O81" s="70">
        <f t="shared" si="28"/>
        <v>-42.70536309593524</v>
      </c>
    </row>
    <row r="82" spans="1:18" ht="15" x14ac:dyDescent="0.2">
      <c r="A82" s="71">
        <f t="shared" si="41"/>
        <v>81</v>
      </c>
      <c r="B82" s="70">
        <f t="shared" si="42"/>
        <v>81000</v>
      </c>
      <c r="C82" s="70">
        <f t="shared" si="29"/>
        <v>123.56602087912086</v>
      </c>
      <c r="D82" s="51" t="str">
        <f t="shared" si="30"/>
        <v>0.000952377467017811-0.0000958719604525647i</v>
      </c>
      <c r="E82" s="51" t="str">
        <f t="shared" si="31"/>
        <v>-0.308640839982196-0.307804826872173i</v>
      </c>
      <c r="F82" s="70" t="str">
        <f t="shared" si="32"/>
        <v>-0.000323452433589491-0.000263556378947556i</v>
      </c>
      <c r="G82" s="70" t="str">
        <f t="shared" si="33"/>
        <v>-0.0399677301623215-0.0325666130238592i</v>
      </c>
      <c r="H82" s="72">
        <f t="shared" si="34"/>
        <v>5.1555831272261911E-2</v>
      </c>
      <c r="I82" s="51" t="str">
        <f t="shared" si="35"/>
        <v>1.70528968646545-0.00542972371776i</v>
      </c>
      <c r="J82" s="73" t="str">
        <f t="shared" si="36"/>
        <v>0.0169532438534122-0.129096209767208i</v>
      </c>
      <c r="K82" s="73" t="str">
        <f t="shared" si="37"/>
        <v>0.0282092351433117-0.220238486508044i</v>
      </c>
      <c r="L82" s="73" t="str">
        <f t="shared" si="38"/>
        <v>-0.00829988066136126+0.00788375315550031i</v>
      </c>
      <c r="M82" s="70">
        <f t="shared" si="39"/>
        <v>-38.825908698467288</v>
      </c>
      <c r="N82" s="70">
        <f t="shared" si="40"/>
        <v>316.47291379133981</v>
      </c>
      <c r="O82" s="70">
        <f t="shared" si="28"/>
        <v>-43.527086208660194</v>
      </c>
    </row>
    <row r="83" spans="1:18" ht="15" x14ac:dyDescent="0.2">
      <c r="A83" s="71">
        <f t="shared" si="41"/>
        <v>82</v>
      </c>
      <c r="B83" s="70">
        <f t="shared" si="42"/>
        <v>82000</v>
      </c>
      <c r="C83" s="70">
        <f t="shared" si="29"/>
        <v>123.56602087912086</v>
      </c>
      <c r="D83" s="51" t="str">
        <f t="shared" si="30"/>
        <v>0.000952377243991082-0.0000947027902242845i</v>
      </c>
      <c r="E83" s="51" t="str">
        <f t="shared" si="31"/>
        <v>-0.304742767092029-0.295796719952017i</v>
      </c>
      <c r="F83" s="70" t="str">
        <f t="shared" si="32"/>
        <v>-0.00031824285136797-0.000252850074585219i</v>
      </c>
      <c r="G83" s="70" t="str">
        <f t="shared" si="33"/>
        <v>-0.0393240028167655-0.0312436775954844i</v>
      </c>
      <c r="H83" s="72">
        <f t="shared" si="34"/>
        <v>5.0224939892682348E-2</v>
      </c>
      <c r="I83" s="51" t="str">
        <f t="shared" si="35"/>
        <v>1.70528968646546-0.00536350757486049i</v>
      </c>
      <c r="J83" s="73" t="str">
        <f t="shared" si="36"/>
        <v>0.0165490726171637-0.127574295266231i</v>
      </c>
      <c r="K83" s="73" t="str">
        <f t="shared" si="37"/>
        <v>0.0275367171555993-0.217639891051942i</v>
      </c>
      <c r="L83" s="73" t="str">
        <f t="shared" si="38"/>
        <v>-0.00788272453093449+0.00769812337591952i</v>
      </c>
      <c r="M83" s="70">
        <f t="shared" si="39"/>
        <v>-39.157868598825225</v>
      </c>
      <c r="N83" s="70">
        <f t="shared" si="40"/>
        <v>315.67880594655821</v>
      </c>
      <c r="O83" s="70">
        <f t="shared" si="28"/>
        <v>-44.321194053441786</v>
      </c>
    </row>
    <row r="84" spans="1:18" ht="15" x14ac:dyDescent="0.2">
      <c r="A84" s="71">
        <f t="shared" si="41"/>
        <v>83</v>
      </c>
      <c r="B84" s="70">
        <f t="shared" si="42"/>
        <v>83000</v>
      </c>
      <c r="C84" s="70">
        <f t="shared" si="29"/>
        <v>123.56602087912086</v>
      </c>
      <c r="D84" s="51" t="str">
        <f t="shared" si="30"/>
        <v>0.000952377028976895-0.000093561792771839i</v>
      </c>
      <c r="E84" s="51" t="str">
        <f t="shared" si="31"/>
        <v>-0.300733262929728-0.284357038313596i</v>
      </c>
      <c r="F84" s="70" t="str">
        <f t="shared" si="32"/>
        <v>-0.000313016405755452-0.000242677968091941i</v>
      </c>
      <c r="G84" s="70" t="str">
        <f t="shared" si="33"/>
        <v>-0.0386781917290855-0.0299867508721514i</v>
      </c>
      <c r="H84" s="72">
        <f t="shared" si="34"/>
        <v>4.894085965019792E-2</v>
      </c>
      <c r="I84" s="51" t="str">
        <f t="shared" si="35"/>
        <v>1.70528968646546-0.00529888700166941i</v>
      </c>
      <c r="J84" s="73" t="str">
        <f t="shared" si="36"/>
        <v>0.0161591070237592-0.126087232834867i</v>
      </c>
      <c r="K84" s="73" t="str">
        <f t="shared" si="37"/>
        <v>0.026887836550963-0.215100883030435i</v>
      </c>
      <c r="L84" s="73" t="str">
        <f t="shared" si="38"/>
        <v>-0.00749014948911189+0.00751343433880191i</v>
      </c>
      <c r="M84" s="70">
        <f t="shared" si="39"/>
        <v>-39.486389314265921</v>
      </c>
      <c r="N84" s="70">
        <f t="shared" si="40"/>
        <v>314.91107974214469</v>
      </c>
      <c r="O84" s="70">
        <f t="shared" si="28"/>
        <v>-45.088920257855307</v>
      </c>
      <c r="P84" s="70">
        <v>-27.673999999999999</v>
      </c>
      <c r="Q84" s="70">
        <v>318.15300000000002</v>
      </c>
      <c r="R84" s="70">
        <f>B84</f>
        <v>83000</v>
      </c>
    </row>
    <row r="85" spans="1:18" ht="15" x14ac:dyDescent="0.2">
      <c r="A85" s="71">
        <f t="shared" si="41"/>
        <v>84</v>
      </c>
      <c r="B85" s="70">
        <f t="shared" si="42"/>
        <v>84000</v>
      </c>
      <c r="C85" s="70">
        <f t="shared" si="29"/>
        <v>123.56602087912086</v>
      </c>
      <c r="D85" s="51" t="str">
        <f t="shared" si="30"/>
        <v>0.000952376821595985-0.0000924479619246978i</v>
      </c>
      <c r="E85" s="51" t="str">
        <f t="shared" si="31"/>
        <v>-0.296636707487767-0.273457895401365i</v>
      </c>
      <c r="F85" s="70" t="str">
        <f t="shared" si="32"/>
        <v>-0.000307790549747971-0.000233011502223383i</v>
      </c>
      <c r="G85" s="70" t="str">
        <f t="shared" si="33"/>
        <v>-0.0380324534965539-0.0287923041488099i</v>
      </c>
      <c r="H85" s="72">
        <f t="shared" si="34"/>
        <v>4.7701826979321356E-2</v>
      </c>
      <c r="I85" s="51" t="str">
        <f t="shared" si="35"/>
        <v>1.70528968646545-0.00523580501355428i</v>
      </c>
      <c r="J85" s="73" t="str">
        <f t="shared" si="36"/>
        <v>0.0157826926022152-0.124633860633614i</v>
      </c>
      <c r="K85" s="73" t="str">
        <f t="shared" si="37"/>
        <v>0.026261504326848-0.212619472223928i</v>
      </c>
      <c r="L85" s="73" t="str">
        <f t="shared" si="38"/>
        <v>-0.00712059395429117+0.00733031096983448i</v>
      </c>
      <c r="M85" s="70">
        <f t="shared" si="39"/>
        <v>-39.811484514621128</v>
      </c>
      <c r="N85" s="70">
        <f t="shared" si="40"/>
        <v>314.16856027359347</v>
      </c>
      <c r="O85" s="70">
        <f t="shared" si="28"/>
        <v>-45.831439726406529</v>
      </c>
    </row>
    <row r="86" spans="1:18" ht="15" x14ac:dyDescent="0.2">
      <c r="A86" s="71">
        <f t="shared" si="41"/>
        <v>85</v>
      </c>
      <c r="B86" s="70">
        <f t="shared" si="42"/>
        <v>85000</v>
      </c>
      <c r="C86" s="70">
        <f t="shared" si="29"/>
        <v>123.56602087912086</v>
      </c>
      <c r="D86" s="51" t="str">
        <f t="shared" si="30"/>
        <v>0.000952376621491261-0.0000913603388615297i</v>
      </c>
      <c r="E86" s="51" t="str">
        <f t="shared" si="31"/>
        <v>-0.292474582566039-0.263072375853051i</v>
      </c>
      <c r="F86" s="70" t="str">
        <f t="shared" si="32"/>
        <v>-0.000302580336219354-0.00022382340355099i</v>
      </c>
      <c r="G86" s="70" t="str">
        <f t="shared" si="33"/>
        <v>-0.0373886481428921-0.0276569673564175i</v>
      </c>
      <c r="H86" s="72">
        <f t="shared" si="34"/>
        <v>4.6506116299976412E-2</v>
      </c>
      <c r="I86" s="51" t="str">
        <f t="shared" si="35"/>
        <v>1.70528968646545-0.00517420730751247i</v>
      </c>
      <c r="J86" s="73" t="str">
        <f t="shared" si="36"/>
        <v>0.0154192119419419-0.123213066859937i</v>
      </c>
      <c r="K86" s="73" t="str">
        <f t="shared" si="37"/>
        <v>0.0256566931470907-0.210193754353135i</v>
      </c>
      <c r="L86" s="73" t="str">
        <f t="shared" si="38"/>
        <v>-0.00677259087525422+0.00714927399850015i</v>
      </c>
      <c r="M86" s="70">
        <f t="shared" si="39"/>
        <v>-40.133173461187482</v>
      </c>
      <c r="N86" s="70">
        <f t="shared" si="40"/>
        <v>313.45012941681387</v>
      </c>
      <c r="O86" s="70">
        <f t="shared" si="28"/>
        <v>-46.549870583186134</v>
      </c>
    </row>
    <row r="87" spans="1:18" ht="15" x14ac:dyDescent="0.2">
      <c r="A87" s="71">
        <f t="shared" si="41"/>
        <v>86</v>
      </c>
      <c r="B87" s="70">
        <f t="shared" si="42"/>
        <v>86000</v>
      </c>
      <c r="C87" s="70">
        <f t="shared" si="29"/>
        <v>123.56602087912086</v>
      </c>
      <c r="D87" s="51" t="str">
        <f t="shared" si="30"/>
        <v>0.00095237642832627-0.0000902980093573431i</v>
      </c>
      <c r="E87" s="51" t="str">
        <f t="shared" si="31"/>
        <v>-0.288265774261145-0.253174597492427i</v>
      </c>
      <c r="F87" s="70" t="str">
        <f t="shared" si="32"/>
        <v>-0.000297398690672949-0.000215087693321144i</v>
      </c>
      <c r="G87" s="70" t="str">
        <f t="shared" si="33"/>
        <v>-0.0367483728211168-0.0265775304037624i</v>
      </c>
      <c r="H87" s="72">
        <f t="shared" si="34"/>
        <v>4.5352045459523767E-2</v>
      </c>
      <c r="I87" s="51" t="str">
        <f t="shared" si="35"/>
        <v>1.70528968646546-0.00511404210626234i</v>
      </c>
      <c r="J87" s="73" t="str">
        <f t="shared" si="36"/>
        <v>0.0150680822161352-0.121823787145463i</v>
      </c>
      <c r="K87" s="73" t="str">
        <f t="shared" si="37"/>
        <v>0.0250724332209827-0.207821906592236i</v>
      </c>
      <c r="L87" s="73" t="str">
        <f t="shared" si="38"/>
        <v>-0.00644476416456025+0.00697075354761983i</v>
      </c>
      <c r="M87" s="70">
        <f t="shared" si="39"/>
        <v>-40.451480234265837</v>
      </c>
      <c r="N87" s="70">
        <f t="shared" si="40"/>
        <v>312.75472373873765</v>
      </c>
      <c r="O87" s="70">
        <f t="shared" si="28"/>
        <v>-47.245276261262347</v>
      </c>
    </row>
    <row r="88" spans="1:18" ht="15" x14ac:dyDescent="0.2">
      <c r="A88" s="71">
        <f t="shared" si="41"/>
        <v>87</v>
      </c>
      <c r="B88" s="70">
        <f t="shared" si="42"/>
        <v>87000</v>
      </c>
      <c r="C88" s="70">
        <f t="shared" si="29"/>
        <v>123.56602087912086</v>
      </c>
      <c r="D88" s="51" t="str">
        <f t="shared" si="30"/>
        <v>0.000952376241783785-0.000089260101220477i</v>
      </c>
      <c r="E88" s="51" t="str">
        <f t="shared" si="31"/>
        <v>-0.284026847815692-0.243739749062588i</v>
      </c>
      <c r="F88" s="70" t="str">
        <f t="shared" si="32"/>
        <v>-0.000292256656561184-0.000206779681000189i</v>
      </c>
      <c r="G88" s="70" t="str">
        <f t="shared" si="33"/>
        <v>-0.0361129921267013-0.0255509423798473i</v>
      </c>
      <c r="H88" s="72">
        <f t="shared" si="34"/>
        <v>4.423797980063586E-2</v>
      </c>
      <c r="I88" s="51" t="str">
        <f t="shared" si="35"/>
        <v>1.70528968646545-0.00505526001308689i</v>
      </c>
      <c r="J88" s="73" t="str">
        <f t="shared" si="36"/>
        <v>0.0147287528950774-0.120465002109464i</v>
      </c>
      <c r="K88" s="73" t="str">
        <f t="shared" si="37"/>
        <v>0.0245078084983332-0.205502183352861i</v>
      </c>
      <c r="L88" s="73" t="str">
        <f t="shared" si="38"/>
        <v>-0.00613582474112478+0.00679510112664455i</v>
      </c>
      <c r="M88" s="70">
        <f t="shared" si="39"/>
        <v>-40.766433044725225</v>
      </c>
      <c r="N88" s="70">
        <f t="shared" si="40"/>
        <v>312.08133231446379</v>
      </c>
      <c r="O88" s="70">
        <f t="shared" si="28"/>
        <v>-47.918667685536207</v>
      </c>
    </row>
    <row r="89" spans="1:18" ht="15" x14ac:dyDescent="0.2">
      <c r="A89" s="71">
        <f t="shared" si="41"/>
        <v>88</v>
      </c>
      <c r="B89" s="70">
        <f t="shared" si="42"/>
        <v>88000</v>
      </c>
      <c r="C89" s="70">
        <f t="shared" si="29"/>
        <v>123.56602087912086</v>
      </c>
      <c r="D89" s="51" t="str">
        <f t="shared" si="30"/>
        <v>0.000952376061564509-0.0000882457819043456i</v>
      </c>
      <c r="E89" s="51" t="str">
        <f t="shared" si="31"/>
        <v>-0.279772296507588-0.234744108435047i</v>
      </c>
      <c r="F89" s="70" t="str">
        <f t="shared" si="32"/>
        <v>-0.000287163615279044-0.000198875944406356i</v>
      </c>
      <c r="G89" s="70" t="str">
        <f t="shared" si="33"/>
        <v>-0.0354836652812942-0.0245743090988707i</v>
      </c>
      <c r="H89" s="72">
        <f t="shared" si="34"/>
        <v>4.3162335079114551E-2</v>
      </c>
      <c r="I89" s="51" t="str">
        <f t="shared" si="35"/>
        <v>1.70528968646545-0.00499781387657454i</v>
      </c>
      <c r="J89" s="73" t="str">
        <f t="shared" si="36"/>
        <v>0.0144007036329768-0.119135735058176i</v>
      </c>
      <c r="K89" s="73" t="str">
        <f t="shared" si="37"/>
        <v>0.0239619531532912-0.203232912320637i</v>
      </c>
      <c r="L89" s="73" t="str">
        <f t="shared" si="38"/>
        <v>-0.00584456633160846+0.00662260019152646i</v>
      </c>
      <c r="M89" s="70">
        <f t="shared" si="39"/>
        <v>-41.078063621700622</v>
      </c>
      <c r="N89" s="70">
        <f t="shared" si="40"/>
        <v>311.42899449399459</v>
      </c>
      <c r="O89" s="70">
        <f t="shared" si="28"/>
        <v>-48.571005506005406</v>
      </c>
    </row>
    <row r="90" spans="1:18" ht="15" x14ac:dyDescent="0.2">
      <c r="A90" s="71">
        <f t="shared" si="41"/>
        <v>89</v>
      </c>
      <c r="B90" s="70">
        <f t="shared" si="42"/>
        <v>89000</v>
      </c>
      <c r="C90" s="70">
        <f t="shared" si="29"/>
        <v>123.56602087912086</v>
      </c>
      <c r="D90" s="51" t="str">
        <f t="shared" si="30"/>
        <v>0.000952375887385838-0.0000872542562801832i</v>
      </c>
      <c r="E90" s="51" t="str">
        <f t="shared" si="31"/>
        <v>-0.275514766381876-0.226165045268281i</v>
      </c>
      <c r="F90" s="70" t="str">
        <f t="shared" si="32"/>
        <v>-0.000282127482942299-0.000191354299648178i</v>
      </c>
      <c r="G90" s="70" t="str">
        <f t="shared" si="33"/>
        <v>-0.0348613704478219-0.0236448893856363i</v>
      </c>
      <c r="H90" s="72">
        <f t="shared" si="34"/>
        <v>4.2123579424821513E-2</v>
      </c>
      <c r="I90" s="51" t="str">
        <f t="shared" si="35"/>
        <v>1.70528968646546-0.00494165866447821i</v>
      </c>
      <c r="J90" s="73" t="str">
        <f t="shared" si="36"/>
        <v>0.0140834423135382-0.117835049820244i</v>
      </c>
      <c r="K90" s="73" t="str">
        <f t="shared" si="37"/>
        <v>0.0234340483322845-0.20101249072734i</v>
      </c>
      <c r="L90" s="73" t="str">
        <f t="shared" si="38"/>
        <v>-0.00556986114838313+0.00645347542321064i</v>
      </c>
      <c r="M90" s="70">
        <f t="shared" si="39"/>
        <v>-41.386406669049322</v>
      </c>
      <c r="N90" s="70">
        <f t="shared" si="40"/>
        <v>310.79679765300568</v>
      </c>
      <c r="O90" s="70">
        <f t="shared" si="28"/>
        <v>-49.203202346994317</v>
      </c>
    </row>
    <row r="91" spans="1:18" ht="15" x14ac:dyDescent="0.2">
      <c r="A91" s="71">
        <f t="shared" si="41"/>
        <v>90</v>
      </c>
      <c r="B91" s="70">
        <f t="shared" si="42"/>
        <v>90000</v>
      </c>
      <c r="C91" s="70">
        <f t="shared" si="29"/>
        <v>123.56602087912086</v>
      </c>
      <c r="D91" s="51" t="str">
        <f t="shared" si="30"/>
        <v>0.000952375718980807-0.0000862847645582814i</v>
      </c>
      <c r="E91" s="51" t="str">
        <f t="shared" si="31"/>
        <v>-0.2712652586708-0.217981011431893i</v>
      </c>
      <c r="F91" s="70" t="str">
        <f t="shared" si="32"/>
        <v>-0.000277154886010695-0.000184193763509361i</v>
      </c>
      <c r="G91" s="70" t="str">
        <f t="shared" si="33"/>
        <v>-0.0342469264315479-0.0227600904276015i</v>
      </c>
      <c r="H91" s="72">
        <f t="shared" si="34"/>
        <v>4.1120234511496302E-2</v>
      </c>
      <c r="I91" s="51" t="str">
        <f t="shared" si="35"/>
        <v>1.70528968646545-0.00488675134598399i</v>
      </c>
      <c r="J91" s="73" t="str">
        <f t="shared" si="36"/>
        <v>0.0137765032408529-0.116562048709293i</v>
      </c>
      <c r="K91" s="73" t="str">
        <f t="shared" si="37"/>
        <v>0.0229233191437635-0.198839381842996i</v>
      </c>
      <c r="L91" s="73" t="str">
        <f t="shared" si="38"/>
        <v>-0.00531065553559833+0.00628790086505872i</v>
      </c>
      <c r="M91" s="70">
        <f t="shared" si="39"/>
        <v>-41.691499383723638</v>
      </c>
      <c r="N91" s="70">
        <f t="shared" si="40"/>
        <v>310.18387495489026</v>
      </c>
      <c r="O91" s="70">
        <f t="shared" si="28"/>
        <v>-49.816125045109743</v>
      </c>
    </row>
    <row r="92" spans="1:18" ht="15" x14ac:dyDescent="0.2">
      <c r="A92" s="71">
        <f t="shared" si="41"/>
        <v>91</v>
      </c>
      <c r="B92" s="70">
        <f t="shared" si="42"/>
        <v>91000</v>
      </c>
      <c r="C92" s="70">
        <f t="shared" si="29"/>
        <v>123.56602087912086</v>
      </c>
      <c r="D92" s="51" t="str">
        <f t="shared" si="30"/>
        <v>0.000952375556097029-0.0000853365803462793i</v>
      </c>
      <c r="E92" s="51" t="str">
        <f t="shared" si="31"/>
        <v>-0.267033311733552-0.210171521949085i</v>
      </c>
      <c r="F92" s="70" t="str">
        <f t="shared" si="32"/>
        <v>-0.000272251317727981-0.000177374510430135i</v>
      </c>
      <c r="G92" s="70" t="str">
        <f t="shared" si="33"/>
        <v>-0.0336410120107439-0.0219174624592339i</v>
      </c>
      <c r="H92" s="72">
        <f t="shared" si="34"/>
        <v>4.0150876077103749E-2</v>
      </c>
      <c r="I92" s="51" t="str">
        <f t="shared" si="35"/>
        <v>1.70528968646546-0.00483305078174242i</v>
      </c>
      <c r="J92" s="73" t="str">
        <f t="shared" si="36"/>
        <v>0.0134794454634553-0.115315870605277i</v>
      </c>
      <c r="K92" s="73" t="str">
        <f t="shared" si="37"/>
        <v>0.0224290318695278-0.196712111673399i</v>
      </c>
      <c r="L92" s="73" t="str">
        <f t="shared" si="38"/>
        <v>-0.00506596565339049+0.00612600704746627i</v>
      </c>
      <c r="M92" s="70">
        <f t="shared" si="39"/>
        <v>-41.993381029765402</v>
      </c>
      <c r="N92" s="70">
        <f t="shared" si="40"/>
        <v>309.58940314532629</v>
      </c>
      <c r="O92" s="70">
        <f t="shared" si="28"/>
        <v>-50.410596854673713</v>
      </c>
    </row>
    <row r="93" spans="1:18" ht="15" x14ac:dyDescent="0.2">
      <c r="A93" s="71">
        <f t="shared" si="41"/>
        <v>92</v>
      </c>
      <c r="B93" s="70">
        <f t="shared" si="42"/>
        <v>92000</v>
      </c>
      <c r="C93" s="70">
        <f t="shared" si="29"/>
        <v>123.56602087912086</v>
      </c>
      <c r="D93" s="51" t="str">
        <f t="shared" si="30"/>
        <v>0.000952375398495759-0.0000844090088340919i</v>
      </c>
      <c r="E93" s="51" t="str">
        <f t="shared" si="31"/>
        <v>-0.262827164292679-0.202717128730101i</v>
      </c>
      <c r="F93" s="70" t="str">
        <f t="shared" si="32"/>
        <v>-0.000267421277238551-0.000170877825823626i</v>
      </c>
      <c r="G93" s="70" t="str">
        <f t="shared" si="33"/>
        <v>-0.03304418312678-0.0211146929935009i</v>
      </c>
      <c r="H93" s="72">
        <f t="shared" si="34"/>
        <v>3.9214133915285797E-2</v>
      </c>
      <c r="I93" s="51" t="str">
        <f t="shared" si="35"/>
        <v>1.70528968646546-0.00478051762107131i</v>
      </c>
      <c r="J93" s="73" t="str">
        <f t="shared" si="36"/>
        <v>0.0131918512205135-0.114095689146827i</v>
      </c>
      <c r="K93" s="73" t="str">
        <f t="shared" si="37"/>
        <v>0.0219504913792738-0.194629265849467i</v>
      </c>
      <c r="L93" s="73" t="str">
        <f t="shared" si="38"/>
        <v>-0.00483487325282149+0.00596788721603068i</v>
      </c>
      <c r="M93" s="70">
        <f t="shared" si="39"/>
        <v>-42.29209256216123</v>
      </c>
      <c r="N93" s="70">
        <f t="shared" si="40"/>
        <v>309.01260039565329</v>
      </c>
      <c r="O93" s="70">
        <f t="shared" si="28"/>
        <v>-50.987399604346706</v>
      </c>
    </row>
    <row r="94" spans="1:18" ht="15" x14ac:dyDescent="0.2">
      <c r="A94" s="71">
        <f t="shared" si="41"/>
        <v>93</v>
      </c>
      <c r="B94" s="70">
        <f t="shared" si="42"/>
        <v>93000</v>
      </c>
      <c r="C94" s="70">
        <f t="shared" si="29"/>
        <v>123.56602087912086</v>
      </c>
      <c r="D94" s="51" t="str">
        <f t="shared" si="30"/>
        <v>0.000952375245951018-0.0000835013850959375i</v>
      </c>
      <c r="E94" s="51" t="str">
        <f t="shared" si="31"/>
        <v>-0.258653901662655-0.195599388962652i</v>
      </c>
      <c r="F94" s="70" t="str">
        <f t="shared" si="32"/>
        <v>-0.000262668393114462-0.000164686057121874i</v>
      </c>
      <c r="G94" s="70" t="str">
        <f t="shared" si="33"/>
        <v>-0.0324568881478667-0.0203496007728216i</v>
      </c>
      <c r="H94" s="72">
        <f t="shared" si="34"/>
        <v>3.8308691440146467E-2</v>
      </c>
      <c r="I94" s="51" t="str">
        <f t="shared" si="35"/>
        <v>1.70528968646546-0.00472911420579098i</v>
      </c>
      <c r="J94" s="73" t="str">
        <f t="shared" si="36"/>
        <v>0.0129133245001395-0.112900711027405i</v>
      </c>
      <c r="K94" s="73" t="str">
        <f t="shared" si="37"/>
        <v>0.021487038731706-0.192589486695989i</v>
      </c>
      <c r="L94" s="73" t="str">
        <f t="shared" si="38"/>
        <v>-0.00461652158004987+0.0058136027681664i</v>
      </c>
      <c r="M94" s="70">
        <f t="shared" si="39"/>
        <v>-42.587676295306807</v>
      </c>
      <c r="N94" s="70">
        <f t="shared" si="40"/>
        <v>308.45272420726428</v>
      </c>
      <c r="O94" s="70">
        <f t="shared" si="28"/>
        <v>-51.547275792735718</v>
      </c>
    </row>
    <row r="95" spans="1:18" ht="15" x14ac:dyDescent="0.2">
      <c r="A95" s="71">
        <f t="shared" si="41"/>
        <v>94</v>
      </c>
      <c r="B95" s="70">
        <f t="shared" si="42"/>
        <v>94000</v>
      </c>
      <c r="C95" s="70">
        <f t="shared" si="29"/>
        <v>123.56602087912086</v>
      </c>
      <c r="D95" s="51" t="str">
        <f t="shared" si="30"/>
        <v>0.000952375098248784-0.0000826130725007476i</v>
      </c>
      <c r="E95" s="51" t="str">
        <f t="shared" si="31"/>
        <v>-0.254519586567639-0.188800829682434i</v>
      </c>
      <c r="F95" s="70" t="str">
        <f t="shared" si="32"/>
        <v>-0.000257995532894351-0.000158782563660287i</v>
      </c>
      <c r="G95" s="70" t="str">
        <f t="shared" si="33"/>
        <v>-0.0318794814043433-0.0196201295764874i</v>
      </c>
      <c r="H95" s="72">
        <f t="shared" si="34"/>
        <v>3.7433284910731869E-2</v>
      </c>
      <c r="I95" s="51" t="str">
        <f t="shared" si="35"/>
        <v>1.70528968646545-0.00467880448019744i</v>
      </c>
      <c r="J95" s="73" t="str">
        <f t="shared" si="36"/>
        <v>0.0126434897007086-0.111730174388554i</v>
      </c>
      <c r="K95" s="73" t="str">
        <f t="shared" si="37"/>
        <v>0.0210380489470481-0.190591470468044i</v>
      </c>
      <c r="L95" s="73" t="str">
        <f t="shared" si="38"/>
        <v>-0.00441011143694738+0.00566318799223489i</v>
      </c>
      <c r="M95" s="70">
        <f t="shared" si="39"/>
        <v>-42.880175611321931</v>
      </c>
      <c r="N95" s="70">
        <f t="shared" si="40"/>
        <v>307.90906938587483</v>
      </c>
      <c r="O95" s="70">
        <f t="shared" si="28"/>
        <v>-52.09093061412517</v>
      </c>
    </row>
    <row r="96" spans="1:18" ht="15" x14ac:dyDescent="0.2">
      <c r="A96" s="71">
        <f t="shared" si="41"/>
        <v>95</v>
      </c>
      <c r="B96" s="70">
        <f t="shared" si="42"/>
        <v>95000</v>
      </c>
      <c r="C96" s="70">
        <f t="shared" si="29"/>
        <v>123.56602087912086</v>
      </c>
      <c r="D96" s="51" t="str">
        <f t="shared" si="30"/>
        <v>0.000952374955186238-0.0000817434612229716i</v>
      </c>
      <c r="E96" s="51" t="str">
        <f t="shared" si="31"/>
        <v>-0.250429376037459-0.18230490975907i</v>
      </c>
      <c r="F96" s="70" t="str">
        <f t="shared" si="32"/>
        <v>-0.00025340490010264-0.000153151666272814i</v>
      </c>
      <c r="G96" s="70" t="str">
        <f t="shared" si="33"/>
        <v>-0.0313122351769543-0.0189243419923387i</v>
      </c>
      <c r="H96" s="72">
        <f t="shared" si="34"/>
        <v>3.6586702387887984E-2</v>
      </c>
      <c r="I96" s="51" t="str">
        <f t="shared" si="35"/>
        <v>1.70528968646546-0.00462955390672169i</v>
      </c>
      <c r="J96" s="73" t="str">
        <f t="shared" si="36"/>
        <v>0.012381990386903-0.110583347304021i</v>
      </c>
      <c r="K96" s="73" t="str">
        <f t="shared" si="37"/>
        <v>0.0206029289371705-0.188633964744344i</v>
      </c>
      <c r="L96" s="73" t="str">
        <f t="shared" si="38"/>
        <v>-0.00421489741640749+0.00551665419318534i</v>
      </c>
      <c r="M96" s="70">
        <f t="shared" si="39"/>
        <v>-43.169634703908777</v>
      </c>
      <c r="N96" s="70">
        <f t="shared" si="40"/>
        <v>307.38096609181417</v>
      </c>
      <c r="O96" s="70">
        <f t="shared" si="28"/>
        <v>-52.619033908185827</v>
      </c>
    </row>
    <row r="97" spans="1:18" ht="15" x14ac:dyDescent="0.2">
      <c r="A97" s="71">
        <f t="shared" si="41"/>
        <v>96</v>
      </c>
      <c r="B97" s="70">
        <f t="shared" si="42"/>
        <v>96000</v>
      </c>
      <c r="C97" s="70">
        <f t="shared" si="29"/>
        <v>123.56602087912086</v>
      </c>
      <c r="D97" s="51" t="str">
        <f t="shared" si="30"/>
        <v>0.00095237481657107-0.0000808919668464558i</v>
      </c>
      <c r="E97" s="51" t="str">
        <f t="shared" si="31"/>
        <v>-0.246387625758944-0.176095980292277i</v>
      </c>
      <c r="F97" s="70" t="str">
        <f t="shared" si="32"/>
        <v>-0.000248898120087153-0.000147778597275491i</v>
      </c>
      <c r="G97" s="70" t="str">
        <f t="shared" si="33"/>
        <v>-0.0307553503034631-0.0182604132364305i</v>
      </c>
      <c r="H97" s="72">
        <f t="shared" si="34"/>
        <v>3.5767782484436107E-2</v>
      </c>
      <c r="I97" s="51" t="str">
        <f t="shared" si="35"/>
        <v>1.70528968646546-0.00458132938686001i</v>
      </c>
      <c r="J97" s="73" t="str">
        <f t="shared" si="36"/>
        <v>0.01212848813293-0.109459526348963i</v>
      </c>
      <c r="K97" s="73" t="str">
        <f t="shared" si="37"/>
        <v>0.02018111558077-0.186715765967382i</v>
      </c>
      <c r="L97" s="73" t="str">
        <f t="shared" si="38"/>
        <v>-0.0040301843235223+0.00537399327942924i</v>
      </c>
      <c r="M97" s="70">
        <f t="shared" si="39"/>
        <v>-43.45609835387463</v>
      </c>
      <c r="N97" s="70">
        <f t="shared" si="40"/>
        <v>306.8677779702868</v>
      </c>
      <c r="O97" s="70">
        <f t="shared" si="28"/>
        <v>-53.132222029713205</v>
      </c>
    </row>
    <row r="98" spans="1:18" ht="15" x14ac:dyDescent="0.2">
      <c r="A98" s="71">
        <f t="shared" si="41"/>
        <v>97</v>
      </c>
      <c r="B98" s="70">
        <f t="shared" si="42"/>
        <v>97000</v>
      </c>
      <c r="C98" s="70">
        <f t="shared" si="29"/>
        <v>123.56602087912086</v>
      </c>
      <c r="D98" s="51" t="str">
        <f t="shared" si="30"/>
        <v>0.000952374682220833-0.0000800580290546811i</v>
      </c>
      <c r="E98" s="51" t="str">
        <f t="shared" si="31"/>
        <v>-0.242397983147737-0.170159244212842i</v>
      </c>
      <c r="F98" s="70" t="str">
        <f>IMPRODUCT(D98,E98)</f>
        <v>-0.000244476315888411-0.000142649451356505i</v>
      </c>
      <c r="G98" s="70" t="str">
        <f>IMPRODUCT(C98,F98)</f>
        <v>-0.0302089655535179-0.017626625084713i</v>
      </c>
      <c r="H98" s="72">
        <f>IMABS(G98)</f>
        <v>3.4975412959544372E-2</v>
      </c>
      <c r="I98" s="51" t="str">
        <f t="shared" si="35"/>
        <v>1.70528968646545-0.00453409918699546i</v>
      </c>
      <c r="J98" s="73" t="str">
        <f t="shared" si="36"/>
        <v>0.0118826614460327-0.108358035248853i</v>
      </c>
      <c r="K98" s="73" t="str">
        <f>IMPRODUCT(I98,J98)</f>
        <v>0.0197720739321539-0.184835717121131i</v>
      </c>
      <c r="L98" s="73" t="str">
        <f>IMPRODUCT(G98,K98)</f>
        <v>-0.00385532378829629+0.00523518087722272i</v>
      </c>
      <c r="M98" s="70">
        <f>20*LOG(IMABS(L98))</f>
        <v>-43.739611732826319</v>
      </c>
      <c r="N98" s="70">
        <f t="shared" si="40"/>
        <v>306.36890036379498</v>
      </c>
      <c r="O98" s="70">
        <f t="shared" si="28"/>
        <v>-53.631099636205022</v>
      </c>
    </row>
    <row r="99" spans="1:18" ht="15" x14ac:dyDescent="0.2">
      <c r="A99" s="71">
        <f t="shared" si="41"/>
        <v>98</v>
      </c>
      <c r="B99" s="70">
        <f t="shared" si="42"/>
        <v>98000</v>
      </c>
      <c r="C99" s="70">
        <f t="shared" si="29"/>
        <v>123.56602087912086</v>
      </c>
      <c r="D99" s="51" t="str">
        <f t="shared" si="30"/>
        <v>0.000952374551962338-0.0000792411104011894i</v>
      </c>
      <c r="E99" s="51" t="str">
        <f t="shared" si="31"/>
        <v>-0.238463470296582-0.164480715716955i</v>
      </c>
      <c r="F99" s="70" t="str">
        <f>IMPRODUCT(D99,E99)</f>
        <v>-0.000240140175236085-0.000137751137760958i</v>
      </c>
      <c r="G99" s="70" t="str">
        <f>IMPRODUCT(C99,F99)</f>
        <v>-0.0296731659071378-0.0170213599646932i</v>
      </c>
      <c r="H99" s="72">
        <f>IMABS(G99)</f>
        <v>3.4208529199604383E-2</v>
      </c>
      <c r="I99" s="51" t="str">
        <f t="shared" si="35"/>
        <v>1.70528968646545-0.00448783286876082i</v>
      </c>
      <c r="J99" s="73" t="str">
        <f t="shared" si="36"/>
        <v>0.0116442047640161-0.107278223603067i</v>
      </c>
      <c r="K99" s="73" t="str">
        <f>IMPRODUCT(I99,J99)</f>
        <v>0.0193752955531804-0.182992705537515i</v>
      </c>
      <c r="L99" s="73" t="str">
        <f>IMPRODUCT(G99,K99)</f>
        <v>-0.0036897110713165+0.00510017903117769i</v>
      </c>
      <c r="M99" s="70">
        <f>20*LOG(IMABS(L99))</f>
        <v>-44.020220231906976</v>
      </c>
      <c r="N99" s="70">
        <f t="shared" si="40"/>
        <v>305.88375860751182</v>
      </c>
      <c r="O99" s="70">
        <f t="shared" si="28"/>
        <v>-54.116241392488178</v>
      </c>
    </row>
    <row r="100" spans="1:18" ht="15" x14ac:dyDescent="0.2">
      <c r="A100" s="71">
        <f t="shared" si="41"/>
        <v>99</v>
      </c>
      <c r="B100" s="70">
        <f>(fs*1000/2)*(A100/100)</f>
        <v>99000</v>
      </c>
      <c r="C100" s="70">
        <f t="shared" si="29"/>
        <v>123.56602087912086</v>
      </c>
      <c r="D100" s="51" t="str">
        <f t="shared" si="30"/>
        <v>0.000952374425631101-0.0000784406951545307i</v>
      </c>
      <c r="E100" s="51" t="str">
        <f t="shared" si="31"/>
        <v>-0.234586557851577-0.159047180025381i</v>
      </c>
      <c r="F100" s="70" t="str">
        <f>IMPRODUCT(D100,E100)</f>
        <v>-0.000235890009658231-0.000133071334053132i</v>
      </c>
      <c r="G100" s="70" t="str">
        <f>IMPRODUCT(C100,F100)</f>
        <v>-0.029147989858605-0.0164430952420218i</v>
      </c>
      <c r="H100" s="72">
        <f>IMABS(G100)</f>
        <v>3.3466112620612803E-2</v>
      </c>
      <c r="I100" s="51" t="str">
        <f t="shared" si="35"/>
        <v>1.70528968646546-0.00444250122362182i</v>
      </c>
      <c r="J100" s="73" t="str">
        <f t="shared" si="36"/>
        <v>0.0114128275210516-0.106219465678501i</v>
      </c>
      <c r="K100" s="73" t="str">
        <f>IMPRODUCT(I100,J100)</f>
        <v>0.0189902969588093-0.181185660823647i</v>
      </c>
      <c r="L100" s="73" t="str">
        <f>IMPRODUCT(G100,K100)</f>
        <v>-0.00353278206057916+0.00496893854264433i</v>
      </c>
      <c r="M100" s="70">
        <f>20*LOG(IMABS(L100))</f>
        <v>-44.297969312766767</v>
      </c>
      <c r="N100" s="70">
        <f t="shared" si="40"/>
        <v>305.41180640729658</v>
      </c>
      <c r="O100" s="70">
        <f t="shared" si="28"/>
        <v>-54.588193592703419</v>
      </c>
    </row>
    <row r="101" spans="1:18" ht="15" x14ac:dyDescent="0.2">
      <c r="A101" s="71">
        <f>1+A100</f>
        <v>100</v>
      </c>
      <c r="B101" s="70">
        <f>(fs*1000/2)*(A101/100)</f>
        <v>100000</v>
      </c>
      <c r="C101" s="70">
        <f t="shared" si="29"/>
        <v>123.56602087912086</v>
      </c>
      <c r="D101" s="51" t="str">
        <f t="shared" si="30"/>
        <v>0.000952374303070819-0.000077656288212512i</v>
      </c>
      <c r="E101" s="51" t="str">
        <f t="shared" si="31"/>
        <v>-0.230769230769231-0.153846153846154i</v>
      </c>
      <c r="F101" s="70" t="str">
        <f>IMPRODUCT(D101,E101)</f>
        <v>-0.000231725806587499-0.000128598441654162i</v>
      </c>
      <c r="G101" s="70" t="str">
        <f>IMPRODUCT(C101,F101)</f>
        <v>-0.028633435855022-0.0158903977264606i</v>
      </c>
      <c r="H101" s="72">
        <f>IMABS(G101)</f>
        <v>3.2747189020872668E-2</v>
      </c>
      <c r="I101" s="51" t="str">
        <f t="shared" si="35"/>
        <v>1.70528968646545-0.00439807621138559i</v>
      </c>
      <c r="J101" s="73" t="str">
        <f t="shared" si="36"/>
        <v>0.0111882532765203-0.105181159268857i</v>
      </c>
      <c r="K101" s="73" t="str">
        <f>IMPRODUCT(I101,J101)</f>
        <v>0.018616618167547-0.179413552902244i</v>
      </c>
      <c r="L101" s="73" t="str">
        <f>IMPRODUCT(G101,K101)</f>
        <v>-0.00338401045527193+0.00484140099154403i</v>
      </c>
      <c r="M101" s="70">
        <f>20*LOG(IMABS(L101))</f>
        <v>-44.572904378260212</v>
      </c>
      <c r="N101" s="70">
        <f t="shared" si="40"/>
        <v>304.95252429919458</v>
      </c>
      <c r="O101" s="70">
        <f t="shared" si="28"/>
        <v>-55.047475700805421</v>
      </c>
      <c r="P101" s="70">
        <v>-32.747</v>
      </c>
      <c r="Q101" s="70">
        <v>307.64999999999998</v>
      </c>
      <c r="R101" s="70">
        <f>B101</f>
        <v>100000</v>
      </c>
    </row>
  </sheetData>
  <phoneticPr fontId="21" type="noConversion"/>
  <pageMargins left="0.75" right="0.75" top="1" bottom="1" header="0.5" footer="0.5"/>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45"/>
  <sheetViews>
    <sheetView workbookViewId="0">
      <selection activeCell="C34" sqref="C34"/>
    </sheetView>
  </sheetViews>
  <sheetFormatPr defaultRowHeight="12.75" x14ac:dyDescent="0.2"/>
  <cols>
    <col min="1" max="1" width="9.140625" style="2"/>
    <col min="2" max="2" width="19.28515625" style="2" bestFit="1" customWidth="1"/>
    <col min="3" max="3" width="12.42578125" style="2" bestFit="1" customWidth="1"/>
    <col min="4" max="4" width="7.7109375" style="2" customWidth="1"/>
    <col min="5" max="8" width="8.7109375" style="3" customWidth="1"/>
    <col min="9" max="9" width="8.7109375" style="5" customWidth="1"/>
    <col min="10" max="11" width="9.140625" style="35"/>
    <col min="12" max="12" width="4.7109375" style="35" bestFit="1" customWidth="1"/>
    <col min="13" max="13" width="10.28515625" style="3" customWidth="1"/>
    <col min="14" max="14" width="9.140625" style="3"/>
    <col min="15" max="16384" width="9.140625" style="47"/>
  </cols>
  <sheetData>
    <row r="1" spans="1:14" ht="18.75" thickBot="1" x14ac:dyDescent="0.3">
      <c r="A1" s="45"/>
      <c r="B1" s="3"/>
      <c r="C1" s="3"/>
      <c r="D1" s="3"/>
      <c r="E1" s="4" t="s">
        <v>138</v>
      </c>
      <c r="J1" s="4" t="s">
        <v>139</v>
      </c>
      <c r="K1" s="6"/>
      <c r="L1" s="6"/>
      <c r="N1" s="6"/>
    </row>
    <row r="2" spans="1:14" ht="13.5" thickBot="1" x14ac:dyDescent="0.25">
      <c r="A2" s="3"/>
      <c r="B2" s="7" t="s">
        <v>140</v>
      </c>
      <c r="C2" s="8">
        <v>127</v>
      </c>
      <c r="D2" s="3"/>
      <c r="E2" s="111" t="s">
        <v>141</v>
      </c>
      <c r="F2" s="112"/>
      <c r="G2" s="113" t="s">
        <v>142</v>
      </c>
      <c r="H2" s="114"/>
      <c r="J2" s="9" t="s">
        <v>143</v>
      </c>
      <c r="K2" s="10">
        <v>1000</v>
      </c>
      <c r="L2" s="11" t="s">
        <v>62</v>
      </c>
      <c r="N2" s="20"/>
    </row>
    <row r="3" spans="1:14" ht="13.5" thickBot="1" x14ac:dyDescent="0.25">
      <c r="B3" s="3"/>
      <c r="C3" s="2" t="s">
        <v>19</v>
      </c>
      <c r="E3" s="12">
        <v>100</v>
      </c>
      <c r="F3" s="13">
        <v>150</v>
      </c>
      <c r="G3" s="14">
        <v>100</v>
      </c>
      <c r="H3" s="15">
        <v>102</v>
      </c>
      <c r="J3" s="9"/>
      <c r="K3" s="16">
        <f>IF(K2&lt;10000,sta*10^INT(LOG(K2)),stb*10^INT(LOG(K2)))</f>
        <v>1000</v>
      </c>
      <c r="L3" s="17" t="s">
        <v>62</v>
      </c>
      <c r="N3" s="24"/>
    </row>
    <row r="4" spans="1:14" ht="13.5" thickBot="1" x14ac:dyDescent="0.25">
      <c r="B4" s="18" t="s">
        <v>144</v>
      </c>
      <c r="C4" s="67">
        <f>(IF((10^(LOG(C2)-INT(LOG(C2)))*100)-VLOOKUP((10^(LOG(C2)-INT(LOG(C2)))*100),E6_s:E6_f,1)&lt;VLOOKUP((10^(LOG(C2)-INT(LOG(C2)))*100),E6_s:E6_f,2)-(10^(LOG(C2)-INT(LOG(C2)))*100),VLOOKUP((10^(LOG(C2)-INT(LOG(C2)))*100),E6_s:E6_f,1),VLOOKUP((10^(LOG(C2)-INT(LOG(C2)))*100),E6_s:E6_f,2)))*10^INT(LOG(C2))/100</f>
        <v>150</v>
      </c>
      <c r="E4" s="13">
        <v>150</v>
      </c>
      <c r="F4" s="12">
        <v>220</v>
      </c>
      <c r="G4" s="15">
        <v>102</v>
      </c>
      <c r="H4" s="14">
        <v>105</v>
      </c>
      <c r="J4" s="19"/>
      <c r="K4" s="20"/>
      <c r="L4" s="21"/>
      <c r="N4" s="24"/>
    </row>
    <row r="5" spans="1:14" ht="13.5" thickBot="1" x14ac:dyDescent="0.25">
      <c r="B5" s="22" t="s">
        <v>145</v>
      </c>
      <c r="C5" s="66">
        <f>(IF((10^(LOG(C2)-INT(LOG(C2)))*100)-VLOOKUP((10^(LOG(C2)-INT(LOG(C2)))*100),E12_s:E12_f,1)&lt;VLOOKUP((10^(LOG(C2)-INT(LOG(C2)))*100),E12_s:E12_f,2)-(10^(LOG(C2)-INT(LOG(C2)))*100),VLOOKUP((10^(LOG(C2)-INT(LOG(C2)))*100),E12_s:E12_f,1),VLOOKUP((10^(LOG(C2)-INT(LOG(C2)))*100),E12_s:E12_f,2)))*10^INT(LOG(C2))/100</f>
        <v>120</v>
      </c>
      <c r="E5" s="12">
        <v>220</v>
      </c>
      <c r="F5" s="13">
        <v>330</v>
      </c>
      <c r="G5" s="14">
        <v>105</v>
      </c>
      <c r="H5" s="15">
        <v>107</v>
      </c>
      <c r="J5" s="23" t="s">
        <v>146</v>
      </c>
      <c r="K5" s="24"/>
      <c r="L5" s="3"/>
      <c r="N5" s="24"/>
    </row>
    <row r="6" spans="1:14" ht="13.5" thickBot="1" x14ac:dyDescent="0.25">
      <c r="B6" s="22" t="s">
        <v>147</v>
      </c>
      <c r="C6" s="66">
        <f>(IF((10^(LOG(C2)-INT(LOG(C2)))*100)-VLOOKUP((10^(LOG(C2)-INT(LOG(C2)))*100),E24_s:E24_f,1)&lt;VLOOKUP((10^(LOG(C2)-INT(LOG(C2)))*100),E24_s:E24_f,2)-(10^(LOG(C2)-INT(LOG(C2)))*100),VLOOKUP((10^(LOG(C2)-INT(LOG(C2)))*100),E24_s:E24_f,1),VLOOKUP((10^(LOG(C2)-INT(LOG(C2)))*100),E24_s:E24_f,2)))*10^INT(LOG(C2))/100</f>
        <v>130</v>
      </c>
      <c r="E6" s="13">
        <v>330</v>
      </c>
      <c r="F6" s="12">
        <v>470</v>
      </c>
      <c r="G6" s="15">
        <v>107</v>
      </c>
      <c r="H6" s="14">
        <v>110</v>
      </c>
      <c r="J6" s="24">
        <v>1</v>
      </c>
      <c r="K6" s="24">
        <v>1.2</v>
      </c>
      <c r="L6" s="25">
        <f>IF((10^(LOG(K2)-INT(LOG(K2))))-VLOOKUP((10^(LOG(K2)-INT(LOG(K2)))),c_s1:C_f1,1)&lt;VLOOKUP((10^(LOG(K2)-INT(LOG(K2)))),c_s1:C_f1,2)-(10^(LOG(K2)-INT(LOG(K2)))),VLOOKUP((10^(LOG(K2)-INT(LOG(K2)))),c_s1:C_f1,1),VLOOKUP((10^(LOG(K2)-INT(LOG(K2)))),c_s1:C_f1,2))</f>
        <v>1</v>
      </c>
      <c r="N6" s="24"/>
    </row>
    <row r="7" spans="1:14" ht="13.5" thickBot="1" x14ac:dyDescent="0.25">
      <c r="B7" s="22" t="s">
        <v>148</v>
      </c>
      <c r="C7" s="66">
        <f>(IF((10^(LOG(C2)-INT(LOG(C2)))*100)-VLOOKUP((10^(LOG(C2)-INT(LOG(C2)))*100),E48_s:E48_f,1)&lt;VLOOKUP((10^(LOG(C2)-INT(LOG(C2)))*100),E48_s:E48_f,2)-(10^(LOG(C2)-INT(LOG(C2)))*100),VLOOKUP((10^(LOG(C2)-INT(LOG(C2)))*100),E48_s:E48_f,1),VLOOKUP((10^(LOG(C2)-INT(LOG(C2)))*100),E48_s:E48_f,2)))*10^INT(LOG(C2))/100</f>
        <v>127</v>
      </c>
      <c r="E7" s="12">
        <v>470</v>
      </c>
      <c r="F7" s="13">
        <v>680</v>
      </c>
      <c r="G7" s="14">
        <v>110</v>
      </c>
      <c r="H7" s="15">
        <v>113</v>
      </c>
      <c r="J7" s="24">
        <v>1.2</v>
      </c>
      <c r="K7" s="24">
        <v>1.5</v>
      </c>
      <c r="L7" s="26"/>
      <c r="N7" s="24"/>
    </row>
    <row r="8" spans="1:14" ht="13.5" thickBot="1" x14ac:dyDescent="0.25">
      <c r="B8" s="27" t="s">
        <v>149</v>
      </c>
      <c r="C8" s="68">
        <f>(IF((10^(LOG(C2)-INT(LOG(C2)))*100)-VLOOKUP((10^(LOG(C2)-INT(LOG(C2)))*100),E96_s:E96_f,1)&lt;VLOOKUP((10^(LOG(C2)-INT(LOG(C2)))*100),E96_s:E96_f,2)-(10^(LOG(C2)-INT(LOG(C2)))*100),VLOOKUP((10^(LOG(C2)-INT(LOG(C2)))*100),E96_s:E96_f,1),VLOOKUP((10^(LOG(C2)-INT(LOG(C2)))*100),E96_s:E96_f,2)))*10^INT(LOG(C2))/100</f>
        <v>127</v>
      </c>
      <c r="D8" s="3"/>
      <c r="E8" s="13">
        <v>680</v>
      </c>
      <c r="F8" s="13">
        <v>1000</v>
      </c>
      <c r="G8" s="15">
        <v>113</v>
      </c>
      <c r="H8" s="14">
        <v>115</v>
      </c>
      <c r="J8" s="24">
        <v>1.5</v>
      </c>
      <c r="K8" s="24">
        <v>1.8</v>
      </c>
      <c r="L8" s="26"/>
      <c r="N8" s="24"/>
    </row>
    <row r="9" spans="1:14" ht="13.5" thickBot="1" x14ac:dyDescent="0.25">
      <c r="E9" s="115" t="s">
        <v>150</v>
      </c>
      <c r="F9" s="116"/>
      <c r="G9" s="14">
        <v>115</v>
      </c>
      <c r="H9" s="15">
        <v>118</v>
      </c>
      <c r="J9" s="24">
        <v>1.8</v>
      </c>
      <c r="K9" s="24">
        <v>2.2000000000000002</v>
      </c>
      <c r="L9" s="29"/>
      <c r="N9" s="24"/>
    </row>
    <row r="10" spans="1:14" ht="13.5" thickBot="1" x14ac:dyDescent="0.25">
      <c r="E10" s="30">
        <v>100</v>
      </c>
      <c r="F10" s="31">
        <v>120</v>
      </c>
      <c r="G10" s="15">
        <v>118</v>
      </c>
      <c r="H10" s="14">
        <v>121</v>
      </c>
      <c r="J10" s="24">
        <v>2.2000000000000002</v>
      </c>
      <c r="K10" s="24">
        <v>2.7</v>
      </c>
      <c r="L10" s="3"/>
      <c r="N10" s="24"/>
    </row>
    <row r="11" spans="1:14" ht="13.5" thickBot="1" x14ac:dyDescent="0.25">
      <c r="E11" s="31">
        <v>120</v>
      </c>
      <c r="F11" s="31">
        <v>150</v>
      </c>
      <c r="G11" s="14">
        <v>121</v>
      </c>
      <c r="H11" s="15">
        <v>124</v>
      </c>
      <c r="J11" s="24">
        <v>2.7</v>
      </c>
      <c r="K11" s="24">
        <v>3.3</v>
      </c>
      <c r="L11" s="3"/>
      <c r="N11" s="24"/>
    </row>
    <row r="12" spans="1:14" ht="13.5" thickBot="1" x14ac:dyDescent="0.25">
      <c r="C12" s="34"/>
      <c r="E12" s="31">
        <v>150</v>
      </c>
      <c r="F12" s="31">
        <v>180</v>
      </c>
      <c r="G12" s="15">
        <v>124</v>
      </c>
      <c r="H12" s="14">
        <v>127</v>
      </c>
      <c r="J12" s="24">
        <v>3.3</v>
      </c>
      <c r="K12" s="24">
        <v>3.9</v>
      </c>
      <c r="L12" s="3"/>
      <c r="N12" s="24"/>
    </row>
    <row r="13" spans="1:14" ht="13.5" thickBot="1" x14ac:dyDescent="0.25">
      <c r="E13" s="31">
        <v>180</v>
      </c>
      <c r="F13" s="30">
        <v>220</v>
      </c>
      <c r="G13" s="14">
        <v>127</v>
      </c>
      <c r="H13" s="15">
        <v>130</v>
      </c>
      <c r="J13" s="24">
        <v>3.9</v>
      </c>
      <c r="K13" s="24">
        <v>4.7</v>
      </c>
      <c r="L13" s="3"/>
      <c r="N13" s="24"/>
    </row>
    <row r="14" spans="1:14" ht="13.5" thickBot="1" x14ac:dyDescent="0.25">
      <c r="D14" s="32"/>
      <c r="E14" s="30">
        <v>220</v>
      </c>
      <c r="F14" s="31">
        <v>270</v>
      </c>
      <c r="G14" s="15">
        <v>130</v>
      </c>
      <c r="H14" s="14">
        <v>133</v>
      </c>
      <c r="J14" s="24">
        <v>4.7</v>
      </c>
      <c r="K14" s="24">
        <v>5.6</v>
      </c>
      <c r="L14" s="3"/>
      <c r="N14" s="24"/>
    </row>
    <row r="15" spans="1:14" ht="13.5" thickBot="1" x14ac:dyDescent="0.25">
      <c r="A15" s="46"/>
      <c r="B15" s="33"/>
      <c r="D15" s="34"/>
      <c r="E15" s="31">
        <v>270</v>
      </c>
      <c r="F15" s="31">
        <v>330</v>
      </c>
      <c r="G15" s="14">
        <v>133</v>
      </c>
      <c r="H15" s="15">
        <v>137</v>
      </c>
      <c r="J15" s="24">
        <v>5.6</v>
      </c>
      <c r="K15" s="24">
        <v>6.8</v>
      </c>
      <c r="L15" s="3"/>
      <c r="N15" s="24"/>
    </row>
    <row r="16" spans="1:14" ht="13.5" thickBot="1" x14ac:dyDescent="0.25">
      <c r="A16" s="46"/>
      <c r="B16" s="33"/>
      <c r="D16" s="34"/>
      <c r="E16" s="31">
        <v>330</v>
      </c>
      <c r="F16" s="31">
        <v>390</v>
      </c>
      <c r="G16" s="15">
        <v>137</v>
      </c>
      <c r="H16" s="14">
        <v>140</v>
      </c>
      <c r="J16" s="24">
        <v>6.8</v>
      </c>
      <c r="K16" s="24">
        <v>8.1999999999999993</v>
      </c>
      <c r="L16" s="3"/>
      <c r="N16" s="24"/>
    </row>
    <row r="17" spans="1:14" ht="13.5" thickBot="1" x14ac:dyDescent="0.25">
      <c r="A17" s="46"/>
      <c r="B17" s="33"/>
      <c r="D17" s="34"/>
      <c r="E17" s="31">
        <v>390</v>
      </c>
      <c r="F17" s="30">
        <v>470</v>
      </c>
      <c r="G17" s="14">
        <v>140</v>
      </c>
      <c r="H17" s="15">
        <v>143</v>
      </c>
      <c r="J17" s="24">
        <v>8.1999999999999993</v>
      </c>
      <c r="K17" s="24">
        <v>10</v>
      </c>
      <c r="L17" s="3"/>
      <c r="N17" s="24"/>
    </row>
    <row r="18" spans="1:14" ht="13.5" thickBot="1" x14ac:dyDescent="0.25">
      <c r="A18" s="46"/>
      <c r="B18" s="33"/>
      <c r="D18" s="34"/>
      <c r="E18" s="30">
        <v>470</v>
      </c>
      <c r="F18" s="31">
        <v>560</v>
      </c>
      <c r="G18" s="15">
        <v>143</v>
      </c>
      <c r="H18" s="14">
        <v>147</v>
      </c>
      <c r="J18" s="23" t="s">
        <v>151</v>
      </c>
      <c r="K18" s="24"/>
      <c r="L18" s="24"/>
      <c r="N18" s="24"/>
    </row>
    <row r="19" spans="1:14" ht="13.5" thickBot="1" x14ac:dyDescent="0.25">
      <c r="A19" s="46"/>
      <c r="B19" s="33"/>
      <c r="D19" s="34"/>
      <c r="E19" s="31">
        <v>560</v>
      </c>
      <c r="F19" s="31">
        <v>680</v>
      </c>
      <c r="G19" s="14">
        <v>147</v>
      </c>
      <c r="H19" s="15">
        <v>150</v>
      </c>
      <c r="J19" s="24">
        <v>1</v>
      </c>
      <c r="K19" s="24">
        <v>1.5</v>
      </c>
      <c r="L19" s="25">
        <f>IF((10^(LOG(K2)-INT(LOG(K2))))-VLOOKUP((10^(LOG(K2)-INT(LOG(K2)))),C_s2:C_f2,1)&lt;VLOOKUP((10^(LOG(K2)-INT(LOG(K2)))),C_s2:C_f2,2)-(10^(LOG(K2)-INT(LOG(K2)))),VLOOKUP((10^(LOG(K2)-INT(LOG(K2)))),C_s2:C_f2,1),VLOOKUP((10^(LOG(K2)-INT(LOG(K2)))),C_s2:C_f2,2))</f>
        <v>1</v>
      </c>
      <c r="N19" s="24"/>
    </row>
    <row r="20" spans="1:14" ht="13.5" thickBot="1" x14ac:dyDescent="0.25">
      <c r="A20" s="46"/>
      <c r="B20" s="33"/>
      <c r="D20" s="34"/>
      <c r="E20" s="28">
        <v>680</v>
      </c>
      <c r="F20" s="31">
        <v>820</v>
      </c>
      <c r="G20" s="15">
        <v>150</v>
      </c>
      <c r="H20" s="14">
        <v>154</v>
      </c>
      <c r="J20" s="24">
        <v>1.5</v>
      </c>
      <c r="K20" s="24">
        <v>2.2000000000000002</v>
      </c>
      <c r="N20" s="24"/>
    </row>
    <row r="21" spans="1:14" ht="13.5" thickBot="1" x14ac:dyDescent="0.25">
      <c r="A21" s="46"/>
      <c r="B21" s="33"/>
      <c r="D21" s="34"/>
      <c r="E21" s="28">
        <v>820</v>
      </c>
      <c r="F21" s="31">
        <v>1000</v>
      </c>
      <c r="G21" s="14">
        <v>154</v>
      </c>
      <c r="H21" s="15">
        <v>158</v>
      </c>
      <c r="J21" s="24">
        <v>2.2000000000000002</v>
      </c>
      <c r="K21" s="24">
        <v>3.3</v>
      </c>
      <c r="L21" s="25"/>
      <c r="N21" s="24"/>
    </row>
    <row r="22" spans="1:14" ht="13.5" thickBot="1" x14ac:dyDescent="0.25">
      <c r="A22" s="46"/>
      <c r="B22" s="33"/>
      <c r="D22" s="34"/>
      <c r="E22" s="117" t="s">
        <v>152</v>
      </c>
      <c r="F22" s="118"/>
      <c r="G22" s="15">
        <v>158</v>
      </c>
      <c r="H22" s="14">
        <v>162</v>
      </c>
      <c r="J22" s="24">
        <v>3.3</v>
      </c>
      <c r="K22" s="24">
        <v>4.7</v>
      </c>
      <c r="L22" s="25"/>
      <c r="N22" s="24"/>
    </row>
    <row r="23" spans="1:14" ht="13.5" thickBot="1" x14ac:dyDescent="0.25">
      <c r="A23" s="46"/>
      <c r="B23" s="33"/>
      <c r="D23" s="34"/>
      <c r="E23" s="36">
        <v>100</v>
      </c>
      <c r="F23" s="37">
        <v>110</v>
      </c>
      <c r="G23" s="14">
        <v>162</v>
      </c>
      <c r="H23" s="15">
        <v>165</v>
      </c>
      <c r="J23" s="24">
        <v>4.7</v>
      </c>
      <c r="K23" s="24">
        <v>6.8</v>
      </c>
      <c r="L23" s="3"/>
    </row>
    <row r="24" spans="1:14" ht="13.5" thickBot="1" x14ac:dyDescent="0.25">
      <c r="A24" s="46"/>
      <c r="B24" s="33"/>
      <c r="D24" s="34"/>
      <c r="E24" s="37">
        <v>110</v>
      </c>
      <c r="F24" s="37">
        <v>120</v>
      </c>
      <c r="G24" s="15">
        <v>165</v>
      </c>
      <c r="H24" s="14">
        <v>169</v>
      </c>
      <c r="J24" s="24">
        <v>6.8</v>
      </c>
      <c r="K24" s="24">
        <v>10</v>
      </c>
      <c r="L24" s="3"/>
    </row>
    <row r="25" spans="1:14" ht="13.5" thickBot="1" x14ac:dyDescent="0.25">
      <c r="A25" s="46"/>
      <c r="B25" s="33"/>
      <c r="D25" s="34"/>
      <c r="E25" s="37">
        <v>120</v>
      </c>
      <c r="F25" s="37">
        <v>130</v>
      </c>
      <c r="G25" s="14">
        <v>169</v>
      </c>
      <c r="H25" s="15">
        <v>174</v>
      </c>
      <c r="J25" s="38"/>
      <c r="K25" s="38"/>
      <c r="L25" s="38"/>
    </row>
    <row r="26" spans="1:14" ht="13.5" thickBot="1" x14ac:dyDescent="0.25">
      <c r="A26" s="46"/>
      <c r="B26" s="33"/>
      <c r="D26" s="34"/>
      <c r="E26" s="37">
        <v>130</v>
      </c>
      <c r="F26" s="37">
        <v>150</v>
      </c>
      <c r="G26" s="15">
        <v>174</v>
      </c>
      <c r="H26" s="14">
        <v>178</v>
      </c>
      <c r="J26" s="38"/>
      <c r="K26" s="38"/>
      <c r="L26" s="38"/>
    </row>
    <row r="27" spans="1:14" ht="13.5" thickBot="1" x14ac:dyDescent="0.25">
      <c r="A27" s="46"/>
      <c r="B27" s="33"/>
      <c r="D27" s="34"/>
      <c r="E27" s="37">
        <v>150</v>
      </c>
      <c r="F27" s="37">
        <v>160</v>
      </c>
      <c r="G27" s="14">
        <v>178</v>
      </c>
      <c r="H27" s="15">
        <v>182</v>
      </c>
      <c r="I27" s="39"/>
      <c r="J27" s="38"/>
      <c r="K27" s="38"/>
      <c r="L27" s="38"/>
    </row>
    <row r="28" spans="1:14" ht="13.5" thickBot="1" x14ac:dyDescent="0.25">
      <c r="A28" s="46"/>
      <c r="B28" s="33"/>
      <c r="D28" s="34"/>
      <c r="E28" s="37">
        <v>160</v>
      </c>
      <c r="F28" s="37">
        <v>180</v>
      </c>
      <c r="G28" s="15">
        <v>182</v>
      </c>
      <c r="H28" s="14">
        <v>187</v>
      </c>
      <c r="I28" s="39"/>
      <c r="J28" s="38"/>
      <c r="K28" s="38"/>
      <c r="L28" s="38"/>
    </row>
    <row r="29" spans="1:14" ht="13.5" thickBot="1" x14ac:dyDescent="0.25">
      <c r="A29" s="46"/>
      <c r="B29" s="33"/>
      <c r="D29" s="34"/>
      <c r="E29" s="37">
        <v>180</v>
      </c>
      <c r="F29" s="40">
        <v>200</v>
      </c>
      <c r="G29" s="14">
        <v>187</v>
      </c>
      <c r="H29" s="15">
        <v>191</v>
      </c>
      <c r="I29" s="39"/>
      <c r="J29" s="38"/>
      <c r="K29" s="38"/>
      <c r="L29" s="38"/>
    </row>
    <row r="30" spans="1:14" ht="13.5" thickBot="1" x14ac:dyDescent="0.25">
      <c r="A30" s="46"/>
      <c r="B30" s="33"/>
      <c r="D30" s="34"/>
      <c r="E30" s="40">
        <v>200</v>
      </c>
      <c r="F30" s="36">
        <v>220</v>
      </c>
      <c r="G30" s="15">
        <v>191</v>
      </c>
      <c r="H30" s="14">
        <v>196</v>
      </c>
      <c r="I30" s="39"/>
      <c r="J30" s="38"/>
      <c r="K30" s="38"/>
      <c r="L30" s="38"/>
    </row>
    <row r="31" spans="1:14" ht="13.5" thickBot="1" x14ac:dyDescent="0.25">
      <c r="A31" s="46"/>
      <c r="B31" s="33"/>
      <c r="D31" s="34"/>
      <c r="E31" s="36">
        <v>220</v>
      </c>
      <c r="F31" s="37">
        <v>240</v>
      </c>
      <c r="G31" s="14">
        <v>196</v>
      </c>
      <c r="H31" s="15">
        <v>200</v>
      </c>
      <c r="I31" s="39"/>
      <c r="J31" s="38"/>
      <c r="K31" s="38"/>
      <c r="L31" s="38"/>
      <c r="N31" s="42"/>
    </row>
    <row r="32" spans="1:14" ht="13.5" thickBot="1" x14ac:dyDescent="0.25">
      <c r="A32" s="46"/>
      <c r="B32" s="33"/>
      <c r="D32" s="34"/>
      <c r="E32" s="37">
        <v>240</v>
      </c>
      <c r="F32" s="37">
        <v>270</v>
      </c>
      <c r="G32" s="15">
        <v>200</v>
      </c>
      <c r="H32" s="14">
        <v>205</v>
      </c>
      <c r="I32" s="39"/>
      <c r="J32" s="38"/>
      <c r="K32" s="38"/>
      <c r="L32" s="38"/>
      <c r="N32" s="42"/>
    </row>
    <row r="33" spans="1:14" s="42" customFormat="1" ht="13.5" thickBot="1" x14ac:dyDescent="0.25">
      <c r="A33" s="46"/>
      <c r="B33" s="33"/>
      <c r="C33" s="2"/>
      <c r="D33" s="34"/>
      <c r="E33" s="37">
        <v>270</v>
      </c>
      <c r="F33" s="37">
        <v>300</v>
      </c>
      <c r="G33" s="14">
        <v>205</v>
      </c>
      <c r="H33" s="15">
        <v>210</v>
      </c>
      <c r="I33" s="41"/>
      <c r="J33" s="38"/>
      <c r="K33" s="38"/>
      <c r="L33" s="38"/>
    </row>
    <row r="34" spans="1:14" s="42" customFormat="1" ht="13.5" thickBot="1" x14ac:dyDescent="0.25">
      <c r="E34" s="37">
        <v>300</v>
      </c>
      <c r="F34" s="37">
        <v>330</v>
      </c>
      <c r="G34" s="15">
        <v>210</v>
      </c>
      <c r="H34" s="14">
        <v>215</v>
      </c>
      <c r="I34" s="5"/>
      <c r="J34" s="38"/>
      <c r="K34" s="38"/>
      <c r="L34" s="38"/>
    </row>
    <row r="35" spans="1:14" s="42" customFormat="1" ht="13.5" thickBot="1" x14ac:dyDescent="0.25">
      <c r="E35" s="37">
        <v>330</v>
      </c>
      <c r="F35" s="37">
        <v>360</v>
      </c>
      <c r="G35" s="14">
        <v>215</v>
      </c>
      <c r="H35" s="15">
        <v>221</v>
      </c>
      <c r="I35" s="5"/>
      <c r="J35" s="38"/>
      <c r="K35" s="38"/>
      <c r="L35" s="38"/>
    </row>
    <row r="36" spans="1:14" s="42" customFormat="1" ht="13.5" thickBot="1" x14ac:dyDescent="0.25">
      <c r="E36" s="37">
        <v>360</v>
      </c>
      <c r="F36" s="37">
        <v>390</v>
      </c>
      <c r="G36" s="15">
        <v>221</v>
      </c>
      <c r="H36" s="14">
        <v>226</v>
      </c>
      <c r="I36" s="5"/>
      <c r="J36" s="38"/>
      <c r="K36" s="38"/>
      <c r="L36" s="38"/>
      <c r="N36" s="3"/>
    </row>
    <row r="37" spans="1:14" s="42" customFormat="1" ht="13.5" thickBot="1" x14ac:dyDescent="0.25">
      <c r="E37" s="37">
        <v>390</v>
      </c>
      <c r="F37" s="40">
        <v>430</v>
      </c>
      <c r="G37" s="14">
        <v>226</v>
      </c>
      <c r="H37" s="15">
        <v>232</v>
      </c>
      <c r="I37" s="39"/>
      <c r="J37" s="38"/>
      <c r="K37" s="38"/>
      <c r="L37" s="38"/>
      <c r="N37" s="3"/>
    </row>
    <row r="38" spans="1:14" ht="13.5" thickBot="1" x14ac:dyDescent="0.25">
      <c r="E38" s="40">
        <v>430</v>
      </c>
      <c r="F38" s="36">
        <v>470</v>
      </c>
      <c r="G38" s="15">
        <v>232</v>
      </c>
      <c r="H38" s="14">
        <v>237</v>
      </c>
      <c r="I38" s="39"/>
      <c r="J38" s="38"/>
      <c r="K38" s="38"/>
      <c r="L38" s="38"/>
    </row>
    <row r="39" spans="1:14" ht="13.5" thickBot="1" x14ac:dyDescent="0.25">
      <c r="E39" s="36">
        <v>470</v>
      </c>
      <c r="F39" s="37">
        <v>510</v>
      </c>
      <c r="G39" s="14">
        <v>237</v>
      </c>
      <c r="H39" s="15">
        <v>243</v>
      </c>
      <c r="I39" s="39"/>
      <c r="J39" s="38"/>
      <c r="K39" s="38"/>
      <c r="L39" s="38"/>
    </row>
    <row r="40" spans="1:14" ht="13.5" thickBot="1" x14ac:dyDescent="0.25">
      <c r="E40" s="37">
        <v>510</v>
      </c>
      <c r="F40" s="37">
        <v>560</v>
      </c>
      <c r="G40" s="15">
        <v>243</v>
      </c>
      <c r="H40" s="14">
        <v>249</v>
      </c>
      <c r="I40" s="39"/>
      <c r="J40" s="38"/>
      <c r="K40" s="38"/>
      <c r="L40" s="38"/>
    </row>
    <row r="41" spans="1:14" ht="13.5" thickBot="1" x14ac:dyDescent="0.25">
      <c r="E41" s="37">
        <v>560</v>
      </c>
      <c r="F41" s="37">
        <v>620</v>
      </c>
      <c r="G41" s="14">
        <v>249</v>
      </c>
      <c r="H41" s="15">
        <v>255</v>
      </c>
      <c r="I41" s="39"/>
      <c r="J41" s="38"/>
      <c r="K41" s="38"/>
      <c r="L41" s="38"/>
    </row>
    <row r="42" spans="1:14" ht="13.5" thickBot="1" x14ac:dyDescent="0.25">
      <c r="E42" s="37">
        <v>620</v>
      </c>
      <c r="F42" s="37">
        <v>680</v>
      </c>
      <c r="G42" s="15">
        <v>255</v>
      </c>
      <c r="H42" s="14">
        <v>261</v>
      </c>
      <c r="I42" s="39"/>
      <c r="J42" s="38"/>
      <c r="K42" s="38"/>
      <c r="L42" s="38"/>
    </row>
    <row r="43" spans="1:14" ht="13.5" thickBot="1" x14ac:dyDescent="0.25">
      <c r="E43" s="37">
        <v>680</v>
      </c>
      <c r="F43" s="37">
        <v>750</v>
      </c>
      <c r="G43" s="14">
        <v>261</v>
      </c>
      <c r="H43" s="15">
        <v>267</v>
      </c>
      <c r="I43" s="39"/>
      <c r="J43" s="38"/>
      <c r="K43" s="38"/>
      <c r="L43" s="38"/>
    </row>
    <row r="44" spans="1:14" ht="13.5" thickBot="1" x14ac:dyDescent="0.25">
      <c r="E44" s="37">
        <v>750</v>
      </c>
      <c r="F44" s="37">
        <v>820</v>
      </c>
      <c r="G44" s="15">
        <v>267</v>
      </c>
      <c r="H44" s="14">
        <v>274</v>
      </c>
      <c r="J44" s="38"/>
      <c r="K44" s="38"/>
      <c r="L44" s="38"/>
    </row>
    <row r="45" spans="1:14" ht="13.5" thickBot="1" x14ac:dyDescent="0.25">
      <c r="E45" s="37">
        <v>820</v>
      </c>
      <c r="F45" s="40">
        <v>910</v>
      </c>
      <c r="G45" s="14">
        <v>274</v>
      </c>
      <c r="H45" s="15">
        <v>280</v>
      </c>
      <c r="J45" s="38"/>
      <c r="K45" s="38"/>
      <c r="L45" s="38"/>
    </row>
    <row r="46" spans="1:14" ht="13.5" thickBot="1" x14ac:dyDescent="0.25">
      <c r="E46" s="40">
        <v>910</v>
      </c>
      <c r="F46" s="40">
        <v>1000</v>
      </c>
      <c r="G46" s="15">
        <v>280</v>
      </c>
      <c r="H46" s="14">
        <v>287</v>
      </c>
      <c r="J46" s="38"/>
      <c r="K46" s="38"/>
      <c r="L46" s="38"/>
    </row>
    <row r="47" spans="1:14" ht="13.5" thickBot="1" x14ac:dyDescent="0.25">
      <c r="E47" s="110" t="s">
        <v>153</v>
      </c>
      <c r="F47" s="110"/>
      <c r="G47" s="14">
        <v>287</v>
      </c>
      <c r="H47" s="15">
        <v>294</v>
      </c>
      <c r="J47" s="38"/>
      <c r="K47" s="38"/>
      <c r="L47" s="38"/>
    </row>
    <row r="48" spans="1:14" ht="13.5" thickBot="1" x14ac:dyDescent="0.25">
      <c r="E48" s="43">
        <v>100</v>
      </c>
      <c r="F48" s="43">
        <v>105</v>
      </c>
      <c r="G48" s="15">
        <v>294</v>
      </c>
      <c r="H48" s="14">
        <v>301</v>
      </c>
      <c r="J48" s="38"/>
      <c r="K48" s="38"/>
      <c r="L48" s="38"/>
    </row>
    <row r="49" spans="5:12" ht="13.5" thickBot="1" x14ac:dyDescent="0.25">
      <c r="E49" s="43">
        <v>105</v>
      </c>
      <c r="F49" s="43">
        <v>110</v>
      </c>
      <c r="G49" s="14">
        <v>301</v>
      </c>
      <c r="H49" s="15">
        <v>309</v>
      </c>
      <c r="J49" s="38"/>
      <c r="K49" s="38"/>
      <c r="L49" s="38"/>
    </row>
    <row r="50" spans="5:12" ht="13.5" thickBot="1" x14ac:dyDescent="0.25">
      <c r="E50" s="43">
        <v>110</v>
      </c>
      <c r="F50" s="43">
        <v>115</v>
      </c>
      <c r="G50" s="15">
        <v>309</v>
      </c>
      <c r="H50" s="14">
        <v>316</v>
      </c>
      <c r="J50" s="38"/>
      <c r="K50" s="38"/>
      <c r="L50" s="38"/>
    </row>
    <row r="51" spans="5:12" ht="13.5" thickBot="1" x14ac:dyDescent="0.25">
      <c r="E51" s="43">
        <v>115</v>
      </c>
      <c r="F51" s="43">
        <v>121</v>
      </c>
      <c r="G51" s="14">
        <v>316</v>
      </c>
      <c r="H51" s="15">
        <v>324</v>
      </c>
      <c r="J51" s="38"/>
      <c r="K51" s="38"/>
      <c r="L51" s="38"/>
    </row>
    <row r="52" spans="5:12" ht="13.5" thickBot="1" x14ac:dyDescent="0.25">
      <c r="E52" s="43">
        <v>121</v>
      </c>
      <c r="F52" s="43">
        <v>127</v>
      </c>
      <c r="G52" s="15">
        <v>324</v>
      </c>
      <c r="H52" s="14">
        <v>332</v>
      </c>
      <c r="J52" s="38"/>
      <c r="K52" s="38"/>
      <c r="L52" s="38"/>
    </row>
    <row r="53" spans="5:12" ht="13.5" thickBot="1" x14ac:dyDescent="0.25">
      <c r="E53" s="43">
        <v>127</v>
      </c>
      <c r="F53" s="43">
        <v>133</v>
      </c>
      <c r="G53" s="14">
        <v>332</v>
      </c>
      <c r="H53" s="15">
        <v>340</v>
      </c>
      <c r="J53" s="38"/>
      <c r="K53" s="38"/>
      <c r="L53" s="38"/>
    </row>
    <row r="54" spans="5:12" ht="13.5" thickBot="1" x14ac:dyDescent="0.25">
      <c r="E54" s="43">
        <v>133</v>
      </c>
      <c r="F54" s="43">
        <v>140</v>
      </c>
      <c r="G54" s="15">
        <v>340</v>
      </c>
      <c r="H54" s="14">
        <v>348</v>
      </c>
      <c r="J54" s="38"/>
      <c r="K54" s="38"/>
      <c r="L54" s="38"/>
    </row>
    <row r="55" spans="5:12" ht="13.5" thickBot="1" x14ac:dyDescent="0.25">
      <c r="E55" s="43">
        <v>140</v>
      </c>
      <c r="F55" s="43">
        <v>147</v>
      </c>
      <c r="G55" s="14">
        <v>348</v>
      </c>
      <c r="H55" s="15">
        <v>357</v>
      </c>
      <c r="J55" s="38"/>
      <c r="K55" s="38"/>
      <c r="L55" s="38"/>
    </row>
    <row r="56" spans="5:12" ht="13.5" thickBot="1" x14ac:dyDescent="0.25">
      <c r="E56" s="43">
        <v>147</v>
      </c>
      <c r="F56" s="43">
        <v>154</v>
      </c>
      <c r="G56" s="15">
        <v>357</v>
      </c>
      <c r="H56" s="14">
        <v>365</v>
      </c>
      <c r="J56" s="38"/>
      <c r="K56" s="38"/>
      <c r="L56" s="38"/>
    </row>
    <row r="57" spans="5:12" ht="13.5" thickBot="1" x14ac:dyDescent="0.25">
      <c r="E57" s="43">
        <v>154</v>
      </c>
      <c r="F57" s="43">
        <v>162</v>
      </c>
      <c r="G57" s="14">
        <v>365</v>
      </c>
      <c r="H57" s="15">
        <v>374</v>
      </c>
      <c r="J57" s="38"/>
      <c r="K57" s="38"/>
      <c r="L57" s="38"/>
    </row>
    <row r="58" spans="5:12" ht="13.5" thickBot="1" x14ac:dyDescent="0.25">
      <c r="E58" s="43">
        <v>162</v>
      </c>
      <c r="F58" s="43">
        <v>169</v>
      </c>
      <c r="G58" s="15">
        <v>374</v>
      </c>
      <c r="H58" s="14">
        <v>383</v>
      </c>
      <c r="J58" s="38"/>
      <c r="K58" s="38"/>
      <c r="L58" s="38"/>
    </row>
    <row r="59" spans="5:12" ht="13.5" thickBot="1" x14ac:dyDescent="0.25">
      <c r="E59" s="43">
        <v>169</v>
      </c>
      <c r="F59" s="43">
        <v>178</v>
      </c>
      <c r="G59" s="14">
        <v>383</v>
      </c>
      <c r="H59" s="15">
        <v>392</v>
      </c>
      <c r="J59" s="38"/>
      <c r="K59" s="38"/>
      <c r="L59" s="38"/>
    </row>
    <row r="60" spans="5:12" ht="13.5" thickBot="1" x14ac:dyDescent="0.25">
      <c r="E60" s="43">
        <v>178</v>
      </c>
      <c r="F60" s="43">
        <v>187</v>
      </c>
      <c r="G60" s="15">
        <v>392</v>
      </c>
      <c r="H60" s="14">
        <v>402</v>
      </c>
      <c r="J60" s="38"/>
      <c r="K60" s="38"/>
      <c r="L60" s="38"/>
    </row>
    <row r="61" spans="5:12" ht="13.5" thickBot="1" x14ac:dyDescent="0.25">
      <c r="E61" s="43">
        <v>187</v>
      </c>
      <c r="F61" s="43">
        <v>196</v>
      </c>
      <c r="G61" s="14">
        <v>402</v>
      </c>
      <c r="H61" s="15">
        <v>412</v>
      </c>
      <c r="J61" s="38"/>
      <c r="K61" s="38"/>
      <c r="L61" s="38"/>
    </row>
    <row r="62" spans="5:12" ht="13.5" thickBot="1" x14ac:dyDescent="0.25">
      <c r="E62" s="43">
        <v>196</v>
      </c>
      <c r="F62" s="43">
        <v>205</v>
      </c>
      <c r="G62" s="15">
        <v>412</v>
      </c>
      <c r="H62" s="14">
        <v>422</v>
      </c>
      <c r="J62" s="38"/>
      <c r="K62" s="38"/>
      <c r="L62" s="38"/>
    </row>
    <row r="63" spans="5:12" ht="13.5" thickBot="1" x14ac:dyDescent="0.25">
      <c r="E63" s="43">
        <v>205</v>
      </c>
      <c r="F63" s="43">
        <v>215</v>
      </c>
      <c r="G63" s="14">
        <v>422</v>
      </c>
      <c r="H63" s="15">
        <v>432</v>
      </c>
      <c r="J63" s="38"/>
      <c r="K63" s="38"/>
      <c r="L63" s="38"/>
    </row>
    <row r="64" spans="5:12" ht="13.5" thickBot="1" x14ac:dyDescent="0.25">
      <c r="E64" s="43">
        <v>215</v>
      </c>
      <c r="F64" s="43">
        <v>226</v>
      </c>
      <c r="G64" s="15">
        <v>432</v>
      </c>
      <c r="H64" s="14">
        <v>442</v>
      </c>
      <c r="J64" s="38"/>
      <c r="K64" s="38"/>
      <c r="L64" s="38"/>
    </row>
    <row r="65" spans="5:12" ht="13.5" thickBot="1" x14ac:dyDescent="0.25">
      <c r="E65" s="43">
        <v>226</v>
      </c>
      <c r="F65" s="43">
        <v>237</v>
      </c>
      <c r="G65" s="14">
        <v>442</v>
      </c>
      <c r="H65" s="15">
        <v>453</v>
      </c>
      <c r="J65" s="38"/>
      <c r="K65" s="38"/>
      <c r="L65" s="38"/>
    </row>
    <row r="66" spans="5:12" ht="13.5" thickBot="1" x14ac:dyDescent="0.25">
      <c r="E66" s="43">
        <v>237</v>
      </c>
      <c r="F66" s="43">
        <v>249</v>
      </c>
      <c r="G66" s="15">
        <v>453</v>
      </c>
      <c r="H66" s="14">
        <v>464</v>
      </c>
      <c r="J66" s="38"/>
      <c r="K66" s="38"/>
      <c r="L66" s="38"/>
    </row>
    <row r="67" spans="5:12" ht="13.5" thickBot="1" x14ac:dyDescent="0.25">
      <c r="E67" s="43">
        <v>249</v>
      </c>
      <c r="F67" s="43">
        <v>261</v>
      </c>
      <c r="G67" s="14">
        <v>464</v>
      </c>
      <c r="H67" s="15">
        <v>475</v>
      </c>
      <c r="J67" s="38"/>
      <c r="K67" s="38"/>
      <c r="L67" s="38"/>
    </row>
    <row r="68" spans="5:12" ht="13.5" thickBot="1" x14ac:dyDescent="0.25">
      <c r="E68" s="43">
        <v>261</v>
      </c>
      <c r="F68" s="43">
        <v>274</v>
      </c>
      <c r="G68" s="15">
        <v>475</v>
      </c>
      <c r="H68" s="14">
        <v>487</v>
      </c>
      <c r="J68" s="38"/>
      <c r="K68" s="38"/>
      <c r="L68" s="38"/>
    </row>
    <row r="69" spans="5:12" ht="13.5" thickBot="1" x14ac:dyDescent="0.25">
      <c r="E69" s="43">
        <v>274</v>
      </c>
      <c r="F69" s="43">
        <v>287</v>
      </c>
      <c r="G69" s="14">
        <v>487</v>
      </c>
      <c r="H69" s="15">
        <v>499</v>
      </c>
      <c r="J69" s="38"/>
      <c r="K69" s="38"/>
      <c r="L69" s="38"/>
    </row>
    <row r="70" spans="5:12" ht="13.5" thickBot="1" x14ac:dyDescent="0.25">
      <c r="E70" s="43">
        <v>287</v>
      </c>
      <c r="F70" s="43">
        <v>301</v>
      </c>
      <c r="G70" s="15">
        <v>499</v>
      </c>
      <c r="H70" s="14">
        <v>511</v>
      </c>
      <c r="J70" s="38"/>
      <c r="K70" s="38"/>
      <c r="L70" s="38"/>
    </row>
    <row r="71" spans="5:12" ht="13.5" thickBot="1" x14ac:dyDescent="0.25">
      <c r="E71" s="43">
        <v>301</v>
      </c>
      <c r="F71" s="43">
        <v>316</v>
      </c>
      <c r="G71" s="14">
        <v>511</v>
      </c>
      <c r="H71" s="15">
        <v>523</v>
      </c>
      <c r="J71" s="38"/>
      <c r="K71" s="38"/>
      <c r="L71" s="38"/>
    </row>
    <row r="72" spans="5:12" ht="13.5" thickBot="1" x14ac:dyDescent="0.25">
      <c r="E72" s="43">
        <v>316</v>
      </c>
      <c r="F72" s="43">
        <v>332</v>
      </c>
      <c r="G72" s="15">
        <v>523</v>
      </c>
      <c r="H72" s="14">
        <v>536</v>
      </c>
      <c r="J72" s="38"/>
      <c r="K72" s="38"/>
      <c r="L72" s="38"/>
    </row>
    <row r="73" spans="5:12" ht="13.5" thickBot="1" x14ac:dyDescent="0.25">
      <c r="E73" s="43">
        <v>332</v>
      </c>
      <c r="F73" s="43">
        <v>348</v>
      </c>
      <c r="G73" s="14">
        <v>536</v>
      </c>
      <c r="H73" s="15">
        <v>549</v>
      </c>
      <c r="J73" s="38"/>
      <c r="K73" s="38"/>
      <c r="L73" s="38"/>
    </row>
    <row r="74" spans="5:12" ht="13.5" thickBot="1" x14ac:dyDescent="0.25">
      <c r="E74" s="43">
        <v>348</v>
      </c>
      <c r="F74" s="43">
        <v>365</v>
      </c>
      <c r="G74" s="15">
        <v>549</v>
      </c>
      <c r="H74" s="14">
        <v>562</v>
      </c>
      <c r="J74" s="38"/>
      <c r="K74" s="38"/>
      <c r="L74" s="38"/>
    </row>
    <row r="75" spans="5:12" ht="13.5" thickBot="1" x14ac:dyDescent="0.25">
      <c r="E75" s="43">
        <v>365</v>
      </c>
      <c r="F75" s="43">
        <v>383</v>
      </c>
      <c r="G75" s="14">
        <v>562</v>
      </c>
      <c r="H75" s="15">
        <v>576</v>
      </c>
      <c r="J75" s="44"/>
      <c r="K75" s="44"/>
      <c r="L75" s="44"/>
    </row>
    <row r="76" spans="5:12" ht="13.5" thickBot="1" x14ac:dyDescent="0.25">
      <c r="E76" s="43">
        <v>383</v>
      </c>
      <c r="F76" s="43">
        <v>402</v>
      </c>
      <c r="G76" s="15">
        <v>576</v>
      </c>
      <c r="H76" s="14">
        <v>590</v>
      </c>
      <c r="J76" s="44"/>
      <c r="K76" s="44"/>
      <c r="L76" s="44"/>
    </row>
    <row r="77" spans="5:12" ht="13.5" thickBot="1" x14ac:dyDescent="0.25">
      <c r="E77" s="43">
        <v>402</v>
      </c>
      <c r="F77" s="43">
        <v>422</v>
      </c>
      <c r="G77" s="14">
        <v>590</v>
      </c>
      <c r="H77" s="15">
        <v>604</v>
      </c>
      <c r="J77" s="44"/>
      <c r="K77" s="44"/>
      <c r="L77" s="44"/>
    </row>
    <row r="78" spans="5:12" ht="13.5" thickBot="1" x14ac:dyDescent="0.25">
      <c r="E78" s="43">
        <v>422</v>
      </c>
      <c r="F78" s="43">
        <v>442</v>
      </c>
      <c r="G78" s="15">
        <v>604</v>
      </c>
      <c r="H78" s="14">
        <v>619</v>
      </c>
      <c r="J78" s="44"/>
      <c r="K78" s="44"/>
      <c r="L78" s="44"/>
    </row>
    <row r="79" spans="5:12" ht="13.5" thickBot="1" x14ac:dyDescent="0.25">
      <c r="E79" s="43">
        <v>442</v>
      </c>
      <c r="F79" s="43">
        <v>464</v>
      </c>
      <c r="G79" s="14">
        <v>619</v>
      </c>
      <c r="H79" s="15">
        <v>634</v>
      </c>
      <c r="J79" s="44"/>
      <c r="K79" s="44"/>
      <c r="L79" s="44"/>
    </row>
    <row r="80" spans="5:12" ht="13.5" thickBot="1" x14ac:dyDescent="0.25">
      <c r="E80" s="43">
        <v>464</v>
      </c>
      <c r="F80" s="43">
        <v>487</v>
      </c>
      <c r="G80" s="15">
        <v>634</v>
      </c>
      <c r="H80" s="14">
        <v>649</v>
      </c>
      <c r="J80" s="44"/>
      <c r="K80" s="44"/>
      <c r="L80" s="44"/>
    </row>
    <row r="81" spans="5:12" ht="13.5" thickBot="1" x14ac:dyDescent="0.25">
      <c r="E81" s="43">
        <v>487</v>
      </c>
      <c r="F81" s="43">
        <v>511</v>
      </c>
      <c r="G81" s="14">
        <v>649</v>
      </c>
      <c r="H81" s="15">
        <v>665</v>
      </c>
      <c r="J81" s="44"/>
      <c r="K81" s="44"/>
      <c r="L81" s="44"/>
    </row>
    <row r="82" spans="5:12" ht="13.5" thickBot="1" x14ac:dyDescent="0.25">
      <c r="E82" s="43">
        <v>511</v>
      </c>
      <c r="F82" s="43">
        <v>536</v>
      </c>
      <c r="G82" s="15">
        <v>665</v>
      </c>
      <c r="H82" s="14">
        <v>681</v>
      </c>
      <c r="J82" s="44"/>
      <c r="K82" s="44"/>
      <c r="L82" s="44"/>
    </row>
    <row r="83" spans="5:12" ht="13.5" thickBot="1" x14ac:dyDescent="0.25">
      <c r="E83" s="43">
        <v>536</v>
      </c>
      <c r="F83" s="43">
        <v>562</v>
      </c>
      <c r="G83" s="14">
        <v>681</v>
      </c>
      <c r="H83" s="15">
        <v>698</v>
      </c>
      <c r="J83" s="44"/>
      <c r="K83" s="44"/>
      <c r="L83" s="44"/>
    </row>
    <row r="84" spans="5:12" ht="13.5" thickBot="1" x14ac:dyDescent="0.25">
      <c r="E84" s="43">
        <v>562</v>
      </c>
      <c r="F84" s="43">
        <v>590</v>
      </c>
      <c r="G84" s="15">
        <v>698</v>
      </c>
      <c r="H84" s="14">
        <v>715</v>
      </c>
      <c r="J84" s="44"/>
      <c r="K84" s="44"/>
      <c r="L84" s="44"/>
    </row>
    <row r="85" spans="5:12" ht="13.5" thickBot="1" x14ac:dyDescent="0.25">
      <c r="E85" s="43">
        <v>590</v>
      </c>
      <c r="F85" s="43">
        <v>619</v>
      </c>
      <c r="G85" s="14">
        <v>715</v>
      </c>
      <c r="H85" s="15">
        <v>732</v>
      </c>
      <c r="J85" s="44"/>
      <c r="K85" s="44"/>
      <c r="L85" s="44"/>
    </row>
    <row r="86" spans="5:12" ht="13.5" thickBot="1" x14ac:dyDescent="0.25">
      <c r="E86" s="43">
        <v>619</v>
      </c>
      <c r="F86" s="43">
        <v>649</v>
      </c>
      <c r="G86" s="15">
        <v>732</v>
      </c>
      <c r="H86" s="14">
        <v>750</v>
      </c>
      <c r="J86" s="44"/>
      <c r="K86" s="44"/>
      <c r="L86" s="44"/>
    </row>
    <row r="87" spans="5:12" ht="13.5" thickBot="1" x14ac:dyDescent="0.25">
      <c r="E87" s="43">
        <v>649</v>
      </c>
      <c r="F87" s="43">
        <v>681</v>
      </c>
      <c r="G87" s="14">
        <v>750</v>
      </c>
      <c r="H87" s="15">
        <v>768</v>
      </c>
      <c r="J87" s="44"/>
      <c r="K87" s="44"/>
      <c r="L87" s="44"/>
    </row>
    <row r="88" spans="5:12" ht="13.5" thickBot="1" x14ac:dyDescent="0.25">
      <c r="E88" s="43">
        <v>681</v>
      </c>
      <c r="F88" s="43">
        <v>715</v>
      </c>
      <c r="G88" s="15">
        <v>768</v>
      </c>
      <c r="H88" s="14">
        <v>787</v>
      </c>
      <c r="J88" s="44"/>
      <c r="K88" s="44"/>
      <c r="L88" s="44"/>
    </row>
    <row r="89" spans="5:12" ht="13.5" thickBot="1" x14ac:dyDescent="0.25">
      <c r="E89" s="43">
        <v>715</v>
      </c>
      <c r="F89" s="43">
        <v>750</v>
      </c>
      <c r="G89" s="14">
        <v>787</v>
      </c>
      <c r="H89" s="15">
        <v>806</v>
      </c>
      <c r="J89" s="44"/>
      <c r="K89" s="44"/>
      <c r="L89" s="44"/>
    </row>
    <row r="90" spans="5:12" ht="13.5" thickBot="1" x14ac:dyDescent="0.25">
      <c r="E90" s="43">
        <v>750</v>
      </c>
      <c r="F90" s="43">
        <v>787</v>
      </c>
      <c r="G90" s="15">
        <v>806</v>
      </c>
      <c r="H90" s="14">
        <v>825</v>
      </c>
      <c r="J90" s="44"/>
      <c r="K90" s="44"/>
      <c r="L90" s="44"/>
    </row>
    <row r="91" spans="5:12" ht="13.5" thickBot="1" x14ac:dyDescent="0.25">
      <c r="E91" s="43">
        <v>787</v>
      </c>
      <c r="F91" s="43">
        <v>825</v>
      </c>
      <c r="G91" s="14">
        <v>825</v>
      </c>
      <c r="H91" s="15">
        <v>845</v>
      </c>
      <c r="J91" s="44"/>
      <c r="K91" s="44"/>
      <c r="L91" s="44"/>
    </row>
    <row r="92" spans="5:12" ht="13.5" thickBot="1" x14ac:dyDescent="0.25">
      <c r="E92" s="43">
        <v>825</v>
      </c>
      <c r="F92" s="43">
        <v>866</v>
      </c>
      <c r="G92" s="15">
        <v>845</v>
      </c>
      <c r="H92" s="14">
        <v>866</v>
      </c>
      <c r="J92" s="44"/>
      <c r="K92" s="44"/>
      <c r="L92" s="44"/>
    </row>
    <row r="93" spans="5:12" ht="13.5" thickBot="1" x14ac:dyDescent="0.25">
      <c r="E93" s="43">
        <v>866</v>
      </c>
      <c r="F93" s="43">
        <v>909</v>
      </c>
      <c r="G93" s="14">
        <v>866</v>
      </c>
      <c r="H93" s="15">
        <v>887</v>
      </c>
      <c r="J93" s="44"/>
      <c r="K93" s="44"/>
      <c r="L93" s="44"/>
    </row>
    <row r="94" spans="5:12" ht="13.5" thickBot="1" x14ac:dyDescent="0.25">
      <c r="E94" s="43">
        <v>909</v>
      </c>
      <c r="F94" s="43">
        <v>953</v>
      </c>
      <c r="G94" s="15">
        <v>887</v>
      </c>
      <c r="H94" s="14">
        <v>909</v>
      </c>
      <c r="J94" s="44"/>
      <c r="K94" s="44"/>
      <c r="L94" s="44"/>
    </row>
    <row r="95" spans="5:12" ht="13.5" thickBot="1" x14ac:dyDescent="0.25">
      <c r="E95" s="43">
        <v>953</v>
      </c>
      <c r="F95" s="43">
        <v>1000</v>
      </c>
      <c r="G95" s="14">
        <v>909</v>
      </c>
      <c r="H95" s="15">
        <v>931</v>
      </c>
      <c r="J95" s="44"/>
      <c r="K95" s="44"/>
      <c r="L95" s="44"/>
    </row>
    <row r="96" spans="5:12" ht="13.5" thickBot="1" x14ac:dyDescent="0.25">
      <c r="G96" s="15">
        <v>931</v>
      </c>
      <c r="H96" s="14">
        <v>953</v>
      </c>
      <c r="J96" s="44"/>
      <c r="K96" s="44"/>
      <c r="L96" s="44"/>
    </row>
    <row r="97" spans="7:12" ht="13.5" thickBot="1" x14ac:dyDescent="0.25">
      <c r="G97" s="14">
        <v>953</v>
      </c>
      <c r="H97" s="15">
        <v>976</v>
      </c>
      <c r="J97" s="44"/>
      <c r="K97" s="44"/>
      <c r="L97" s="44"/>
    </row>
    <row r="98" spans="7:12" ht="13.5" thickBot="1" x14ac:dyDescent="0.25">
      <c r="G98" s="15">
        <v>976</v>
      </c>
      <c r="H98" s="15">
        <v>1000</v>
      </c>
      <c r="J98" s="44"/>
      <c r="K98" s="44"/>
      <c r="L98" s="44"/>
    </row>
    <row r="99" spans="7:12" x14ac:dyDescent="0.2">
      <c r="J99" s="44"/>
      <c r="K99" s="44"/>
      <c r="L99" s="44"/>
    </row>
    <row r="100" spans="7:12" x14ac:dyDescent="0.2">
      <c r="J100" s="44"/>
      <c r="K100" s="44"/>
      <c r="L100" s="44"/>
    </row>
    <row r="101" spans="7:12" x14ac:dyDescent="0.2">
      <c r="J101" s="44"/>
      <c r="K101" s="44"/>
      <c r="L101" s="44"/>
    </row>
    <row r="102" spans="7:12" x14ac:dyDescent="0.2">
      <c r="J102" s="44"/>
      <c r="K102" s="44"/>
      <c r="L102" s="44"/>
    </row>
    <row r="103" spans="7:12" x14ac:dyDescent="0.2">
      <c r="J103" s="44"/>
      <c r="K103" s="44"/>
      <c r="L103" s="44"/>
    </row>
    <row r="104" spans="7:12" x14ac:dyDescent="0.2">
      <c r="J104" s="44"/>
      <c r="K104" s="44"/>
      <c r="L104" s="44"/>
    </row>
    <row r="105" spans="7:12" x14ac:dyDescent="0.2">
      <c r="J105" s="44"/>
      <c r="K105" s="44"/>
      <c r="L105" s="44"/>
    </row>
    <row r="106" spans="7:12" x14ac:dyDescent="0.2">
      <c r="J106" s="44"/>
      <c r="K106" s="44"/>
      <c r="L106" s="44"/>
    </row>
    <row r="107" spans="7:12" x14ac:dyDescent="0.2">
      <c r="J107" s="44"/>
      <c r="K107" s="44"/>
      <c r="L107" s="44"/>
    </row>
    <row r="108" spans="7:12" x14ac:dyDescent="0.2">
      <c r="J108" s="44"/>
      <c r="K108" s="44"/>
      <c r="L108" s="44"/>
    </row>
    <row r="109" spans="7:12" x14ac:dyDescent="0.2">
      <c r="J109" s="44"/>
      <c r="K109" s="44"/>
      <c r="L109" s="44"/>
    </row>
    <row r="110" spans="7:12" x14ac:dyDescent="0.2">
      <c r="J110" s="44"/>
      <c r="K110" s="44"/>
      <c r="L110" s="44"/>
    </row>
    <row r="111" spans="7:12" x14ac:dyDescent="0.2">
      <c r="J111" s="44"/>
      <c r="K111" s="44"/>
      <c r="L111" s="44"/>
    </row>
    <row r="112" spans="7:12" x14ac:dyDescent="0.2">
      <c r="J112" s="44"/>
      <c r="K112" s="44"/>
      <c r="L112" s="44"/>
    </row>
    <row r="113" spans="10:12" x14ac:dyDescent="0.2">
      <c r="J113" s="44"/>
      <c r="K113" s="44"/>
      <c r="L113" s="44"/>
    </row>
    <row r="114" spans="10:12" x14ac:dyDescent="0.2">
      <c r="J114" s="44"/>
      <c r="K114" s="44"/>
      <c r="L114" s="44"/>
    </row>
    <row r="115" spans="10:12" x14ac:dyDescent="0.2">
      <c r="J115" s="44"/>
      <c r="K115" s="44"/>
      <c r="L115" s="44"/>
    </row>
    <row r="116" spans="10:12" x14ac:dyDescent="0.2">
      <c r="J116" s="44"/>
      <c r="K116" s="44"/>
      <c r="L116" s="44"/>
    </row>
    <row r="117" spans="10:12" x14ac:dyDescent="0.2">
      <c r="J117" s="44"/>
      <c r="K117" s="44"/>
      <c r="L117" s="44"/>
    </row>
    <row r="118" spans="10:12" x14ac:dyDescent="0.2">
      <c r="J118" s="44"/>
      <c r="K118" s="44"/>
      <c r="L118" s="44"/>
    </row>
    <row r="119" spans="10:12" x14ac:dyDescent="0.2">
      <c r="J119" s="44"/>
      <c r="K119" s="44"/>
      <c r="L119" s="44"/>
    </row>
    <row r="120" spans="10:12" x14ac:dyDescent="0.2">
      <c r="J120" s="44"/>
      <c r="K120" s="44"/>
      <c r="L120" s="44"/>
    </row>
    <row r="121" spans="10:12" x14ac:dyDescent="0.2">
      <c r="J121" s="44"/>
      <c r="K121" s="44"/>
      <c r="L121" s="44"/>
    </row>
    <row r="122" spans="10:12" x14ac:dyDescent="0.2">
      <c r="J122" s="44"/>
      <c r="K122" s="44"/>
      <c r="L122" s="44"/>
    </row>
    <row r="123" spans="10:12" x14ac:dyDescent="0.2">
      <c r="J123" s="44"/>
      <c r="K123" s="44"/>
      <c r="L123" s="44"/>
    </row>
    <row r="124" spans="10:12" x14ac:dyDescent="0.2">
      <c r="J124" s="44"/>
      <c r="K124" s="44"/>
      <c r="L124" s="44"/>
    </row>
    <row r="125" spans="10:12" x14ac:dyDescent="0.2">
      <c r="J125" s="44"/>
      <c r="K125" s="44"/>
      <c r="L125" s="44"/>
    </row>
    <row r="126" spans="10:12" x14ac:dyDescent="0.2">
      <c r="J126" s="44"/>
      <c r="K126" s="44"/>
      <c r="L126" s="44"/>
    </row>
    <row r="127" spans="10:12" x14ac:dyDescent="0.2">
      <c r="J127" s="44"/>
      <c r="K127" s="44"/>
      <c r="L127" s="44"/>
    </row>
    <row r="128" spans="10:12" x14ac:dyDescent="0.2">
      <c r="J128" s="44"/>
      <c r="K128" s="44"/>
      <c r="L128" s="44"/>
    </row>
    <row r="129" spans="10:12" x14ac:dyDescent="0.2">
      <c r="J129" s="44"/>
      <c r="K129" s="44"/>
      <c r="L129" s="44"/>
    </row>
    <row r="130" spans="10:12" x14ac:dyDescent="0.2">
      <c r="J130" s="44"/>
      <c r="K130" s="44"/>
      <c r="L130" s="44"/>
    </row>
    <row r="131" spans="10:12" x14ac:dyDescent="0.2">
      <c r="J131" s="44"/>
      <c r="K131" s="44"/>
      <c r="L131" s="44"/>
    </row>
    <row r="132" spans="10:12" x14ac:dyDescent="0.2">
      <c r="J132" s="44"/>
      <c r="K132" s="44"/>
      <c r="L132" s="44"/>
    </row>
    <row r="133" spans="10:12" x14ac:dyDescent="0.2">
      <c r="J133" s="44"/>
      <c r="K133" s="44"/>
      <c r="L133" s="44"/>
    </row>
    <row r="134" spans="10:12" x14ac:dyDescent="0.2">
      <c r="J134" s="44"/>
      <c r="K134" s="44"/>
      <c r="L134" s="44"/>
    </row>
    <row r="135" spans="10:12" x14ac:dyDescent="0.2">
      <c r="J135" s="44"/>
      <c r="K135" s="44"/>
      <c r="L135" s="44"/>
    </row>
    <row r="136" spans="10:12" x14ac:dyDescent="0.2">
      <c r="J136" s="44"/>
      <c r="K136" s="44"/>
      <c r="L136" s="44"/>
    </row>
    <row r="137" spans="10:12" x14ac:dyDescent="0.2">
      <c r="J137" s="44"/>
      <c r="K137" s="44"/>
      <c r="L137" s="44"/>
    </row>
    <row r="138" spans="10:12" x14ac:dyDescent="0.2">
      <c r="J138" s="44"/>
      <c r="K138" s="44"/>
      <c r="L138" s="44"/>
    </row>
    <row r="139" spans="10:12" x14ac:dyDescent="0.2">
      <c r="J139" s="44"/>
      <c r="K139" s="44"/>
      <c r="L139" s="44"/>
    </row>
    <row r="140" spans="10:12" x14ac:dyDescent="0.2">
      <c r="J140" s="44"/>
      <c r="K140" s="44"/>
      <c r="L140" s="44"/>
    </row>
    <row r="141" spans="10:12" x14ac:dyDescent="0.2">
      <c r="J141" s="44"/>
      <c r="K141" s="44"/>
      <c r="L141" s="44"/>
    </row>
    <row r="142" spans="10:12" x14ac:dyDescent="0.2">
      <c r="J142" s="44"/>
      <c r="K142" s="44"/>
      <c r="L142" s="44"/>
    </row>
    <row r="143" spans="10:12" x14ac:dyDescent="0.2">
      <c r="J143" s="44"/>
      <c r="K143" s="44"/>
      <c r="L143" s="44"/>
    </row>
    <row r="144" spans="10:12" x14ac:dyDescent="0.2">
      <c r="J144" s="44"/>
      <c r="K144" s="44"/>
      <c r="L144" s="44"/>
    </row>
    <row r="145" spans="10:12" x14ac:dyDescent="0.2">
      <c r="J145" s="44"/>
      <c r="K145" s="44"/>
      <c r="L145" s="44"/>
    </row>
  </sheetData>
  <mergeCells count="5">
    <mergeCell ref="E47:F47"/>
    <mergeCell ref="E2:F2"/>
    <mergeCell ref="G2:H2"/>
    <mergeCell ref="E9:F9"/>
    <mergeCell ref="E22:F22"/>
  </mergeCell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96</vt:i4>
      </vt:variant>
    </vt:vector>
  </HeadingPairs>
  <TitlesOfParts>
    <vt:vector size="105" baseType="lpstr">
      <vt:lpstr>Instructions</vt:lpstr>
      <vt:lpstr>Functional Schematic</vt:lpstr>
      <vt:lpstr>Design Information</vt:lpstr>
      <vt:lpstr>Figure of T1 Current</vt:lpstr>
      <vt:lpstr>TABSET Valley Switching</vt:lpstr>
      <vt:lpstr>TCDSET Valley Switching</vt:lpstr>
      <vt:lpstr>Notice and Disclaimer</vt:lpstr>
      <vt:lpstr>Voltage Loop</vt:lpstr>
      <vt:lpstr>Standard R and C Look Up Table</vt:lpstr>
      <vt:lpstr>_imp2</vt:lpstr>
      <vt:lpstr>_ims2</vt:lpstr>
      <vt:lpstr>_ipp1</vt:lpstr>
      <vt:lpstr>_ta1</vt:lpstr>
      <vt:lpstr>_ta11</vt:lpstr>
      <vt:lpstr>_ta2</vt:lpstr>
      <vt:lpstr>_taa1</vt:lpstr>
      <vt:lpstr>_va1</vt:lpstr>
      <vt:lpstr>C_enter</vt:lpstr>
      <vt:lpstr>C_f1</vt:lpstr>
      <vt:lpstr>C_f2</vt:lpstr>
      <vt:lpstr>c_s1</vt:lpstr>
      <vt:lpstr>C_s2</vt:lpstr>
      <vt:lpstr>Center</vt:lpstr>
      <vt:lpstr>constant</vt:lpstr>
      <vt:lpstr>cossqaavg</vt:lpstr>
      <vt:lpstr>cossqaspec</vt:lpstr>
      <vt:lpstr>cossqeavg</vt:lpstr>
      <vt:lpstr>cout</vt:lpstr>
      <vt:lpstr>Cp</vt:lpstr>
      <vt:lpstr>Cstandard</vt:lpstr>
      <vt:lpstr>Cz</vt:lpstr>
      <vt:lpstr>d2a</vt:lpstr>
      <vt:lpstr>dclamp</vt:lpstr>
      <vt:lpstr>dcrlout</vt:lpstr>
      <vt:lpstr>dcrp</vt:lpstr>
      <vt:lpstr>dcrs</vt:lpstr>
      <vt:lpstr>dilmag</vt:lpstr>
      <vt:lpstr>dilout</vt:lpstr>
      <vt:lpstr>dmax</vt:lpstr>
      <vt:lpstr>dtyp</vt:lpstr>
      <vt:lpstr>E12_f</vt:lpstr>
      <vt:lpstr>E12_s</vt:lpstr>
      <vt:lpstr>E24_f</vt:lpstr>
      <vt:lpstr>E24_s</vt:lpstr>
      <vt:lpstr>E48_f</vt:lpstr>
      <vt:lpstr>E48_s</vt:lpstr>
      <vt:lpstr>E6_f</vt:lpstr>
      <vt:lpstr>E6_s</vt:lpstr>
      <vt:lpstr>E96_f</vt:lpstr>
      <vt:lpstr>E96_s</vt:lpstr>
      <vt:lpstr>Eff</vt:lpstr>
      <vt:lpstr>esrcout</vt:lpstr>
      <vt:lpstr>fc</vt:lpstr>
      <vt:lpstr>fpp</vt:lpstr>
      <vt:lpstr>fs</vt:lpstr>
      <vt:lpstr>iloutrms</vt:lpstr>
      <vt:lpstr>imp</vt:lpstr>
      <vt:lpstr>ims</vt:lpstr>
      <vt:lpstr>ipp</vt:lpstr>
      <vt:lpstr>iprms</vt:lpstr>
      <vt:lpstr>iprms1</vt:lpstr>
      <vt:lpstr>iprms2</vt:lpstr>
      <vt:lpstr>ips</vt:lpstr>
      <vt:lpstr>isrms</vt:lpstr>
      <vt:lpstr>isrms1</vt:lpstr>
      <vt:lpstr>isrms2</vt:lpstr>
      <vt:lpstr>isrms3</vt:lpstr>
      <vt:lpstr>llk</vt:lpstr>
      <vt:lpstr>lmag</vt:lpstr>
      <vt:lpstr>lmag1</vt:lpstr>
      <vt:lpstr>lmag2</vt:lpstr>
      <vt:lpstr>lout</vt:lpstr>
      <vt:lpstr>ls</vt:lpstr>
      <vt:lpstr>n1divd1</vt:lpstr>
      <vt:lpstr>pbudget</vt:lpstr>
      <vt:lpstr>pout</vt:lpstr>
      <vt:lpstr>QAg</vt:lpstr>
      <vt:lpstr>qeg</vt:lpstr>
      <vt:lpstr>rdsonqa</vt:lpstr>
      <vt:lpstr>rdsonqe</vt:lpstr>
      <vt:lpstr>rf</vt:lpstr>
      <vt:lpstr>RII</vt:lpstr>
      <vt:lpstr>rload</vt:lpstr>
      <vt:lpstr>RS</vt:lpstr>
      <vt:lpstr>sta</vt:lpstr>
      <vt:lpstr>stb</vt:lpstr>
      <vt:lpstr>tabset</vt:lpstr>
      <vt:lpstr>tafset</vt:lpstr>
      <vt:lpstr>tcdset</vt:lpstr>
      <vt:lpstr>tdelay</vt:lpstr>
      <vt:lpstr>thu</vt:lpstr>
      <vt:lpstr>tr</vt:lpstr>
      <vt:lpstr>vadel</vt:lpstr>
      <vt:lpstr>vdsqe</vt:lpstr>
      <vt:lpstr>vg</vt:lpstr>
      <vt:lpstr>vin</vt:lpstr>
      <vt:lpstr>VINMAX</vt:lpstr>
      <vt:lpstr>VINMIAX</vt:lpstr>
      <vt:lpstr>VINMIN</vt:lpstr>
      <vt:lpstr>VOUT</vt:lpstr>
      <vt:lpstr>voutmin</vt:lpstr>
      <vt:lpstr>vrdson</vt:lpstr>
      <vt:lpstr>Vslope1</vt:lpstr>
      <vt:lpstr>Vslope2</vt:lpstr>
      <vt:lpstr>VTRAN</vt:lpstr>
    </vt:vector>
  </TitlesOfParts>
  <Company>Texas Instruments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O'Loughlin</dc:creator>
  <cp:lastModifiedBy>Mohammed Ghouse Khan</cp:lastModifiedBy>
  <cp:lastPrinted>2010-06-11T18:34:05Z</cp:lastPrinted>
  <dcterms:created xsi:type="dcterms:W3CDTF">2010-04-19T17:22:29Z</dcterms:created>
  <dcterms:modified xsi:type="dcterms:W3CDTF">2025-06-10T16:21:56Z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bb46c77-3b58-4101-b463-cd3b3d516e4a_Enabled">
    <vt:lpwstr>true</vt:lpwstr>
  </property>
  <property fmtid="{D5CDD505-2E9C-101B-9397-08002B2CF9AE}" pid="3" name="MSIP_Label_3bb46c77-3b58-4101-b463-cd3b3d516e4a_SetDate">
    <vt:lpwstr>2025-05-14T05:07:10Z</vt:lpwstr>
  </property>
  <property fmtid="{D5CDD505-2E9C-101B-9397-08002B2CF9AE}" pid="4" name="MSIP_Label_3bb46c77-3b58-4101-b463-cd3b3d516e4a_Method">
    <vt:lpwstr>Privileged</vt:lpwstr>
  </property>
  <property fmtid="{D5CDD505-2E9C-101B-9397-08002B2CF9AE}" pid="5" name="MSIP_Label_3bb46c77-3b58-4101-b463-cd3b3d516e4a_Name">
    <vt:lpwstr>Non-Business</vt:lpwstr>
  </property>
  <property fmtid="{D5CDD505-2E9C-101B-9397-08002B2CF9AE}" pid="6" name="MSIP_Label_3bb46c77-3b58-4101-b463-cd3b3d516e4a_SiteId">
    <vt:lpwstr>311b3378-8e8a-4b5e-a33f-e80a3d8ba60a</vt:lpwstr>
  </property>
  <property fmtid="{D5CDD505-2E9C-101B-9397-08002B2CF9AE}" pid="7" name="MSIP_Label_3bb46c77-3b58-4101-b463-cd3b3d516e4a_ActionId">
    <vt:lpwstr>c21337ad-09b9-4087-8045-1a72e5d3111b</vt:lpwstr>
  </property>
  <property fmtid="{D5CDD505-2E9C-101B-9397-08002B2CF9AE}" pid="8" name="MSIP_Label_3bb46c77-3b58-4101-b463-cd3b3d516e4a_ContentBits">
    <vt:lpwstr>0</vt:lpwstr>
  </property>
  <property fmtid="{D5CDD505-2E9C-101B-9397-08002B2CF9AE}" pid="9" name="MSIP_Label_3bb46c77-3b58-4101-b463-cd3b3d516e4a_Tag">
    <vt:lpwstr>10, 0, 1, 1</vt:lpwstr>
  </property>
</Properties>
</file>