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lnttsgroup-my.sharepoint.com/personal/mohammed_khan2_ltts_com/Documents/New Transformer SPEcs/"/>
    </mc:Choice>
  </mc:AlternateContent>
  <xr:revisionPtr revIDLastSave="194" documentId="8_{F9045EA3-9972-4DB0-9D1A-2B1616EDA7A5}" xr6:coauthVersionLast="47" xr6:coauthVersionMax="47" xr10:uidLastSave="{7E295BDF-296B-4DE3-8CF2-9BE6B5A930CE}"/>
  <bookViews>
    <workbookView xWindow="-120" yWindow="-120" windowWidth="20730" windowHeight="11160" tabRatio="806" firstSheet="2" activeTab="2" xr2:uid="{00000000-000D-0000-FFFF-FFFF00000000}"/>
  </bookViews>
  <sheets>
    <sheet name="Instructions" sheetId="2" r:id="rId1"/>
    <sheet name="Functional Schematic" sheetId="7" r:id="rId2"/>
    <sheet name="Design Information" sheetId="1" r:id="rId3"/>
    <sheet name="Figure of T1 Current" sheetId="8" r:id="rId4"/>
    <sheet name="TABSET Valley Switching" sheetId="9" r:id="rId5"/>
    <sheet name="TCDSET Valley Switching" sheetId="10" r:id="rId6"/>
    <sheet name="Notice and Disclaimer" sheetId="11" r:id="rId7"/>
    <sheet name="Voltage Loop" sheetId="6" state="hidden" r:id="rId8"/>
    <sheet name="Standard R and C Look Up Table" sheetId="3" state="hidden" r:id="rId9"/>
  </sheets>
  <externalReferences>
    <externalReference r:id="rId10"/>
  </externalReferences>
  <definedNames>
    <definedName name="_imp2">'Design Information'!$C$40</definedName>
    <definedName name="_ims2">'Design Information'!$C$32</definedName>
    <definedName name="_ipp1">'Design Information'!$C$112</definedName>
    <definedName name="_st1">'Design Information'!#REF!</definedName>
    <definedName name="_st10">'Standard R and C Look Up Table'!#REF!</definedName>
    <definedName name="_st11">'Standard R and C Look Up Table'!#REF!</definedName>
    <definedName name="_st12">'Standard R and C Look Up Table'!#REF!</definedName>
    <definedName name="_st13">'Standard R and C Look Up Table'!#REF!</definedName>
    <definedName name="_st14">'Standard R and C Look Up Table'!#REF!</definedName>
    <definedName name="_st15">'Standard R and C Look Up Table'!#REF!</definedName>
    <definedName name="_st16">'Standard R and C Look Up Table'!#REF!</definedName>
    <definedName name="_st17">'Standard R and C Look Up Table'!#REF!</definedName>
    <definedName name="_st18">'Standard R and C Look Up Table'!#REF!</definedName>
    <definedName name="_st2">'Design Information'!#REF!</definedName>
    <definedName name="_st3">'Standard R and C Look Up Table'!#REF!</definedName>
    <definedName name="_st4">'Standard R and C Look Up Table'!#REF!</definedName>
    <definedName name="_st5">'Standard R and C Look Up Table'!#REF!</definedName>
    <definedName name="_st6">'Standard R and C Look Up Table'!#REF!</definedName>
    <definedName name="_st7">'Standard R and C Look Up Table'!#REF!</definedName>
    <definedName name="_st8">'Standard R and C Look Up Table'!#REF!</definedName>
    <definedName name="_st9">'Standard R and C Look Up Table'!#REF!</definedName>
    <definedName name="_std2">'Design Information'!#REF!</definedName>
    <definedName name="_ta1">'Design Information'!$C$25</definedName>
    <definedName name="_ta11">'Design Information'!$C$25</definedName>
    <definedName name="_ta2">'Design Information'!$C$111</definedName>
    <definedName name="_taa1">'Design Information'!$C$26</definedName>
    <definedName name="_va1">'Design Information'!$C$120</definedName>
    <definedName name="C_enter">'Standard R and C Look Up Table'!$K$2</definedName>
    <definedName name="C_f1">'Standard R and C Look Up Table'!$K$17</definedName>
    <definedName name="C_f2">'Standard R and C Look Up Table'!$K$24</definedName>
    <definedName name="c_s1">'Standard R and C Look Up Table'!$J$6</definedName>
    <definedName name="C_s2">'Standard R and C Look Up Table'!$J$19</definedName>
    <definedName name="Center">'Standard R and C Look Up Table'!$K$2</definedName>
    <definedName name="constant">'Design Information'!$C$132</definedName>
    <definedName name="cossqaavg">'Design Information'!$C$56</definedName>
    <definedName name="cossqaspec">'Design Information'!$C$53</definedName>
    <definedName name="cossqeavg">'Design Information'!$C$90</definedName>
    <definedName name="cout">'Design Information'!$C$80</definedName>
    <definedName name="Cp">'Design Information'!$C$151</definedName>
    <definedName name="CPC">'[1]Design Information'!$C$87</definedName>
    <definedName name="Cstandard">'Standard R and C Look Up Table'!$K$3</definedName>
    <definedName name="Cz">'Design Information'!$C$146</definedName>
    <definedName name="CZC">'[1]Design Information'!$C$85</definedName>
    <definedName name="d2a">'Design Information'!$C$135</definedName>
    <definedName name="dclamp">'Design Information'!$C$102</definedName>
    <definedName name="dcrlout">'Design Information'!$C$69</definedName>
    <definedName name="dcrp">'Design Information'!$C$45</definedName>
    <definedName name="dcrs">'Design Information'!$C$46</definedName>
    <definedName name="dilmag">'Design Information'!$C$37</definedName>
    <definedName name="dilout">'Design Information'!$C$28</definedName>
    <definedName name="dmax">'Design Information'!$C$24</definedName>
    <definedName name="dtyp">'Design Information'!$C$27</definedName>
    <definedName name="E12_f">'Standard R and C Look Up Table'!$F$21</definedName>
    <definedName name="E12_s">'Standard R and C Look Up Table'!$E$10</definedName>
    <definedName name="E24_f">'Standard R and C Look Up Table'!$F$46</definedName>
    <definedName name="E24_s">'Standard R and C Look Up Table'!$E$23</definedName>
    <definedName name="E48_f">'Standard R and C Look Up Table'!$F$95</definedName>
    <definedName name="E48_s">'Standard R and C Look Up Table'!$E$48</definedName>
    <definedName name="E6_f">'Standard R and C Look Up Table'!$F$8</definedName>
    <definedName name="E6_s">'Standard R and C Look Up Table'!$E$3</definedName>
    <definedName name="E96_f">'Standard R and C Look Up Table'!$H$98</definedName>
    <definedName name="E96_s">'Standard R and C Look Up Table'!$G$3</definedName>
    <definedName name="Eff">'Design Information'!$B$17</definedName>
    <definedName name="esrcout">'Design Information'!$C$81</definedName>
    <definedName name="fc">'Design Information'!$C$130</definedName>
    <definedName name="fpp">'Design Information'!$C$129</definedName>
    <definedName name="fs">'Design Information'!$C$18</definedName>
    <definedName name="iloutrms">'Design Information'!$C$67</definedName>
    <definedName name="imp">'Design Information'!$C$39</definedName>
    <definedName name="ims">'Design Information'!$C$31</definedName>
    <definedName name="ipp">'Design Information'!$C$38</definedName>
    <definedName name="iprms">'Design Information'!$C$43</definedName>
    <definedName name="iprms1">'Design Information'!$C$41</definedName>
    <definedName name="iprms2">'Design Information'!$C$42</definedName>
    <definedName name="ips">'Design Information'!$C$30</definedName>
    <definedName name="isrms">'Design Information'!$C$36</definedName>
    <definedName name="isrms1">'Design Information'!$C$33</definedName>
    <definedName name="isrms2">'Design Information'!$C$34</definedName>
    <definedName name="isrms3">'Design Information'!$C$35</definedName>
    <definedName name="LAVG">'[1]Design Information'!$C$29</definedName>
    <definedName name="llk">'Design Information'!$C$47</definedName>
    <definedName name="lmag">'Design Information'!$C$29</definedName>
    <definedName name="lmag1">'Design Information'!$C$29</definedName>
    <definedName name="lmag2">'Design Information'!$C$44</definedName>
    <definedName name="lout">'Design Information'!$C$68</definedName>
    <definedName name="ls">'Design Information'!$C$61</definedName>
    <definedName name="n1divd1">'Design Information'!$C$134</definedName>
    <definedName name="NCT">'[1]Design Information'!$C$40</definedName>
    <definedName name="pbudget">'Design Information'!$C$22</definedName>
    <definedName name="pout">'Design Information'!$D$16</definedName>
    <definedName name="QAg">'Design Information'!$C$54</definedName>
    <definedName name="qeg">'Design Information'!$C$86</definedName>
    <definedName name="rdsonqa">'Design Information'!$C$52</definedName>
    <definedName name="rdsonqe">'Design Information'!$C$87</definedName>
    <definedName name="rf">'Design Information'!$C$141</definedName>
    <definedName name="RII">'Design Information'!$C$128</definedName>
    <definedName name="rload">'Design Information'!$C$131</definedName>
    <definedName name="RS">'Design Information'!$C$115</definedName>
    <definedName name="RZC">'[1]Design Information'!$C$83</definedName>
    <definedName name="sta">'Standard R and C Look Up Table'!$L$6</definedName>
    <definedName name="stb">'Standard R and C Look Up Table'!$L$19</definedName>
    <definedName name="std">'Design Information'!#REF!</definedName>
    <definedName name="tabset">'Design Information'!$C$182</definedName>
    <definedName name="tafset">'Design Information'!$C$200</definedName>
    <definedName name="tcdset">'Design Information'!$C$194</definedName>
    <definedName name="tdelay">'Design Information'!$C$100</definedName>
    <definedName name="temp">#REF!</definedName>
    <definedName name="thu">'Design Information'!$C$73</definedName>
    <definedName name="tr">'Design Information'!$C$95</definedName>
    <definedName name="vadel">'Design Information'!$C$188</definedName>
    <definedName name="vdsqe">'Design Information'!$C$85</definedName>
    <definedName name="vg">'Design Information'!$C$51</definedName>
    <definedName name="vin">'Design Information'!$C$13</definedName>
    <definedName name="vinerror">'Design Information'!#REF!</definedName>
    <definedName name="VINMAX">'Design Information'!$D$13</definedName>
    <definedName name="VINMIAX">'Design Information'!$D$13</definedName>
    <definedName name="VINMIN">'Design Information'!$B$13</definedName>
    <definedName name="VOUT">'Design Information'!$C$14</definedName>
    <definedName name="voutmin">'Design Information'!$B$14</definedName>
    <definedName name="vrdson">'Design Information'!$C$23</definedName>
    <definedName name="Vslope1">'Design Information'!$C$221</definedName>
    <definedName name="Vslope2">'Design Information'!$C$222</definedName>
    <definedName name="VTRAN">'Design Information'!$D$15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 r="C27" i="1"/>
  <c r="D27" i="1" s="1"/>
  <c r="C85" i="1"/>
  <c r="C90" i="1" s="1"/>
  <c r="C74" i="1"/>
  <c r="C28" i="1"/>
  <c r="C112" i="1" s="1"/>
  <c r="C113" i="1" s="1"/>
  <c r="C114" i="1" s="1"/>
  <c r="C221" i="1"/>
  <c r="C206" i="1"/>
  <c r="C207" i="1" s="1"/>
  <c r="C208" i="1" s="1"/>
  <c r="C202" i="1"/>
  <c r="C203" i="1" s="1"/>
  <c r="C204" i="1" s="1"/>
  <c r="C184" i="1"/>
  <c r="C185" i="1" s="1"/>
  <c r="C186" i="1" s="1"/>
  <c r="C56" i="1"/>
  <c r="C99" i="1" s="1"/>
  <c r="C100" i="1" s="1"/>
  <c r="C181" i="1" s="1"/>
  <c r="C188" i="1"/>
  <c r="C195" i="1"/>
  <c r="C196" i="1" s="1"/>
  <c r="C189" i="1"/>
  <c r="C190" i="1" s="1"/>
  <c r="F18" i="1"/>
  <c r="F13" i="1"/>
  <c r="C22" i="1"/>
  <c r="C81" i="1"/>
  <c r="C95" i="1"/>
  <c r="F17" i="1"/>
  <c r="E121" i="1"/>
  <c r="E120" i="1"/>
  <c r="C199" i="1"/>
  <c r="F14" i="1"/>
  <c r="C101" i="1"/>
  <c r="E104" i="1"/>
  <c r="C4" i="3"/>
  <c r="C216" i="1"/>
  <c r="C131" i="1"/>
  <c r="C80" i="1"/>
  <c r="C129" i="1"/>
  <c r="E3" i="6" s="1"/>
  <c r="I3" i="6"/>
  <c r="J3" i="6"/>
  <c r="E2" i="6"/>
  <c r="I2" i="6"/>
  <c r="J2" i="6"/>
  <c r="R2" i="6"/>
  <c r="C130" i="1"/>
  <c r="C135" i="1"/>
  <c r="A2" i="6"/>
  <c r="A3" i="6"/>
  <c r="A4" i="6"/>
  <c r="B4" i="6" s="1"/>
  <c r="C7" i="3"/>
  <c r="C217" i="1"/>
  <c r="C212" i="1"/>
  <c r="C213" i="1" s="1"/>
  <c r="C175" i="1"/>
  <c r="C178" i="1" s="1"/>
  <c r="C147" i="1"/>
  <c r="C149" i="1" s="1"/>
  <c r="C148" i="1" s="1"/>
  <c r="L6" i="3"/>
  <c r="K3" i="3" s="1"/>
  <c r="L19" i="3"/>
  <c r="C5" i="3"/>
  <c r="C8" i="3"/>
  <c r="C126" i="1"/>
  <c r="C127" i="1" s="1"/>
  <c r="C122" i="1"/>
  <c r="C123" i="1" s="1"/>
  <c r="C118" i="1"/>
  <c r="C6" i="3"/>
  <c r="C73" i="1"/>
  <c r="C75" i="1" s="1"/>
  <c r="C133" i="1"/>
  <c r="A5" i="6"/>
  <c r="C142" i="1"/>
  <c r="J4" i="6"/>
  <c r="E4" i="6"/>
  <c r="I4" i="6"/>
  <c r="C228" i="1" l="1"/>
  <c r="C230" i="1" s="1"/>
  <c r="C231" i="1" s="1"/>
  <c r="C35" i="1"/>
  <c r="C30" i="1"/>
  <c r="C32" i="1" s="1"/>
  <c r="C34" i="1" s="1"/>
  <c r="K3" i="6"/>
  <c r="C150" i="1"/>
  <c r="K4" i="6"/>
  <c r="K2" i="6"/>
  <c r="C76" i="1"/>
  <c r="C82" i="1" s="1"/>
  <c r="C67" i="1"/>
  <c r="C70" i="1" s="1"/>
  <c r="C220" i="1"/>
  <c r="C29" i="1"/>
  <c r="E44" i="1" s="1"/>
  <c r="D2" i="6"/>
  <c r="F2" i="6" s="1"/>
  <c r="C96" i="6"/>
  <c r="C56" i="6"/>
  <c r="C93" i="6"/>
  <c r="C89" i="6"/>
  <c r="C70" i="6"/>
  <c r="C100" i="6"/>
  <c r="C55" i="6"/>
  <c r="C72" i="6"/>
  <c r="C20" i="6"/>
  <c r="C4" i="6"/>
  <c r="C80" i="6"/>
  <c r="C57" i="6"/>
  <c r="C32" i="6"/>
  <c r="C65" i="6"/>
  <c r="C87" i="6"/>
  <c r="C46" i="6"/>
  <c r="C42" i="6"/>
  <c r="C37" i="6"/>
  <c r="C21" i="6"/>
  <c r="C71" i="6"/>
  <c r="C7" i="6"/>
  <c r="C91" i="6"/>
  <c r="C51" i="6"/>
  <c r="C49" i="6"/>
  <c r="C27" i="6"/>
  <c r="C83" i="6"/>
  <c r="C50" i="6"/>
  <c r="C6" i="6"/>
  <c r="C40" i="6"/>
  <c r="C22" i="6"/>
  <c r="C26" i="6"/>
  <c r="C86" i="6"/>
  <c r="C76" i="6"/>
  <c r="C134" i="1"/>
  <c r="C136" i="1" s="1"/>
  <c r="C74" i="6"/>
  <c r="C9" i="6"/>
  <c r="C18" i="6"/>
  <c r="C29" i="6"/>
  <c r="C16" i="6"/>
  <c r="C5" i="6"/>
  <c r="C52" i="6"/>
  <c r="C98" i="6"/>
  <c r="C38" i="6"/>
  <c r="C45" i="6"/>
  <c r="C48" i="6"/>
  <c r="C35" i="6"/>
  <c r="C31" i="6"/>
  <c r="C81" i="6"/>
  <c r="C19" i="6"/>
  <c r="C15" i="6"/>
  <c r="C25" i="6"/>
  <c r="C53" i="6"/>
  <c r="C54" i="6"/>
  <c r="C77" i="6"/>
  <c r="C75" i="6"/>
  <c r="C11" i="6"/>
  <c r="C36" i="6"/>
  <c r="C132" i="1"/>
  <c r="C92" i="6"/>
  <c r="C99" i="6"/>
  <c r="C24" i="6"/>
  <c r="C60" i="6"/>
  <c r="C79" i="6"/>
  <c r="C88" i="6"/>
  <c r="C30" i="6"/>
  <c r="C33" i="6"/>
  <c r="C41" i="6"/>
  <c r="C14" i="6"/>
  <c r="C68" i="6"/>
  <c r="C12" i="6"/>
  <c r="D3" i="6"/>
  <c r="F3" i="6" s="1"/>
  <c r="C64" i="6"/>
  <c r="C17" i="6"/>
  <c r="C82" i="6"/>
  <c r="C59" i="6"/>
  <c r="D4" i="6"/>
  <c r="F4" i="6" s="1"/>
  <c r="C78" i="6"/>
  <c r="C28" i="6"/>
  <c r="C97" i="6"/>
  <c r="C10" i="6"/>
  <c r="C3" i="6"/>
  <c r="C69" i="6"/>
  <c r="B5" i="6"/>
  <c r="A6" i="6"/>
  <c r="C177" i="1"/>
  <c r="C176" i="1" s="1"/>
  <c r="C31" i="1"/>
  <c r="C66" i="1"/>
  <c r="E68" i="1" s="1"/>
  <c r="C222" i="1"/>
  <c r="C223" i="1" s="1"/>
  <c r="C224" i="1" s="1"/>
  <c r="C225" i="1" s="1"/>
  <c r="C102" i="1"/>
  <c r="C193" i="1"/>
  <c r="C144" i="1"/>
  <c r="C143" i="1" s="1"/>
  <c r="C145" i="1"/>
  <c r="C66" i="6"/>
  <c r="C73" i="6"/>
  <c r="C63" i="6"/>
  <c r="C44" i="6"/>
  <c r="C67" i="6"/>
  <c r="C95" i="6"/>
  <c r="C94" i="6"/>
  <c r="C23" i="6"/>
  <c r="C43" i="6"/>
  <c r="C85" i="6"/>
  <c r="C34" i="6"/>
  <c r="C84" i="6"/>
  <c r="C101" i="6"/>
  <c r="C39" i="6"/>
  <c r="C90" i="6"/>
  <c r="C13" i="6"/>
  <c r="C61" i="6"/>
  <c r="C2" i="6"/>
  <c r="C58" i="6"/>
  <c r="C62" i="6"/>
  <c r="C8" i="6"/>
  <c r="C47" i="6"/>
  <c r="C33" i="1" l="1"/>
  <c r="C36" i="1" s="1"/>
  <c r="C91" i="1" s="1"/>
  <c r="G2" i="6"/>
  <c r="H2" i="6" s="1"/>
  <c r="C137" i="1"/>
  <c r="C138" i="1" s="1"/>
  <c r="C139" i="1" s="1"/>
  <c r="C140" i="1" s="1"/>
  <c r="C37" i="1"/>
  <c r="C38" i="1" s="1"/>
  <c r="C117" i="1"/>
  <c r="C103" i="1"/>
  <c r="C104" i="1" s="1"/>
  <c r="I5" i="6"/>
  <c r="J5" i="6"/>
  <c r="E5" i="6"/>
  <c r="D5" i="6"/>
  <c r="G4" i="6"/>
  <c r="G3" i="6"/>
  <c r="B6" i="6"/>
  <c r="A7" i="6"/>
  <c r="C96" i="1" l="1"/>
  <c r="C39" i="1"/>
  <c r="C41" i="1" s="1"/>
  <c r="K5" i="6"/>
  <c r="L2" i="6"/>
  <c r="N2" i="6" s="1"/>
  <c r="O2" i="6" s="1"/>
  <c r="A8" i="6"/>
  <c r="B7" i="6"/>
  <c r="H4" i="6"/>
  <c r="L4" i="6"/>
  <c r="H3" i="6"/>
  <c r="L3" i="6"/>
  <c r="E6" i="6"/>
  <c r="D6" i="6"/>
  <c r="F6" i="6" s="1"/>
  <c r="G6" i="6" s="1"/>
  <c r="I6" i="6"/>
  <c r="J6" i="6"/>
  <c r="C40" i="1"/>
  <c r="C42" i="1" s="1"/>
  <c r="C60" i="1"/>
  <c r="E60" i="1" s="1"/>
  <c r="F5" i="6"/>
  <c r="G5" i="6" s="1"/>
  <c r="K6" i="6" l="1"/>
  <c r="L6" i="6" s="1"/>
  <c r="M2" i="6"/>
  <c r="C43" i="1"/>
  <c r="C63" i="1" s="1"/>
  <c r="M3" i="6"/>
  <c r="N3" i="6"/>
  <c r="O3" i="6" s="1"/>
  <c r="M4" i="6"/>
  <c r="N4" i="6"/>
  <c r="O4" i="6" s="1"/>
  <c r="H6" i="6"/>
  <c r="J7" i="6"/>
  <c r="I7" i="6"/>
  <c r="E7" i="6"/>
  <c r="D7" i="6"/>
  <c r="F7" i="6" s="1"/>
  <c r="G7" i="6" s="1"/>
  <c r="C116" i="1"/>
  <c r="C105" i="1"/>
  <c r="C108" i="1" s="1"/>
  <c r="L5" i="6"/>
  <c r="H5" i="6"/>
  <c r="A9" i="6"/>
  <c r="B8" i="6"/>
  <c r="C48" i="1" l="1"/>
  <c r="C49" i="1" s="1"/>
  <c r="E49" i="1" s="1"/>
  <c r="C57" i="1"/>
  <c r="N6" i="6"/>
  <c r="O6" i="6" s="1"/>
  <c r="M6" i="6"/>
  <c r="H7" i="6"/>
  <c r="K7" i="6"/>
  <c r="L7" i="6" s="1"/>
  <c r="M5" i="6"/>
  <c r="N5" i="6"/>
  <c r="O5" i="6" s="1"/>
  <c r="E8" i="6"/>
  <c r="J8" i="6"/>
  <c r="I8" i="6"/>
  <c r="K8" i="6" s="1"/>
  <c r="D8" i="6"/>
  <c r="F8" i="6" s="1"/>
  <c r="G8" i="6" s="1"/>
  <c r="A10" i="6"/>
  <c r="B9" i="6"/>
  <c r="C58" i="1" l="1"/>
  <c r="C64" i="1" s="1"/>
  <c r="E9" i="6"/>
  <c r="D9" i="6"/>
  <c r="F9" i="6" s="1"/>
  <c r="G9" i="6" s="1"/>
  <c r="I9" i="6"/>
  <c r="J9" i="6"/>
  <c r="L8" i="6"/>
  <c r="H8" i="6"/>
  <c r="B10" i="6"/>
  <c r="A11" i="6"/>
  <c r="M7" i="6"/>
  <c r="N7" i="6"/>
  <c r="O7" i="6" s="1"/>
  <c r="K9" i="6" l="1"/>
  <c r="L9" i="6" s="1"/>
  <c r="E58" i="1"/>
  <c r="E10" i="6"/>
  <c r="J10" i="6"/>
  <c r="I10" i="6"/>
  <c r="D10" i="6"/>
  <c r="F10" i="6" s="1"/>
  <c r="G10" i="6" s="1"/>
  <c r="C71" i="1"/>
  <c r="E64" i="1"/>
  <c r="M8" i="6"/>
  <c r="N8" i="6"/>
  <c r="O8" i="6" s="1"/>
  <c r="H9" i="6"/>
  <c r="A12" i="6"/>
  <c r="B11" i="6"/>
  <c r="K10" i="6" l="1"/>
  <c r="L10" i="6" s="1"/>
  <c r="M9" i="6"/>
  <c r="N9" i="6"/>
  <c r="O9" i="6" s="1"/>
  <c r="E71" i="1"/>
  <c r="C83" i="1"/>
  <c r="H10" i="6"/>
  <c r="J11" i="6"/>
  <c r="E11" i="6"/>
  <c r="I11" i="6"/>
  <c r="D11" i="6"/>
  <c r="B12" i="6"/>
  <c r="A13" i="6"/>
  <c r="K11" i="6" l="1"/>
  <c r="M10" i="6"/>
  <c r="N10" i="6"/>
  <c r="O10" i="6" s="1"/>
  <c r="A14" i="6"/>
  <c r="B13" i="6"/>
  <c r="C97" i="1"/>
  <c r="E83" i="1"/>
  <c r="D12" i="6"/>
  <c r="F12" i="6" s="1"/>
  <c r="G12" i="6" s="1"/>
  <c r="J12" i="6"/>
  <c r="I12" i="6"/>
  <c r="E12" i="6"/>
  <c r="F11" i="6"/>
  <c r="G11" i="6" s="1"/>
  <c r="H12" i="6" l="1"/>
  <c r="C109" i="1"/>
  <c r="E109" i="1" s="1"/>
  <c r="E97" i="1"/>
  <c r="I13" i="6"/>
  <c r="J13" i="6"/>
  <c r="D13" i="6"/>
  <c r="E13" i="6"/>
  <c r="H11" i="6"/>
  <c r="L11" i="6"/>
  <c r="B14" i="6"/>
  <c r="A15" i="6"/>
  <c r="K12" i="6"/>
  <c r="L12" i="6" s="1"/>
  <c r="K13" i="6" l="1"/>
  <c r="N12" i="6"/>
  <c r="O12" i="6" s="1"/>
  <c r="M12" i="6"/>
  <c r="F13" i="6"/>
  <c r="G13" i="6" s="1"/>
  <c r="A16" i="6"/>
  <c r="B15" i="6"/>
  <c r="D14" i="6"/>
  <c r="F14" i="6" s="1"/>
  <c r="G14" i="6" s="1"/>
  <c r="J14" i="6"/>
  <c r="E14" i="6"/>
  <c r="I14" i="6"/>
  <c r="N11" i="6"/>
  <c r="O11" i="6" s="1"/>
  <c r="M11" i="6"/>
  <c r="K14" i="6" l="1"/>
  <c r="L14" i="6" s="1"/>
  <c r="E15" i="6"/>
  <c r="J15" i="6"/>
  <c r="I15" i="6"/>
  <c r="D15" i="6"/>
  <c r="F15" i="6" s="1"/>
  <c r="G15" i="6" s="1"/>
  <c r="H14" i="6"/>
  <c r="A17" i="6"/>
  <c r="B16" i="6"/>
  <c r="H13" i="6"/>
  <c r="L13" i="6"/>
  <c r="K15" i="6" l="1"/>
  <c r="L15" i="6" s="1"/>
  <c r="I16" i="6"/>
  <c r="E16" i="6"/>
  <c r="J16" i="6"/>
  <c r="D16" i="6"/>
  <c r="F16" i="6" s="1"/>
  <c r="G16" i="6" s="1"/>
  <c r="M13" i="6"/>
  <c r="N13" i="6"/>
  <c r="O13" i="6" s="1"/>
  <c r="A18" i="6"/>
  <c r="B17" i="6"/>
  <c r="H15" i="6"/>
  <c r="N14" i="6"/>
  <c r="O14" i="6" s="1"/>
  <c r="M14" i="6"/>
  <c r="K16" i="6" l="1"/>
  <c r="L16" i="6" s="1"/>
  <c r="J17" i="6"/>
  <c r="E17" i="6"/>
  <c r="I17" i="6"/>
  <c r="D17" i="6"/>
  <c r="F17" i="6" s="1"/>
  <c r="G17" i="6" s="1"/>
  <c r="N15" i="6"/>
  <c r="O15" i="6" s="1"/>
  <c r="M15" i="6"/>
  <c r="A19" i="6"/>
  <c r="B18" i="6"/>
  <c r="H16" i="6"/>
  <c r="K17" i="6" l="1"/>
  <c r="L17" i="6" s="1"/>
  <c r="N16" i="6"/>
  <c r="O16" i="6" s="1"/>
  <c r="M16" i="6"/>
  <c r="E18" i="6"/>
  <c r="I18" i="6"/>
  <c r="J18" i="6"/>
  <c r="D18" i="6"/>
  <c r="F18" i="6" s="1"/>
  <c r="G18" i="6" s="1"/>
  <c r="B19" i="6"/>
  <c r="A20" i="6"/>
  <c r="H17" i="6"/>
  <c r="K18" i="6" l="1"/>
  <c r="L18" i="6" s="1"/>
  <c r="H18" i="6"/>
  <c r="A21" i="6"/>
  <c r="B20" i="6"/>
  <c r="J19" i="6"/>
  <c r="E19" i="6"/>
  <c r="I19" i="6"/>
  <c r="D19" i="6"/>
  <c r="F19" i="6" s="1"/>
  <c r="G19" i="6" s="1"/>
  <c r="N17" i="6"/>
  <c r="O17" i="6" s="1"/>
  <c r="M17" i="6"/>
  <c r="K19" i="6" l="1"/>
  <c r="L19" i="6" s="1"/>
  <c r="H19" i="6"/>
  <c r="I20" i="6"/>
  <c r="D20" i="6"/>
  <c r="J20" i="6"/>
  <c r="E20" i="6"/>
  <c r="A22" i="6"/>
  <c r="B21" i="6"/>
  <c r="M18" i="6"/>
  <c r="N18" i="6"/>
  <c r="O18" i="6" s="1"/>
  <c r="K20" i="6" l="1"/>
  <c r="J21" i="6"/>
  <c r="D21" i="6"/>
  <c r="F21" i="6" s="1"/>
  <c r="G21" i="6" s="1"/>
  <c r="I21" i="6"/>
  <c r="E21" i="6"/>
  <c r="A23" i="6"/>
  <c r="B22" i="6"/>
  <c r="F20" i="6"/>
  <c r="G20" i="6" s="1"/>
  <c r="N19" i="6"/>
  <c r="O19" i="6" s="1"/>
  <c r="M19" i="6"/>
  <c r="K21" i="6" l="1"/>
  <c r="L21" i="6" s="1"/>
  <c r="L20" i="6"/>
  <c r="H20" i="6"/>
  <c r="E22" i="6"/>
  <c r="D22" i="6"/>
  <c r="F22" i="6" s="1"/>
  <c r="G22" i="6" s="1"/>
  <c r="I22" i="6"/>
  <c r="J22" i="6"/>
  <c r="A24" i="6"/>
  <c r="B23" i="6"/>
  <c r="H21" i="6"/>
  <c r="K22" i="6" l="1"/>
  <c r="L22" i="6" s="1"/>
  <c r="J23" i="6"/>
  <c r="I23" i="6"/>
  <c r="E23" i="6"/>
  <c r="D23" i="6"/>
  <c r="F23" i="6" s="1"/>
  <c r="G23" i="6" s="1"/>
  <c r="B24" i="6"/>
  <c r="A25" i="6"/>
  <c r="H22" i="6"/>
  <c r="N21" i="6"/>
  <c r="O21" i="6" s="1"/>
  <c r="M21" i="6"/>
  <c r="N20" i="6"/>
  <c r="O20" i="6" s="1"/>
  <c r="M20" i="6"/>
  <c r="K23" i="6" l="1"/>
  <c r="L23" i="6" s="1"/>
  <c r="B25" i="6"/>
  <c r="A26" i="6"/>
  <c r="N22" i="6"/>
  <c r="O22" i="6" s="1"/>
  <c r="M22" i="6"/>
  <c r="J24" i="6"/>
  <c r="I24" i="6"/>
  <c r="E24" i="6"/>
  <c r="D24" i="6"/>
  <c r="F24" i="6" s="1"/>
  <c r="G24" i="6" s="1"/>
  <c r="H23" i="6"/>
  <c r="K24" i="6" l="1"/>
  <c r="L24" i="6" s="1"/>
  <c r="H24" i="6"/>
  <c r="A27" i="6"/>
  <c r="B26" i="6"/>
  <c r="M23" i="6"/>
  <c r="N23" i="6"/>
  <c r="O23" i="6" s="1"/>
  <c r="E25" i="6"/>
  <c r="R25" i="6"/>
  <c r="D25" i="6"/>
  <c r="J25" i="6"/>
  <c r="I25" i="6"/>
  <c r="K25" i="6" l="1"/>
  <c r="D26" i="6"/>
  <c r="E26" i="6"/>
  <c r="I26" i="6"/>
  <c r="J26" i="6"/>
  <c r="A28" i="6"/>
  <c r="B27" i="6"/>
  <c r="F25" i="6"/>
  <c r="G25" i="6" s="1"/>
  <c r="M24" i="6"/>
  <c r="N24" i="6"/>
  <c r="O24" i="6" s="1"/>
  <c r="K26" i="6" l="1"/>
  <c r="L25" i="6"/>
  <c r="H25" i="6"/>
  <c r="E27" i="6"/>
  <c r="I27" i="6"/>
  <c r="J27" i="6"/>
  <c r="D27" i="6"/>
  <c r="F27" i="6" s="1"/>
  <c r="G27" i="6" s="1"/>
  <c r="A29" i="6"/>
  <c r="B28" i="6"/>
  <c r="F26" i="6"/>
  <c r="G26" i="6" s="1"/>
  <c r="K27" i="6" l="1"/>
  <c r="L27" i="6" s="1"/>
  <c r="E28" i="6"/>
  <c r="D28" i="6"/>
  <c r="F28" i="6" s="1"/>
  <c r="G28" i="6" s="1"/>
  <c r="J28" i="6"/>
  <c r="I28" i="6"/>
  <c r="H27" i="6"/>
  <c r="B29" i="6"/>
  <c r="A30" i="6"/>
  <c r="H26" i="6"/>
  <c r="L26" i="6"/>
  <c r="N25" i="6"/>
  <c r="O25" i="6" s="1"/>
  <c r="M25" i="6"/>
  <c r="K28" i="6" l="1"/>
  <c r="L28" i="6" s="1"/>
  <c r="N27" i="6"/>
  <c r="O27" i="6" s="1"/>
  <c r="M27" i="6"/>
  <c r="N26" i="6"/>
  <c r="O26" i="6" s="1"/>
  <c r="M26" i="6"/>
  <c r="B30" i="6"/>
  <c r="A31" i="6"/>
  <c r="H28" i="6"/>
  <c r="J29" i="6"/>
  <c r="I29" i="6"/>
  <c r="E29" i="6"/>
  <c r="D29" i="6"/>
  <c r="F29" i="6" s="1"/>
  <c r="G29" i="6" s="1"/>
  <c r="K29" i="6" l="1"/>
  <c r="L29" i="6" s="1"/>
  <c r="M28" i="6"/>
  <c r="N28" i="6"/>
  <c r="O28" i="6" s="1"/>
  <c r="H29" i="6"/>
  <c r="B31" i="6"/>
  <c r="A32" i="6"/>
  <c r="J30" i="6"/>
  <c r="I30" i="6"/>
  <c r="D30" i="6"/>
  <c r="E30" i="6"/>
  <c r="K30" i="6" l="1"/>
  <c r="N29" i="6"/>
  <c r="O29" i="6" s="1"/>
  <c r="M29" i="6"/>
  <c r="F30" i="6"/>
  <c r="G30" i="6" s="1"/>
  <c r="A33" i="6"/>
  <c r="B32" i="6"/>
  <c r="I31" i="6"/>
  <c r="E31" i="6"/>
  <c r="J31" i="6"/>
  <c r="D31" i="6"/>
  <c r="F31" i="6" s="1"/>
  <c r="G31" i="6" s="1"/>
  <c r="K31" i="6" l="1"/>
  <c r="L31" i="6" s="1"/>
  <c r="E32" i="6"/>
  <c r="I32" i="6"/>
  <c r="D32" i="6"/>
  <c r="F32" i="6" s="1"/>
  <c r="G32" i="6" s="1"/>
  <c r="J32" i="6"/>
  <c r="A34" i="6"/>
  <c r="B33" i="6"/>
  <c r="L30" i="6"/>
  <c r="H30" i="6"/>
  <c r="H31" i="6"/>
  <c r="K32" i="6" l="1"/>
  <c r="L32" i="6" s="1"/>
  <c r="D33" i="6"/>
  <c r="F33" i="6" s="1"/>
  <c r="G33" i="6" s="1"/>
  <c r="J33" i="6"/>
  <c r="I33" i="6"/>
  <c r="E33" i="6"/>
  <c r="B34" i="6"/>
  <c r="A35" i="6"/>
  <c r="M30" i="6"/>
  <c r="N30" i="6"/>
  <c r="O30" i="6" s="1"/>
  <c r="H32" i="6"/>
  <c r="M31" i="6"/>
  <c r="N31" i="6"/>
  <c r="O31" i="6" s="1"/>
  <c r="K33" i="6" l="1"/>
  <c r="L33" i="6" s="1"/>
  <c r="B35" i="6"/>
  <c r="A36" i="6"/>
  <c r="M32" i="6"/>
  <c r="N32" i="6"/>
  <c r="O32" i="6" s="1"/>
  <c r="I34" i="6"/>
  <c r="J34" i="6"/>
  <c r="D34" i="6"/>
  <c r="F34" i="6" s="1"/>
  <c r="G34" i="6" s="1"/>
  <c r="E34" i="6"/>
  <c r="H33" i="6"/>
  <c r="K34" i="6" l="1"/>
  <c r="L34" i="6" s="1"/>
  <c r="H34" i="6"/>
  <c r="A37" i="6"/>
  <c r="B36" i="6"/>
  <c r="N33" i="6"/>
  <c r="O33" i="6" s="1"/>
  <c r="M33" i="6"/>
  <c r="D35" i="6"/>
  <c r="F35" i="6" s="1"/>
  <c r="G35" i="6" s="1"/>
  <c r="E35" i="6"/>
  <c r="I35" i="6"/>
  <c r="J35" i="6"/>
  <c r="K35" i="6" l="1"/>
  <c r="L35" i="6" s="1"/>
  <c r="H35" i="6"/>
  <c r="I36" i="6"/>
  <c r="E36" i="6"/>
  <c r="J36" i="6"/>
  <c r="D36" i="6"/>
  <c r="F36" i="6" s="1"/>
  <c r="G36" i="6" s="1"/>
  <c r="A38" i="6"/>
  <c r="B37" i="6"/>
  <c r="M34" i="6"/>
  <c r="N34" i="6"/>
  <c r="O34" i="6" s="1"/>
  <c r="H36" i="6" l="1"/>
  <c r="D37" i="6"/>
  <c r="I37" i="6"/>
  <c r="J37" i="6"/>
  <c r="E37" i="6"/>
  <c r="A39" i="6"/>
  <c r="B38" i="6"/>
  <c r="K36" i="6"/>
  <c r="L36" i="6" s="1"/>
  <c r="N35" i="6"/>
  <c r="O35" i="6" s="1"/>
  <c r="M35" i="6"/>
  <c r="M36" i="6" l="1"/>
  <c r="N36" i="6"/>
  <c r="O36" i="6" s="1"/>
  <c r="I38" i="6"/>
  <c r="D38" i="6"/>
  <c r="F38" i="6" s="1"/>
  <c r="G38" i="6" s="1"/>
  <c r="E38" i="6"/>
  <c r="J38" i="6"/>
  <c r="A40" i="6"/>
  <c r="B39" i="6"/>
  <c r="K37" i="6"/>
  <c r="F37" i="6"/>
  <c r="G37" i="6" s="1"/>
  <c r="K38" i="6" l="1"/>
  <c r="L38" i="6" s="1"/>
  <c r="J39" i="6"/>
  <c r="I39" i="6"/>
  <c r="E39" i="6"/>
  <c r="D39" i="6"/>
  <c r="F39" i="6" s="1"/>
  <c r="G39" i="6" s="1"/>
  <c r="B40" i="6"/>
  <c r="A41" i="6"/>
  <c r="H38" i="6"/>
  <c r="H37" i="6"/>
  <c r="L37" i="6"/>
  <c r="K39" i="6" l="1"/>
  <c r="L39" i="6" s="1"/>
  <c r="M37" i="6"/>
  <c r="N37" i="6"/>
  <c r="O37" i="6" s="1"/>
  <c r="A42" i="6"/>
  <c r="B41" i="6"/>
  <c r="N38" i="6"/>
  <c r="O38" i="6" s="1"/>
  <c r="M38" i="6"/>
  <c r="H39" i="6"/>
  <c r="I40" i="6"/>
  <c r="E40" i="6"/>
  <c r="J40" i="6"/>
  <c r="D40" i="6"/>
  <c r="F40" i="6" s="1"/>
  <c r="G40" i="6" s="1"/>
  <c r="K40" i="6" l="1"/>
  <c r="L40" i="6" s="1"/>
  <c r="N39" i="6"/>
  <c r="O39" i="6" s="1"/>
  <c r="M39" i="6"/>
  <c r="H40" i="6"/>
  <c r="I41" i="6"/>
  <c r="E41" i="6"/>
  <c r="D41" i="6"/>
  <c r="F41" i="6" s="1"/>
  <c r="G41" i="6" s="1"/>
  <c r="J41" i="6"/>
  <c r="A43" i="6"/>
  <c r="B42" i="6"/>
  <c r="K41" i="6" l="1"/>
  <c r="L41" i="6" s="1"/>
  <c r="M40" i="6"/>
  <c r="N40" i="6"/>
  <c r="O40" i="6" s="1"/>
  <c r="H41" i="6"/>
  <c r="I42" i="6"/>
  <c r="J42" i="6"/>
  <c r="E42" i="6"/>
  <c r="D42" i="6"/>
  <c r="F42" i="6" s="1"/>
  <c r="G42" i="6" s="1"/>
  <c r="B43" i="6"/>
  <c r="A44" i="6"/>
  <c r="H42" i="6" l="1"/>
  <c r="N41" i="6"/>
  <c r="O41" i="6" s="1"/>
  <c r="M41" i="6"/>
  <c r="K42" i="6"/>
  <c r="L42" i="6" s="1"/>
  <c r="A45" i="6"/>
  <c r="B44" i="6"/>
  <c r="I43" i="6"/>
  <c r="E43" i="6"/>
  <c r="J43" i="6"/>
  <c r="D43" i="6"/>
  <c r="F43" i="6" s="1"/>
  <c r="G43" i="6" s="1"/>
  <c r="K43" i="6" l="1"/>
  <c r="L43" i="6" s="1"/>
  <c r="N42" i="6"/>
  <c r="O42" i="6" s="1"/>
  <c r="M42" i="6"/>
  <c r="I44" i="6"/>
  <c r="E44" i="6"/>
  <c r="J44" i="6"/>
  <c r="D44" i="6"/>
  <c r="F44" i="6" s="1"/>
  <c r="G44" i="6" s="1"/>
  <c r="H43" i="6"/>
  <c r="A46" i="6"/>
  <c r="B45" i="6"/>
  <c r="N43" i="6" l="1"/>
  <c r="O43" i="6" s="1"/>
  <c r="M43" i="6"/>
  <c r="K44" i="6"/>
  <c r="L44" i="6" s="1"/>
  <c r="H44" i="6"/>
  <c r="D45" i="6"/>
  <c r="F45" i="6" s="1"/>
  <c r="G45" i="6" s="1"/>
  <c r="J45" i="6"/>
  <c r="I45" i="6"/>
  <c r="E45" i="6"/>
  <c r="R45" i="6"/>
  <c r="A47" i="6"/>
  <c r="B46" i="6"/>
  <c r="K45" i="6" l="1"/>
  <c r="L45" i="6" s="1"/>
  <c r="H45" i="6"/>
  <c r="E46" i="6"/>
  <c r="I46" i="6"/>
  <c r="D46" i="6"/>
  <c r="J46" i="6"/>
  <c r="N44" i="6"/>
  <c r="O44" i="6" s="1"/>
  <c r="M44" i="6"/>
  <c r="A48" i="6"/>
  <c r="B47" i="6"/>
  <c r="K46" i="6" l="1"/>
  <c r="F46" i="6"/>
  <c r="G46" i="6" s="1"/>
  <c r="E47" i="6"/>
  <c r="J47" i="6"/>
  <c r="I47" i="6"/>
  <c r="K47" i="6" s="1"/>
  <c r="D47" i="6"/>
  <c r="F47" i="6" s="1"/>
  <c r="G47" i="6" s="1"/>
  <c r="A49" i="6"/>
  <c r="B48" i="6"/>
  <c r="N45" i="6"/>
  <c r="O45" i="6" s="1"/>
  <c r="M45" i="6"/>
  <c r="B49" i="6" l="1"/>
  <c r="A50" i="6"/>
  <c r="D48" i="6"/>
  <c r="F48" i="6" s="1"/>
  <c r="G48" i="6" s="1"/>
  <c r="J48" i="6"/>
  <c r="E48" i="6"/>
  <c r="I48" i="6"/>
  <c r="H47" i="6"/>
  <c r="L47" i="6"/>
  <c r="H46" i="6"/>
  <c r="L46" i="6"/>
  <c r="K48" i="6" l="1"/>
  <c r="L48" i="6" s="1"/>
  <c r="M47" i="6"/>
  <c r="N47" i="6"/>
  <c r="O47" i="6" s="1"/>
  <c r="H48" i="6"/>
  <c r="M46" i="6"/>
  <c r="N46" i="6"/>
  <c r="O46" i="6" s="1"/>
  <c r="B50" i="6"/>
  <c r="A51" i="6"/>
  <c r="J49" i="6"/>
  <c r="E49" i="6"/>
  <c r="I49" i="6"/>
  <c r="D49" i="6"/>
  <c r="F49" i="6" s="1"/>
  <c r="G49" i="6" s="1"/>
  <c r="K49" i="6" l="1"/>
  <c r="L49" i="6" s="1"/>
  <c r="B51" i="6"/>
  <c r="A52" i="6"/>
  <c r="E50" i="6"/>
  <c r="D50" i="6"/>
  <c r="F50" i="6" s="1"/>
  <c r="G50" i="6" s="1"/>
  <c r="I50" i="6"/>
  <c r="J50" i="6"/>
  <c r="M48" i="6"/>
  <c r="N48" i="6"/>
  <c r="O48" i="6" s="1"/>
  <c r="H49" i="6"/>
  <c r="H50" i="6" l="1"/>
  <c r="M49" i="6"/>
  <c r="N49" i="6"/>
  <c r="O49" i="6" s="1"/>
  <c r="B52" i="6"/>
  <c r="A53" i="6"/>
  <c r="K50" i="6"/>
  <c r="L50" i="6" s="1"/>
  <c r="J51" i="6"/>
  <c r="E51" i="6"/>
  <c r="D51" i="6"/>
  <c r="F51" i="6" s="1"/>
  <c r="G51" i="6" s="1"/>
  <c r="I51" i="6"/>
  <c r="K51" i="6" l="1"/>
  <c r="L51" i="6" s="1"/>
  <c r="N50" i="6"/>
  <c r="O50" i="6" s="1"/>
  <c r="M50" i="6"/>
  <c r="B53" i="6"/>
  <c r="A54" i="6"/>
  <c r="H51" i="6"/>
  <c r="J52" i="6"/>
  <c r="I52" i="6"/>
  <c r="D52" i="6"/>
  <c r="F52" i="6" s="1"/>
  <c r="G52" i="6" s="1"/>
  <c r="E52" i="6"/>
  <c r="K52" i="6" l="1"/>
  <c r="L52" i="6" s="1"/>
  <c r="A55" i="6"/>
  <c r="B54" i="6"/>
  <c r="M51" i="6"/>
  <c r="N51" i="6"/>
  <c r="O51" i="6" s="1"/>
  <c r="J53" i="6"/>
  <c r="I53" i="6"/>
  <c r="E53" i="6"/>
  <c r="D53" i="6"/>
  <c r="F53" i="6" s="1"/>
  <c r="G53" i="6" s="1"/>
  <c r="H52" i="6"/>
  <c r="K53" i="6" l="1"/>
  <c r="L53" i="6" s="1"/>
  <c r="H53" i="6"/>
  <c r="D54" i="6"/>
  <c r="F54" i="6" s="1"/>
  <c r="G54" i="6" s="1"/>
  <c r="E54" i="6"/>
  <c r="J54" i="6"/>
  <c r="I54" i="6"/>
  <c r="K54" i="6" s="1"/>
  <c r="M52" i="6"/>
  <c r="N52" i="6"/>
  <c r="O52" i="6" s="1"/>
  <c r="A56" i="6"/>
  <c r="B55" i="6"/>
  <c r="H54" i="6" l="1"/>
  <c r="L54" i="6"/>
  <c r="N53" i="6"/>
  <c r="O53" i="6" s="1"/>
  <c r="M53" i="6"/>
  <c r="I55" i="6"/>
  <c r="J55" i="6"/>
  <c r="E55" i="6"/>
  <c r="D55" i="6"/>
  <c r="F55" i="6" s="1"/>
  <c r="G55" i="6" s="1"/>
  <c r="A57" i="6"/>
  <c r="B56" i="6"/>
  <c r="K55" i="6" l="1"/>
  <c r="L55" i="6" s="1"/>
  <c r="H55" i="6"/>
  <c r="N54" i="6"/>
  <c r="O54" i="6" s="1"/>
  <c r="M54" i="6"/>
  <c r="E56" i="6"/>
  <c r="I56" i="6"/>
  <c r="D56" i="6"/>
  <c r="F56" i="6" s="1"/>
  <c r="G56" i="6" s="1"/>
  <c r="J56" i="6"/>
  <c r="A58" i="6"/>
  <c r="B57" i="6"/>
  <c r="K56" i="6" l="1"/>
  <c r="L56" i="6" s="1"/>
  <c r="H56" i="6"/>
  <c r="A59" i="6"/>
  <c r="B58" i="6"/>
  <c r="D57" i="6"/>
  <c r="F57" i="6" s="1"/>
  <c r="G57" i="6" s="1"/>
  <c r="E57" i="6"/>
  <c r="J57" i="6"/>
  <c r="I57" i="6"/>
  <c r="M55" i="6"/>
  <c r="N55" i="6"/>
  <c r="O55" i="6" s="1"/>
  <c r="K57" i="6" l="1"/>
  <c r="L57" i="6" s="1"/>
  <c r="J58" i="6"/>
  <c r="E58" i="6"/>
  <c r="D58" i="6"/>
  <c r="F58" i="6" s="1"/>
  <c r="G58" i="6" s="1"/>
  <c r="I58" i="6"/>
  <c r="H57" i="6"/>
  <c r="B59" i="6"/>
  <c r="A60" i="6"/>
  <c r="M56" i="6"/>
  <c r="N56" i="6"/>
  <c r="O56" i="6" s="1"/>
  <c r="K58" i="6" l="1"/>
  <c r="L58" i="6" s="1"/>
  <c r="N57" i="6"/>
  <c r="O57" i="6" s="1"/>
  <c r="M57" i="6"/>
  <c r="B60" i="6"/>
  <c r="A61" i="6"/>
  <c r="J59" i="6"/>
  <c r="I59" i="6"/>
  <c r="E59" i="6"/>
  <c r="D59" i="6"/>
  <c r="F59" i="6" s="1"/>
  <c r="G59" i="6" s="1"/>
  <c r="H58" i="6"/>
  <c r="K59" i="6" l="1"/>
  <c r="L59" i="6" s="1"/>
  <c r="H59" i="6"/>
  <c r="A62" i="6"/>
  <c r="B61" i="6"/>
  <c r="J60" i="6"/>
  <c r="D60" i="6"/>
  <c r="E60" i="6"/>
  <c r="I60" i="6"/>
  <c r="N58" i="6"/>
  <c r="O58" i="6" s="1"/>
  <c r="M58" i="6"/>
  <c r="K60" i="6" l="1"/>
  <c r="F60" i="6"/>
  <c r="G60" i="6" s="1"/>
  <c r="I61" i="6"/>
  <c r="E61" i="6"/>
  <c r="J61" i="6"/>
  <c r="D61" i="6"/>
  <c r="F61" i="6" s="1"/>
  <c r="G61" i="6" s="1"/>
  <c r="A63" i="6"/>
  <c r="B62" i="6"/>
  <c r="M59" i="6"/>
  <c r="N59" i="6"/>
  <c r="O59" i="6" s="1"/>
  <c r="K61" i="6" l="1"/>
  <c r="L61" i="6" s="1"/>
  <c r="A64" i="6"/>
  <c r="B63" i="6"/>
  <c r="E62" i="6"/>
  <c r="I62" i="6"/>
  <c r="J62" i="6"/>
  <c r="D62" i="6"/>
  <c r="F62" i="6" s="1"/>
  <c r="G62" i="6" s="1"/>
  <c r="H61" i="6"/>
  <c r="L60" i="6"/>
  <c r="H60" i="6"/>
  <c r="K62" i="6" l="1"/>
  <c r="L62" i="6" s="1"/>
  <c r="M61" i="6"/>
  <c r="N61" i="6"/>
  <c r="O61" i="6" s="1"/>
  <c r="E63" i="6"/>
  <c r="D63" i="6"/>
  <c r="F63" i="6" s="1"/>
  <c r="G63" i="6" s="1"/>
  <c r="I63" i="6"/>
  <c r="J63" i="6"/>
  <c r="H62" i="6"/>
  <c r="M60" i="6"/>
  <c r="N60" i="6"/>
  <c r="O60" i="6" s="1"/>
  <c r="A65" i="6"/>
  <c r="B64" i="6"/>
  <c r="K63" i="6" l="1"/>
  <c r="L63" i="6" s="1"/>
  <c r="M62" i="6"/>
  <c r="N62" i="6"/>
  <c r="O62" i="6" s="1"/>
  <c r="H63" i="6"/>
  <c r="J64" i="6"/>
  <c r="I64" i="6"/>
  <c r="E64" i="6"/>
  <c r="D64" i="6"/>
  <c r="F64" i="6" s="1"/>
  <c r="G64" i="6" s="1"/>
  <c r="A66" i="6"/>
  <c r="B65" i="6"/>
  <c r="K64" i="6" l="1"/>
  <c r="L64" i="6" s="1"/>
  <c r="H64" i="6"/>
  <c r="M63" i="6"/>
  <c r="N63" i="6"/>
  <c r="O63" i="6" s="1"/>
  <c r="J65" i="6"/>
  <c r="I65" i="6"/>
  <c r="D65" i="6"/>
  <c r="F65" i="6" s="1"/>
  <c r="G65" i="6" s="1"/>
  <c r="E65" i="6"/>
  <c r="A67" i="6"/>
  <c r="B66" i="6"/>
  <c r="K65" i="6" l="1"/>
  <c r="L65" i="6" s="1"/>
  <c r="H65" i="6"/>
  <c r="E66" i="6"/>
  <c r="J66" i="6"/>
  <c r="D66" i="6"/>
  <c r="F66" i="6" s="1"/>
  <c r="G66" i="6" s="1"/>
  <c r="I66" i="6"/>
  <c r="K66" i="6" s="1"/>
  <c r="B67" i="6"/>
  <c r="A68" i="6"/>
  <c r="N64" i="6"/>
  <c r="O64" i="6" s="1"/>
  <c r="M64" i="6"/>
  <c r="B68" i="6" l="1"/>
  <c r="A69" i="6"/>
  <c r="E67" i="6"/>
  <c r="J67" i="6"/>
  <c r="I67" i="6"/>
  <c r="D67" i="6"/>
  <c r="F67" i="6" s="1"/>
  <c r="G67" i="6" s="1"/>
  <c r="H66" i="6"/>
  <c r="L66" i="6"/>
  <c r="M65" i="6"/>
  <c r="N65" i="6"/>
  <c r="O65" i="6" s="1"/>
  <c r="K67" i="6" l="1"/>
  <c r="L67" i="6" s="1"/>
  <c r="N66" i="6"/>
  <c r="O66" i="6" s="1"/>
  <c r="M66" i="6"/>
  <c r="H67" i="6"/>
  <c r="B69" i="6"/>
  <c r="A70" i="6"/>
  <c r="E68" i="6"/>
  <c r="D68" i="6"/>
  <c r="F68" i="6" s="1"/>
  <c r="G68" i="6" s="1"/>
  <c r="I68" i="6"/>
  <c r="J68" i="6"/>
  <c r="K68" i="6" l="1"/>
  <c r="L68" i="6" s="1"/>
  <c r="H68" i="6"/>
  <c r="I69" i="6"/>
  <c r="E69" i="6"/>
  <c r="J69" i="6"/>
  <c r="D69" i="6"/>
  <c r="F69" i="6" s="1"/>
  <c r="G69" i="6" s="1"/>
  <c r="A71" i="6"/>
  <c r="B70" i="6"/>
  <c r="M67" i="6"/>
  <c r="N67" i="6"/>
  <c r="O67" i="6" s="1"/>
  <c r="D70" i="6" l="1"/>
  <c r="F70" i="6" s="1"/>
  <c r="G70" i="6" s="1"/>
  <c r="E70" i="6"/>
  <c r="J70" i="6"/>
  <c r="I70" i="6"/>
  <c r="A72" i="6"/>
  <c r="B71" i="6"/>
  <c r="K69" i="6"/>
  <c r="L69" i="6" s="1"/>
  <c r="H69" i="6"/>
  <c r="M68" i="6"/>
  <c r="N68" i="6"/>
  <c r="O68" i="6" s="1"/>
  <c r="K70" i="6" l="1"/>
  <c r="L70" i="6" s="1"/>
  <c r="M69" i="6"/>
  <c r="N69" i="6"/>
  <c r="O69" i="6" s="1"/>
  <c r="J71" i="6"/>
  <c r="I71" i="6"/>
  <c r="E71" i="6"/>
  <c r="D71" i="6"/>
  <c r="F71" i="6" s="1"/>
  <c r="G71" i="6" s="1"/>
  <c r="A73" i="6"/>
  <c r="B72" i="6"/>
  <c r="H70" i="6"/>
  <c r="K71" i="6" l="1"/>
  <c r="L71" i="6" s="1"/>
  <c r="J72" i="6"/>
  <c r="I72" i="6"/>
  <c r="D72" i="6"/>
  <c r="F72" i="6" s="1"/>
  <c r="G72" i="6" s="1"/>
  <c r="E72" i="6"/>
  <c r="A74" i="6"/>
  <c r="B73" i="6"/>
  <c r="H71" i="6"/>
  <c r="M70" i="6"/>
  <c r="N70" i="6"/>
  <c r="O70" i="6" s="1"/>
  <c r="K72" i="6" l="1"/>
  <c r="L72" i="6" s="1"/>
  <c r="N71" i="6"/>
  <c r="O71" i="6" s="1"/>
  <c r="M71" i="6"/>
  <c r="I73" i="6"/>
  <c r="E73" i="6"/>
  <c r="J73" i="6"/>
  <c r="D73" i="6"/>
  <c r="F73" i="6" s="1"/>
  <c r="G73" i="6" s="1"/>
  <c r="A75" i="6"/>
  <c r="B74" i="6"/>
  <c r="H72" i="6"/>
  <c r="K73" i="6" l="1"/>
  <c r="L73" i="6" s="1"/>
  <c r="E74" i="6"/>
  <c r="D74" i="6"/>
  <c r="F74" i="6" s="1"/>
  <c r="G74" i="6" s="1"/>
  <c r="J74" i="6"/>
  <c r="I74" i="6"/>
  <c r="A76" i="6"/>
  <c r="B75" i="6"/>
  <c r="H73" i="6"/>
  <c r="M72" i="6"/>
  <c r="N72" i="6"/>
  <c r="O72" i="6" s="1"/>
  <c r="K74" i="6" l="1"/>
  <c r="L74" i="6" s="1"/>
  <c r="N73" i="6"/>
  <c r="O73" i="6" s="1"/>
  <c r="M73" i="6"/>
  <c r="E75" i="6"/>
  <c r="J75" i="6"/>
  <c r="I75" i="6"/>
  <c r="K75" i="6" s="1"/>
  <c r="D75" i="6"/>
  <c r="F75" i="6" s="1"/>
  <c r="G75" i="6" s="1"/>
  <c r="A77" i="6"/>
  <c r="B76" i="6"/>
  <c r="H74" i="6"/>
  <c r="D76" i="6" l="1"/>
  <c r="F76" i="6" s="1"/>
  <c r="G76" i="6" s="1"/>
  <c r="E76" i="6"/>
  <c r="I76" i="6"/>
  <c r="J76" i="6"/>
  <c r="A78" i="6"/>
  <c r="B77" i="6"/>
  <c r="M74" i="6"/>
  <c r="N74" i="6"/>
  <c r="O74" i="6" s="1"/>
  <c r="H75" i="6"/>
  <c r="L75" i="6"/>
  <c r="K76" i="6" l="1"/>
  <c r="L76" i="6" s="1"/>
  <c r="D77" i="6"/>
  <c r="F77" i="6" s="1"/>
  <c r="G77" i="6" s="1"/>
  <c r="J77" i="6"/>
  <c r="E77" i="6"/>
  <c r="I77" i="6"/>
  <c r="B78" i="6"/>
  <c r="A79" i="6"/>
  <c r="M75" i="6"/>
  <c r="N75" i="6"/>
  <c r="O75" i="6" s="1"/>
  <c r="H76" i="6"/>
  <c r="K77" i="6" l="1"/>
  <c r="L77" i="6" s="1"/>
  <c r="M76" i="6"/>
  <c r="N76" i="6"/>
  <c r="O76" i="6" s="1"/>
  <c r="B79" i="6"/>
  <c r="A80" i="6"/>
  <c r="I78" i="6"/>
  <c r="E78" i="6"/>
  <c r="D78" i="6"/>
  <c r="F78" i="6" s="1"/>
  <c r="G78" i="6" s="1"/>
  <c r="J78" i="6"/>
  <c r="H77" i="6"/>
  <c r="K78" i="6" l="1"/>
  <c r="L78" i="6" s="1"/>
  <c r="H78" i="6"/>
  <c r="A81" i="6"/>
  <c r="B80" i="6"/>
  <c r="E79" i="6"/>
  <c r="D79" i="6"/>
  <c r="F79" i="6" s="1"/>
  <c r="G79" i="6" s="1"/>
  <c r="J79" i="6"/>
  <c r="I79" i="6"/>
  <c r="K79" i="6" s="1"/>
  <c r="M77" i="6"/>
  <c r="N77" i="6"/>
  <c r="O77" i="6" s="1"/>
  <c r="L79" i="6" l="1"/>
  <c r="H79" i="6"/>
  <c r="D80" i="6"/>
  <c r="F80" i="6" s="1"/>
  <c r="G80" i="6" s="1"/>
  <c r="J80" i="6"/>
  <c r="I80" i="6"/>
  <c r="K80" i="6" s="1"/>
  <c r="E80" i="6"/>
  <c r="B81" i="6"/>
  <c r="A82" i="6"/>
  <c r="M78" i="6"/>
  <c r="N78" i="6"/>
  <c r="O78" i="6" s="1"/>
  <c r="A83" i="6" l="1"/>
  <c r="B82" i="6"/>
  <c r="D81" i="6"/>
  <c r="F81" i="6" s="1"/>
  <c r="G81" i="6" s="1"/>
  <c r="J81" i="6"/>
  <c r="I81" i="6"/>
  <c r="E81" i="6"/>
  <c r="L80" i="6"/>
  <c r="H80" i="6"/>
  <c r="M79" i="6"/>
  <c r="N79" i="6"/>
  <c r="O79" i="6" s="1"/>
  <c r="K81" i="6" l="1"/>
  <c r="L81" i="6" s="1"/>
  <c r="H81" i="6"/>
  <c r="N80" i="6"/>
  <c r="O80" i="6" s="1"/>
  <c r="M80" i="6"/>
  <c r="E82" i="6"/>
  <c r="J82" i="6"/>
  <c r="I82" i="6"/>
  <c r="D82" i="6"/>
  <c r="F82" i="6" s="1"/>
  <c r="G82" i="6" s="1"/>
  <c r="B83" i="6"/>
  <c r="A84" i="6"/>
  <c r="K82" i="6" l="1"/>
  <c r="L82" i="6" s="1"/>
  <c r="H82" i="6"/>
  <c r="A85" i="6"/>
  <c r="B84" i="6"/>
  <c r="D83" i="6"/>
  <c r="F83" i="6" s="1"/>
  <c r="G83" i="6" s="1"/>
  <c r="E83" i="6"/>
  <c r="I83" i="6"/>
  <c r="J83" i="6"/>
  <c r="M81" i="6"/>
  <c r="N81" i="6"/>
  <c r="O81" i="6" s="1"/>
  <c r="K83" i="6" l="1"/>
  <c r="L83" i="6" s="1"/>
  <c r="H83" i="6"/>
  <c r="J84" i="6"/>
  <c r="E84" i="6"/>
  <c r="D84" i="6"/>
  <c r="F84" i="6" s="1"/>
  <c r="G84" i="6" s="1"/>
  <c r="I84" i="6"/>
  <c r="K84" i="6" s="1"/>
  <c r="R84" i="6"/>
  <c r="B85" i="6"/>
  <c r="A86" i="6"/>
  <c r="M82" i="6"/>
  <c r="N82" i="6"/>
  <c r="O82" i="6" s="1"/>
  <c r="I85" i="6" l="1"/>
  <c r="E85" i="6"/>
  <c r="J85" i="6"/>
  <c r="D85" i="6"/>
  <c r="F85" i="6" s="1"/>
  <c r="G85" i="6" s="1"/>
  <c r="L84" i="6"/>
  <c r="H84" i="6"/>
  <c r="B86" i="6"/>
  <c r="A87" i="6"/>
  <c r="N83" i="6"/>
  <c r="O83" i="6" s="1"/>
  <c r="M83" i="6"/>
  <c r="K85" i="6" l="1"/>
  <c r="L85" i="6" s="1"/>
  <c r="A88" i="6"/>
  <c r="B87" i="6"/>
  <c r="I86" i="6"/>
  <c r="E86" i="6"/>
  <c r="D86" i="6"/>
  <c r="F86" i="6" s="1"/>
  <c r="G86" i="6" s="1"/>
  <c r="J86" i="6"/>
  <c r="N84" i="6"/>
  <c r="O84" i="6" s="1"/>
  <c r="M84" i="6"/>
  <c r="H85" i="6"/>
  <c r="K86" i="6" l="1"/>
  <c r="L86" i="6" s="1"/>
  <c r="N85" i="6"/>
  <c r="O85" i="6" s="1"/>
  <c r="M85" i="6"/>
  <c r="E87" i="6"/>
  <c r="J87" i="6"/>
  <c r="D87" i="6"/>
  <c r="F87" i="6" s="1"/>
  <c r="G87" i="6" s="1"/>
  <c r="I87" i="6"/>
  <c r="H86" i="6"/>
  <c r="B88" i="6"/>
  <c r="A89" i="6"/>
  <c r="K87" i="6" l="1"/>
  <c r="L87" i="6" s="1"/>
  <c r="M86" i="6"/>
  <c r="N86" i="6"/>
  <c r="O86" i="6" s="1"/>
  <c r="A90" i="6"/>
  <c r="B89" i="6"/>
  <c r="H87" i="6"/>
  <c r="E88" i="6"/>
  <c r="J88" i="6"/>
  <c r="I88" i="6"/>
  <c r="D88" i="6"/>
  <c r="F88" i="6" s="1"/>
  <c r="G88" i="6" s="1"/>
  <c r="M87" i="6" l="1"/>
  <c r="N87" i="6"/>
  <c r="O87" i="6" s="1"/>
  <c r="E89" i="6"/>
  <c r="D89" i="6"/>
  <c r="F89" i="6" s="1"/>
  <c r="G89" i="6" s="1"/>
  <c r="J89" i="6"/>
  <c r="I89" i="6"/>
  <c r="K89" i="6" s="1"/>
  <c r="A91" i="6"/>
  <c r="B90" i="6"/>
  <c r="H88" i="6"/>
  <c r="K88" i="6"/>
  <c r="L88" i="6" s="1"/>
  <c r="M88" i="6" l="1"/>
  <c r="N88" i="6"/>
  <c r="O88" i="6" s="1"/>
  <c r="E90" i="6"/>
  <c r="J90" i="6"/>
  <c r="D90" i="6"/>
  <c r="F90" i="6" s="1"/>
  <c r="G90" i="6" s="1"/>
  <c r="I90" i="6"/>
  <c r="A92" i="6"/>
  <c r="B91" i="6"/>
  <c r="L89" i="6"/>
  <c r="H89" i="6"/>
  <c r="K90" i="6" l="1"/>
  <c r="L90" i="6" s="1"/>
  <c r="D91" i="6"/>
  <c r="I91" i="6"/>
  <c r="J91" i="6"/>
  <c r="E91" i="6"/>
  <c r="B92" i="6"/>
  <c r="A93" i="6"/>
  <c r="H90" i="6"/>
  <c r="M89" i="6"/>
  <c r="N89" i="6"/>
  <c r="O89" i="6" s="1"/>
  <c r="M90" i="6" l="1"/>
  <c r="N90" i="6"/>
  <c r="O90" i="6" s="1"/>
  <c r="A94" i="6"/>
  <c r="B93" i="6"/>
  <c r="E92" i="6"/>
  <c r="D92" i="6"/>
  <c r="F92" i="6" s="1"/>
  <c r="G92" i="6" s="1"/>
  <c r="J92" i="6"/>
  <c r="I92" i="6"/>
  <c r="K92" i="6" s="1"/>
  <c r="K91" i="6"/>
  <c r="F91" i="6"/>
  <c r="G91" i="6" s="1"/>
  <c r="H92" i="6" l="1"/>
  <c r="L92" i="6"/>
  <c r="D93" i="6"/>
  <c r="F93" i="6" s="1"/>
  <c r="G93" i="6" s="1"/>
  <c r="E93" i="6"/>
  <c r="J93" i="6"/>
  <c r="I93" i="6"/>
  <c r="B94" i="6"/>
  <c r="A95" i="6"/>
  <c r="L91" i="6"/>
  <c r="H91" i="6"/>
  <c r="A96" i="6" l="1"/>
  <c r="B95" i="6"/>
  <c r="I94" i="6"/>
  <c r="E94" i="6"/>
  <c r="D94" i="6"/>
  <c r="F94" i="6" s="1"/>
  <c r="G94" i="6" s="1"/>
  <c r="J94" i="6"/>
  <c r="H93" i="6"/>
  <c r="M92" i="6"/>
  <c r="N92" i="6"/>
  <c r="O92" i="6" s="1"/>
  <c r="K93" i="6"/>
  <c r="L93" i="6" s="1"/>
  <c r="M91" i="6"/>
  <c r="N91" i="6"/>
  <c r="O91" i="6" s="1"/>
  <c r="M93" i="6" l="1"/>
  <c r="N93" i="6"/>
  <c r="O93" i="6" s="1"/>
  <c r="H94" i="6"/>
  <c r="K94" i="6"/>
  <c r="L94" i="6" s="1"/>
  <c r="I95" i="6"/>
  <c r="D95" i="6"/>
  <c r="F95" i="6" s="1"/>
  <c r="G95" i="6" s="1"/>
  <c r="E95" i="6"/>
  <c r="J95" i="6"/>
  <c r="B96" i="6"/>
  <c r="A97" i="6"/>
  <c r="K95" i="6" l="1"/>
  <c r="L95" i="6" s="1"/>
  <c r="N94" i="6"/>
  <c r="O94" i="6" s="1"/>
  <c r="M94" i="6"/>
  <c r="H95" i="6"/>
  <c r="B97" i="6"/>
  <c r="A98" i="6"/>
  <c r="D96" i="6"/>
  <c r="F96" i="6" s="1"/>
  <c r="G96" i="6" s="1"/>
  <c r="J96" i="6"/>
  <c r="I96" i="6"/>
  <c r="E96" i="6"/>
  <c r="H96" i="6" l="1"/>
  <c r="I97" i="6"/>
  <c r="E97" i="6"/>
  <c r="J97" i="6"/>
  <c r="D97" i="6"/>
  <c r="F97" i="6" s="1"/>
  <c r="G97" i="6" s="1"/>
  <c r="B98" i="6"/>
  <c r="A99" i="6"/>
  <c r="N95" i="6"/>
  <c r="O95" i="6" s="1"/>
  <c r="M95" i="6"/>
  <c r="K96" i="6"/>
  <c r="L96" i="6" s="1"/>
  <c r="K97" i="6" l="1"/>
  <c r="L97" i="6" s="1"/>
  <c r="M96" i="6"/>
  <c r="N96" i="6"/>
  <c r="O96" i="6" s="1"/>
  <c r="H97" i="6"/>
  <c r="A100" i="6"/>
  <c r="B99" i="6"/>
  <c r="E98" i="6"/>
  <c r="I98" i="6"/>
  <c r="D98" i="6"/>
  <c r="J98" i="6"/>
  <c r="K98" i="6" l="1"/>
  <c r="E99" i="6"/>
  <c r="J99" i="6"/>
  <c r="I99" i="6"/>
  <c r="D99" i="6"/>
  <c r="F99" i="6" s="1"/>
  <c r="G99" i="6" s="1"/>
  <c r="A101" i="6"/>
  <c r="B101" i="6" s="1"/>
  <c r="B100" i="6"/>
  <c r="N97" i="6"/>
  <c r="O97" i="6" s="1"/>
  <c r="M97" i="6"/>
  <c r="F98" i="6"/>
  <c r="G98" i="6" s="1"/>
  <c r="K99" i="6" l="1"/>
  <c r="L99" i="6" s="1"/>
  <c r="H98" i="6"/>
  <c r="L98" i="6"/>
  <c r="E100" i="6"/>
  <c r="D100" i="6"/>
  <c r="F100" i="6" s="1"/>
  <c r="G100" i="6" s="1"/>
  <c r="J100" i="6"/>
  <c r="I100" i="6"/>
  <c r="J101" i="6"/>
  <c r="R101" i="6"/>
  <c r="E101" i="6"/>
  <c r="I101" i="6"/>
  <c r="D101" i="6"/>
  <c r="F101" i="6" s="1"/>
  <c r="G101" i="6" s="1"/>
  <c r="H99" i="6"/>
  <c r="K100" i="6" l="1"/>
  <c r="L100" i="6" s="1"/>
  <c r="K101" i="6"/>
  <c r="L101" i="6" s="1"/>
  <c r="H100" i="6"/>
  <c r="H101" i="6"/>
  <c r="N98" i="6"/>
  <c r="O98" i="6" s="1"/>
  <c r="M98" i="6"/>
  <c r="M99" i="6"/>
  <c r="N99" i="6"/>
  <c r="O99" i="6" s="1"/>
  <c r="M100" i="6" l="1"/>
  <c r="N100" i="6"/>
  <c r="O100" i="6" s="1"/>
  <c r="M101" i="6"/>
  <c r="N101" i="6"/>
  <c r="O101" i="6" s="1"/>
</calcChain>
</file>

<file path=xl/sharedStrings.xml><?xml version="1.0" encoding="utf-8"?>
<sst xmlns="http://schemas.openxmlformats.org/spreadsheetml/2006/main" count="620" uniqueCount="342">
  <si>
    <t>This spreadsheet guides the User through the design process for a CONTINUOUS CONDUCTION MODE PFC BOOST converter using the UCC28019 controller.</t>
  </si>
  <si>
    <t>1. The Macros must be ENABLED.</t>
  </si>
  <si>
    <t>2. The Analysis ToolPak Add-In must be checked.</t>
  </si>
  <si>
    <t>• This feature can be found in the Tools Menu.</t>
  </si>
  <si>
    <t>• Select Add-Ins</t>
  </si>
  <si>
    <t>• Check the box next to Analysis ToolPak</t>
  </si>
  <si>
    <t>3. Enter the desired design parameters in the YELLOW shaded boxes</t>
  </si>
  <si>
    <t>5. Actual standard values must be entered for the spreadsheet to calculate the gain-phase plots.</t>
  </si>
  <si>
    <t>Design Specifications</t>
  </si>
  <si>
    <t>Description</t>
  </si>
  <si>
    <t xml:space="preserve">Minimum </t>
  </si>
  <si>
    <t>Maximum</t>
  </si>
  <si>
    <t xml:space="preserve">Typical </t>
  </si>
  <si>
    <t>Input Voltage</t>
  </si>
  <si>
    <t>Output Voltage</t>
  </si>
  <si>
    <t>Allowable Output Voltage
Transients (90% Load Step)</t>
  </si>
  <si>
    <t>Unit</t>
  </si>
  <si>
    <t>V</t>
  </si>
  <si>
    <t>W</t>
  </si>
  <si>
    <t xml:space="preserve"> </t>
  </si>
  <si>
    <t>kHz</t>
  </si>
  <si>
    <r>
      <t>Output Power (P</t>
    </r>
    <r>
      <rPr>
        <b/>
        <vertAlign val="subscript"/>
        <sz val="12"/>
        <rFont val="Arial"/>
        <family val="2"/>
      </rPr>
      <t>OUT</t>
    </r>
    <r>
      <rPr>
        <b/>
        <sz val="12"/>
        <rFont val="Arial"/>
        <family val="2"/>
      </rPr>
      <t>)</t>
    </r>
  </si>
  <si>
    <r>
      <t>Inductor (L</t>
    </r>
    <r>
      <rPr>
        <b/>
        <vertAlign val="subscript"/>
        <sz val="12"/>
        <rFont val="Arial"/>
        <family val="2"/>
      </rPr>
      <t>OUT</t>
    </r>
    <r>
      <rPr>
        <b/>
        <sz val="12"/>
        <rFont val="Arial"/>
        <family val="2"/>
      </rPr>
      <t>) Switching Frequency</t>
    </r>
  </si>
  <si>
    <t>Full Load Efficiency</t>
  </si>
  <si>
    <r>
      <t>P</t>
    </r>
    <r>
      <rPr>
        <b/>
        <vertAlign val="subscript"/>
        <sz val="12"/>
        <rFont val="Arial"/>
        <family val="2"/>
      </rPr>
      <t>BUDGET</t>
    </r>
  </si>
  <si>
    <r>
      <t>V</t>
    </r>
    <r>
      <rPr>
        <b/>
        <vertAlign val="subscript"/>
        <sz val="12"/>
        <rFont val="Arial"/>
        <family val="2"/>
      </rPr>
      <t>RDSON</t>
    </r>
  </si>
  <si>
    <t>a1</t>
  </si>
  <si>
    <t>Variable</t>
  </si>
  <si>
    <r>
      <t>T1 Transformer Turns Ratio=N</t>
    </r>
    <r>
      <rPr>
        <b/>
        <vertAlign val="subscript"/>
        <sz val="12"/>
        <rFont val="Arial"/>
        <family val="2"/>
      </rPr>
      <t>P</t>
    </r>
    <r>
      <rPr>
        <b/>
        <sz val="12"/>
        <rFont val="Arial"/>
        <family val="2"/>
      </rPr>
      <t>/N</t>
    </r>
    <r>
      <rPr>
        <b/>
        <vertAlign val="subscript"/>
        <sz val="12"/>
        <rFont val="Arial"/>
        <family val="2"/>
      </rPr>
      <t>S</t>
    </r>
  </si>
  <si>
    <t>Maximum Duty Cycle Nominal</t>
  </si>
  <si>
    <t>Typical Duty Cycle</t>
  </si>
  <si>
    <r>
      <t>D</t>
    </r>
    <r>
      <rPr>
        <b/>
        <vertAlign val="subscript"/>
        <sz val="12"/>
        <rFont val="Arial"/>
        <family val="2"/>
      </rPr>
      <t>MAX</t>
    </r>
  </si>
  <si>
    <r>
      <t>D</t>
    </r>
    <r>
      <rPr>
        <b/>
        <vertAlign val="subscript"/>
        <sz val="12"/>
        <rFont val="Arial"/>
        <family val="2"/>
      </rPr>
      <t>TYP</t>
    </r>
  </si>
  <si>
    <t>Inductor Ripple Current</t>
  </si>
  <si>
    <t>A</t>
  </si>
  <si>
    <r>
      <t>L</t>
    </r>
    <r>
      <rPr>
        <b/>
        <vertAlign val="subscript"/>
        <sz val="12"/>
        <rFont val="Arial"/>
        <family val="2"/>
      </rPr>
      <t>MAG</t>
    </r>
  </si>
  <si>
    <t>mH</t>
  </si>
  <si>
    <r>
      <t>I</t>
    </r>
    <r>
      <rPr>
        <b/>
        <vertAlign val="subscript"/>
        <sz val="12"/>
        <rFont val="Arial"/>
        <family val="2"/>
      </rPr>
      <t>PS</t>
    </r>
  </si>
  <si>
    <r>
      <t>I</t>
    </r>
    <r>
      <rPr>
        <b/>
        <vertAlign val="subscript"/>
        <sz val="12"/>
        <rFont val="Arial"/>
        <family val="2"/>
      </rPr>
      <t>MS</t>
    </r>
  </si>
  <si>
    <r>
      <t>I</t>
    </r>
    <r>
      <rPr>
        <b/>
        <vertAlign val="subscript"/>
        <sz val="12"/>
        <rFont val="Arial"/>
        <family val="2"/>
      </rPr>
      <t>SRMS1</t>
    </r>
  </si>
  <si>
    <r>
      <t>I</t>
    </r>
    <r>
      <rPr>
        <b/>
        <vertAlign val="subscript"/>
        <sz val="12"/>
        <rFont val="Arial"/>
        <family val="2"/>
      </rPr>
      <t>MS2</t>
    </r>
  </si>
  <si>
    <r>
      <t>I</t>
    </r>
    <r>
      <rPr>
        <b/>
        <vertAlign val="subscript"/>
        <sz val="12"/>
        <rFont val="Arial"/>
        <family val="2"/>
      </rPr>
      <t>SRMS2</t>
    </r>
  </si>
  <si>
    <r>
      <t>I</t>
    </r>
    <r>
      <rPr>
        <b/>
        <vertAlign val="subscript"/>
        <sz val="12"/>
        <rFont val="Arial"/>
        <family val="2"/>
      </rPr>
      <t>SRMS3</t>
    </r>
  </si>
  <si>
    <r>
      <t>I</t>
    </r>
    <r>
      <rPr>
        <b/>
        <vertAlign val="subscript"/>
        <sz val="12"/>
        <rFont val="Arial"/>
        <family val="2"/>
      </rPr>
      <t>SRMS</t>
    </r>
  </si>
  <si>
    <r>
      <t>dIL</t>
    </r>
    <r>
      <rPr>
        <b/>
        <vertAlign val="subscript"/>
        <sz val="12"/>
        <rFont val="Arial"/>
        <family val="2"/>
      </rPr>
      <t>MAG</t>
    </r>
  </si>
  <si>
    <r>
      <t>I</t>
    </r>
    <r>
      <rPr>
        <b/>
        <vertAlign val="subscript"/>
        <sz val="12"/>
        <rFont val="Arial"/>
        <family val="2"/>
      </rPr>
      <t>PP</t>
    </r>
  </si>
  <si>
    <r>
      <t>I</t>
    </r>
    <r>
      <rPr>
        <b/>
        <vertAlign val="subscript"/>
        <sz val="12"/>
        <rFont val="Arial"/>
        <family val="2"/>
      </rPr>
      <t>MP</t>
    </r>
  </si>
  <si>
    <r>
      <t>I</t>
    </r>
    <r>
      <rPr>
        <b/>
        <vertAlign val="subscript"/>
        <sz val="12"/>
        <rFont val="Arial"/>
        <family val="2"/>
      </rPr>
      <t>MP2</t>
    </r>
  </si>
  <si>
    <r>
      <t>I</t>
    </r>
    <r>
      <rPr>
        <b/>
        <vertAlign val="subscript"/>
        <sz val="12"/>
        <rFont val="Arial"/>
        <family val="2"/>
      </rPr>
      <t>PRMS1</t>
    </r>
  </si>
  <si>
    <r>
      <t>I</t>
    </r>
    <r>
      <rPr>
        <b/>
        <vertAlign val="subscript"/>
        <sz val="12"/>
        <rFont val="Arial"/>
        <family val="2"/>
      </rPr>
      <t>PRMS2</t>
    </r>
  </si>
  <si>
    <r>
      <t>DCR</t>
    </r>
    <r>
      <rPr>
        <b/>
        <vertAlign val="subscript"/>
        <sz val="12"/>
        <rFont val="Arial"/>
        <family val="2"/>
      </rPr>
      <t>P</t>
    </r>
  </si>
  <si>
    <r>
      <t>I</t>
    </r>
    <r>
      <rPr>
        <b/>
        <vertAlign val="subscript"/>
        <sz val="12"/>
        <rFont val="Arial"/>
        <family val="2"/>
      </rPr>
      <t>PRMS</t>
    </r>
  </si>
  <si>
    <r>
      <t>DCR</t>
    </r>
    <r>
      <rPr>
        <b/>
        <vertAlign val="subscript"/>
        <sz val="12"/>
        <rFont val="Arial"/>
        <family val="2"/>
      </rPr>
      <t>S</t>
    </r>
  </si>
  <si>
    <r>
      <t>P</t>
    </r>
    <r>
      <rPr>
        <b/>
        <vertAlign val="subscript"/>
        <sz val="12"/>
        <rFont val="Arial"/>
        <family val="2"/>
      </rPr>
      <t>T1</t>
    </r>
  </si>
  <si>
    <t>Transformer Primary DC Resistance</t>
  </si>
  <si>
    <t>Transformer Secondary DC Resistance</t>
  </si>
  <si>
    <t>Estimated transform loss, 2X Copper Losses</t>
  </si>
  <si>
    <t>Recalculate Power Budget</t>
  </si>
  <si>
    <t>QA, QB, QC, QD FET selection:</t>
  </si>
  <si>
    <r>
      <t>R</t>
    </r>
    <r>
      <rPr>
        <b/>
        <vertAlign val="subscript"/>
        <sz val="12"/>
        <rFont val="Arial"/>
        <family val="2"/>
      </rPr>
      <t>ds(on)QA</t>
    </r>
  </si>
  <si>
    <t>FET drain to source on resistance</t>
  </si>
  <si>
    <t>FET Specified Coss</t>
  </si>
  <si>
    <t>pF</t>
  </si>
  <si>
    <r>
      <t>C</t>
    </r>
    <r>
      <rPr>
        <b/>
        <vertAlign val="subscript"/>
        <sz val="12"/>
        <rFont val="Arial"/>
        <family val="2"/>
      </rPr>
      <t>OSS_QA_SPEC</t>
    </r>
  </si>
  <si>
    <r>
      <t>V</t>
    </r>
    <r>
      <rPr>
        <b/>
        <vertAlign val="subscript"/>
        <sz val="12"/>
        <rFont val="Arial"/>
        <family val="2"/>
      </rPr>
      <t>dsQA</t>
    </r>
  </si>
  <si>
    <r>
      <t>Calculate average C</t>
    </r>
    <r>
      <rPr>
        <b/>
        <vertAlign val="subscript"/>
        <sz val="12"/>
        <rFont val="Arial"/>
        <family val="2"/>
      </rPr>
      <t xml:space="preserve">OSS </t>
    </r>
  </si>
  <si>
    <r>
      <t>C</t>
    </r>
    <r>
      <rPr>
        <b/>
        <vertAlign val="subscript"/>
        <sz val="12"/>
        <rFont val="Arial"/>
        <family val="2"/>
      </rPr>
      <t>OSS_QA_AVG</t>
    </r>
  </si>
  <si>
    <r>
      <t>P</t>
    </r>
    <r>
      <rPr>
        <b/>
        <vertAlign val="subscript"/>
        <sz val="12"/>
        <rFont val="Arial"/>
        <family val="2"/>
      </rPr>
      <t>QA</t>
    </r>
  </si>
  <si>
    <t xml:space="preserve">Calculate QA losses </t>
  </si>
  <si>
    <r>
      <t>V</t>
    </r>
    <r>
      <rPr>
        <b/>
        <vertAlign val="subscript"/>
        <sz val="12"/>
        <rFont val="Arial"/>
        <family val="2"/>
      </rPr>
      <t>g</t>
    </r>
  </si>
  <si>
    <r>
      <t>QA</t>
    </r>
    <r>
      <rPr>
        <b/>
        <vertAlign val="subscript"/>
        <sz val="12"/>
        <rFont val="Arial"/>
        <family val="2"/>
      </rPr>
      <t>g</t>
    </r>
  </si>
  <si>
    <t>nC</t>
  </si>
  <si>
    <t>Primary Magnetizing Inductance</t>
  </si>
  <si>
    <r>
      <t>L</t>
    </r>
    <r>
      <rPr>
        <b/>
        <vertAlign val="subscript"/>
        <sz val="12"/>
        <rFont val="Arial"/>
        <family val="2"/>
      </rPr>
      <t>S</t>
    </r>
  </si>
  <si>
    <t>uH</t>
  </si>
  <si>
    <r>
      <t>DCR</t>
    </r>
    <r>
      <rPr>
        <b/>
        <vertAlign val="subscript"/>
        <sz val="12"/>
        <rFont val="Arial"/>
        <family val="2"/>
      </rPr>
      <t>LS</t>
    </r>
  </si>
  <si>
    <r>
      <t>L</t>
    </r>
    <r>
      <rPr>
        <b/>
        <vertAlign val="subscript"/>
        <sz val="12"/>
        <rFont val="Arial"/>
        <family val="2"/>
      </rPr>
      <t>S</t>
    </r>
    <r>
      <rPr>
        <b/>
        <sz val="12"/>
        <rFont val="Arial"/>
        <family val="2"/>
      </rPr>
      <t xml:space="preserve"> DC Resistance</t>
    </r>
  </si>
  <si>
    <r>
      <t>Estimate L</t>
    </r>
    <r>
      <rPr>
        <b/>
        <vertAlign val="subscript"/>
        <sz val="12"/>
        <rFont val="Arial"/>
        <family val="2"/>
      </rPr>
      <t xml:space="preserve">S </t>
    </r>
    <r>
      <rPr>
        <b/>
        <sz val="12"/>
        <rFont val="Arial"/>
        <family val="2"/>
      </rPr>
      <t>power loss (P</t>
    </r>
    <r>
      <rPr>
        <b/>
        <vertAlign val="subscript"/>
        <sz val="12"/>
        <rFont val="Arial"/>
        <family val="2"/>
      </rPr>
      <t>LS</t>
    </r>
    <r>
      <rPr>
        <b/>
        <sz val="12"/>
        <rFont val="Arial"/>
        <family val="2"/>
      </rPr>
      <t xml:space="preserve">) </t>
    </r>
  </si>
  <si>
    <r>
      <t>P</t>
    </r>
    <r>
      <rPr>
        <b/>
        <vertAlign val="subscript"/>
        <sz val="12"/>
        <rFont val="Arial"/>
        <family val="2"/>
      </rPr>
      <t>LS</t>
    </r>
  </si>
  <si>
    <r>
      <t>L</t>
    </r>
    <r>
      <rPr>
        <b/>
        <vertAlign val="subscript"/>
        <sz val="12"/>
        <rFont val="Arial"/>
        <family val="2"/>
      </rPr>
      <t>OUT</t>
    </r>
  </si>
  <si>
    <r>
      <t>DCR</t>
    </r>
    <r>
      <rPr>
        <b/>
        <vertAlign val="subscript"/>
        <sz val="12"/>
        <rFont val="Arial"/>
        <family val="2"/>
      </rPr>
      <t>LOUT</t>
    </r>
  </si>
  <si>
    <r>
      <t>Estimate L</t>
    </r>
    <r>
      <rPr>
        <b/>
        <vertAlign val="subscript"/>
        <sz val="12"/>
        <rFont val="Arial"/>
        <family val="2"/>
      </rPr>
      <t xml:space="preserve">OUT </t>
    </r>
    <r>
      <rPr>
        <b/>
        <sz val="12"/>
        <rFont val="Arial"/>
        <family val="2"/>
      </rPr>
      <t>power loss</t>
    </r>
  </si>
  <si>
    <r>
      <t>P</t>
    </r>
    <r>
      <rPr>
        <b/>
        <vertAlign val="subscript"/>
        <sz val="12"/>
        <rFont val="Arial"/>
        <family val="2"/>
      </rPr>
      <t>LOUT</t>
    </r>
  </si>
  <si>
    <r>
      <t>Calculate L</t>
    </r>
    <r>
      <rPr>
        <b/>
        <vertAlign val="subscript"/>
        <sz val="12"/>
        <rFont val="Arial"/>
        <family val="2"/>
      </rPr>
      <t>OUT</t>
    </r>
    <r>
      <rPr>
        <b/>
        <sz val="12"/>
        <rFont val="Arial"/>
        <family val="2"/>
      </rPr>
      <t xml:space="preserve"> RMS Current</t>
    </r>
  </si>
  <si>
    <r>
      <t>I</t>
    </r>
    <r>
      <rPr>
        <b/>
        <vertAlign val="subscript"/>
        <sz val="12"/>
        <rFont val="Arial"/>
        <family val="2"/>
      </rPr>
      <t>LOUT_RMS</t>
    </r>
  </si>
  <si>
    <t>Calculated Shim Inductance</t>
  </si>
  <si>
    <t>Calculate Output Inductance</t>
  </si>
  <si>
    <r>
      <t>t</t>
    </r>
    <r>
      <rPr>
        <b/>
        <vertAlign val="subscript"/>
        <sz val="12"/>
        <rFont val="Arial"/>
        <family val="2"/>
      </rPr>
      <t>HU</t>
    </r>
  </si>
  <si>
    <r>
      <t>Time it takes L</t>
    </r>
    <r>
      <rPr>
        <b/>
        <vertAlign val="subscript"/>
        <sz val="12"/>
        <rFont val="Arial"/>
        <family val="2"/>
      </rPr>
      <t xml:space="preserve">OUT </t>
    </r>
    <r>
      <rPr>
        <b/>
        <sz val="12"/>
        <rFont val="Arial"/>
        <family val="2"/>
      </rPr>
      <t>to change 90% of its full load current</t>
    </r>
  </si>
  <si>
    <t>us</t>
  </si>
  <si>
    <r>
      <t>ESR</t>
    </r>
    <r>
      <rPr>
        <b/>
        <vertAlign val="subscript"/>
        <sz val="12"/>
        <rFont val="Arial"/>
        <family val="2"/>
      </rPr>
      <t>COUT</t>
    </r>
  </si>
  <si>
    <r>
      <t>C</t>
    </r>
    <r>
      <rPr>
        <b/>
        <vertAlign val="subscript"/>
        <sz val="12"/>
        <rFont val="Arial"/>
        <family val="2"/>
      </rPr>
      <t>OUT</t>
    </r>
  </si>
  <si>
    <t>uF</t>
  </si>
  <si>
    <t>n</t>
  </si>
  <si>
    <t>Single Capacitor Capacitance</t>
  </si>
  <si>
    <t>Single Capacitor ESR</t>
  </si>
  <si>
    <t>Total Output Capacitance</t>
  </si>
  <si>
    <r>
      <t>I</t>
    </r>
    <r>
      <rPr>
        <b/>
        <vertAlign val="subscript"/>
        <sz val="12"/>
        <rFont val="Arial"/>
        <family val="2"/>
      </rPr>
      <t>COUT_RMS</t>
    </r>
  </si>
  <si>
    <t>Output Capacitance RMS Current</t>
  </si>
  <si>
    <t>Calculate Output Capacitance Loss</t>
  </si>
  <si>
    <r>
      <t>P</t>
    </r>
    <r>
      <rPr>
        <b/>
        <vertAlign val="subscript"/>
        <sz val="12"/>
        <rFont val="Arial"/>
        <family val="2"/>
      </rPr>
      <t>COUT</t>
    </r>
  </si>
  <si>
    <r>
      <t>V</t>
    </r>
    <r>
      <rPr>
        <b/>
        <vertAlign val="subscript"/>
        <sz val="12"/>
        <rFont val="Arial"/>
        <family val="2"/>
      </rPr>
      <t>DROP</t>
    </r>
  </si>
  <si>
    <t>Minimum Input During Line Dropout</t>
  </si>
  <si>
    <r>
      <t>C</t>
    </r>
    <r>
      <rPr>
        <b/>
        <vertAlign val="subscript"/>
        <sz val="12"/>
        <rFont val="Arial"/>
        <family val="2"/>
      </rPr>
      <t>IN</t>
    </r>
  </si>
  <si>
    <t>Calculate Minimum Input Capacitance</t>
  </si>
  <si>
    <r>
      <t>High Frequency C</t>
    </r>
    <r>
      <rPr>
        <b/>
        <vertAlign val="subscript"/>
        <sz val="12"/>
        <rFont val="Arial"/>
        <family val="2"/>
      </rPr>
      <t>IN</t>
    </r>
    <r>
      <rPr>
        <b/>
        <sz val="12"/>
        <rFont val="Arial"/>
        <family val="2"/>
      </rPr>
      <t xml:space="preserve"> RMS Current</t>
    </r>
  </si>
  <si>
    <r>
      <t>I</t>
    </r>
    <r>
      <rPr>
        <b/>
        <vertAlign val="subscript"/>
        <sz val="12"/>
        <rFont val="Arial"/>
        <family val="2"/>
      </rPr>
      <t>CINRMS</t>
    </r>
  </si>
  <si>
    <r>
      <t>ESR</t>
    </r>
    <r>
      <rPr>
        <b/>
        <vertAlign val="subscript"/>
        <sz val="12"/>
        <rFont val="Arial"/>
        <family val="2"/>
      </rPr>
      <t>CIN</t>
    </r>
  </si>
  <si>
    <r>
      <t>P</t>
    </r>
    <r>
      <rPr>
        <b/>
        <vertAlign val="subscript"/>
        <sz val="12"/>
        <rFont val="Arial"/>
        <family val="2"/>
      </rPr>
      <t>CIN</t>
    </r>
  </si>
  <si>
    <t>Select FETs QE and QF:</t>
  </si>
  <si>
    <r>
      <t>QE</t>
    </r>
    <r>
      <rPr>
        <b/>
        <vertAlign val="subscript"/>
        <sz val="12"/>
        <rFont val="Arial"/>
        <family val="2"/>
      </rPr>
      <t>g</t>
    </r>
  </si>
  <si>
    <r>
      <t>R</t>
    </r>
    <r>
      <rPr>
        <b/>
        <vertAlign val="subscript"/>
        <sz val="12"/>
        <rFont val="Arial"/>
        <family val="2"/>
      </rPr>
      <t>ds(on)QE</t>
    </r>
  </si>
  <si>
    <t>QE and QF Gate Charge</t>
  </si>
  <si>
    <t xml:space="preserve">Set Initial Power Budget </t>
  </si>
  <si>
    <t>Estimated FET Voltage Drop</t>
  </si>
  <si>
    <t>QA FET Gate Charge</t>
  </si>
  <si>
    <r>
      <t>Voltage Across Drain to Source Where C</t>
    </r>
    <r>
      <rPr>
        <b/>
        <vertAlign val="subscript"/>
        <sz val="12"/>
        <rFont val="Arial"/>
        <family val="2"/>
      </rPr>
      <t xml:space="preserve">OSS </t>
    </r>
    <r>
      <rPr>
        <b/>
        <sz val="12"/>
        <color indexed="8"/>
        <rFont val="Arial"/>
        <family val="2"/>
      </rPr>
      <t>was Measured, Data Sheet Parameter</t>
    </r>
  </si>
  <si>
    <r>
      <t>V</t>
    </r>
    <r>
      <rPr>
        <b/>
        <vertAlign val="subscript"/>
        <sz val="12"/>
        <rFont val="Arial"/>
        <family val="2"/>
      </rPr>
      <t>dsQE</t>
    </r>
  </si>
  <si>
    <r>
      <t>V</t>
    </r>
    <r>
      <rPr>
        <b/>
        <vertAlign val="subscript"/>
        <sz val="12"/>
        <rFont val="Arial"/>
        <family val="2"/>
      </rPr>
      <t>dsQE_SPEC</t>
    </r>
  </si>
  <si>
    <r>
      <t>Voltage Specified at C</t>
    </r>
    <r>
      <rPr>
        <b/>
        <vertAlign val="subscript"/>
        <sz val="12"/>
        <rFont val="Arial"/>
        <family val="2"/>
      </rPr>
      <t>OSS</t>
    </r>
    <r>
      <rPr>
        <b/>
        <sz val="12"/>
        <rFont val="Arial"/>
        <family val="2"/>
      </rPr>
      <t xml:space="preserve"> Specified in the Data Sheet</t>
    </r>
  </si>
  <si>
    <r>
      <t>C</t>
    </r>
    <r>
      <rPr>
        <b/>
        <vertAlign val="subscript"/>
        <sz val="12"/>
        <rFont val="Arial"/>
        <family val="2"/>
      </rPr>
      <t>OSS_SPEC</t>
    </r>
  </si>
  <si>
    <r>
      <t>Specified QE and QF C</t>
    </r>
    <r>
      <rPr>
        <b/>
        <vertAlign val="subscript"/>
        <sz val="12"/>
        <rFont val="Arial"/>
        <family val="2"/>
      </rPr>
      <t xml:space="preserve">OSS </t>
    </r>
    <r>
      <rPr>
        <b/>
        <sz val="12"/>
        <rFont val="Arial"/>
        <family val="2"/>
      </rPr>
      <t>From the Data Sheet</t>
    </r>
  </si>
  <si>
    <r>
      <t>C</t>
    </r>
    <r>
      <rPr>
        <b/>
        <vertAlign val="subscript"/>
        <sz val="12"/>
        <rFont val="Arial"/>
        <family val="2"/>
      </rPr>
      <t>OSS_QE_AVG</t>
    </r>
  </si>
  <si>
    <r>
      <t>Average QE and QF C</t>
    </r>
    <r>
      <rPr>
        <b/>
        <vertAlign val="subscript"/>
        <sz val="12"/>
        <rFont val="Arial"/>
        <family val="2"/>
      </rPr>
      <t>OSS</t>
    </r>
  </si>
  <si>
    <t>QE and QF RMS Current</t>
  </si>
  <si>
    <r>
      <t>I</t>
    </r>
    <r>
      <rPr>
        <b/>
        <vertAlign val="subscript"/>
        <sz val="12"/>
        <rFont val="Arial"/>
        <family val="2"/>
      </rPr>
      <t>QE_RMS</t>
    </r>
  </si>
  <si>
    <r>
      <t>QE</t>
    </r>
    <r>
      <rPr>
        <b/>
        <vertAlign val="subscript"/>
        <sz val="12"/>
        <rFont val="Arial"/>
        <family val="2"/>
      </rPr>
      <t>MILLER_MAX</t>
    </r>
  </si>
  <si>
    <r>
      <t>QE</t>
    </r>
    <r>
      <rPr>
        <b/>
        <vertAlign val="subscript"/>
        <sz val="12"/>
        <rFont val="Arial"/>
        <family val="2"/>
      </rPr>
      <t>MILLER_MIN</t>
    </r>
  </si>
  <si>
    <t>Maximum Gate Charge at the end of the Miller Plateau</t>
  </si>
  <si>
    <t>Peak Current Gate of QE and QF is Driven with</t>
  </si>
  <si>
    <r>
      <t>I</t>
    </r>
    <r>
      <rPr>
        <b/>
        <vertAlign val="subscript"/>
        <sz val="12"/>
        <rFont val="Arial"/>
        <family val="2"/>
      </rPr>
      <t>P</t>
    </r>
  </si>
  <si>
    <r>
      <t>t</t>
    </r>
    <r>
      <rPr>
        <b/>
        <vertAlign val="subscript"/>
        <sz val="12"/>
        <rFont val="Arial"/>
        <family val="2"/>
      </rPr>
      <t>r</t>
    </r>
    <r>
      <rPr>
        <b/>
        <sz val="12"/>
        <rFont val="Arial"/>
        <family val="2"/>
      </rPr>
      <t xml:space="preserve"> ≈ t</t>
    </r>
    <r>
      <rPr>
        <b/>
        <vertAlign val="subscript"/>
        <sz val="12"/>
        <rFont val="Arial"/>
        <family val="2"/>
      </rPr>
      <t>f</t>
    </r>
  </si>
  <si>
    <t>ns</t>
  </si>
  <si>
    <t>Estimate QE FET Losses</t>
  </si>
  <si>
    <r>
      <t>P</t>
    </r>
    <r>
      <rPr>
        <b/>
        <vertAlign val="subscript"/>
        <sz val="12"/>
        <rFont val="Arial"/>
        <family val="2"/>
      </rPr>
      <t>QE</t>
    </r>
  </si>
  <si>
    <t>Maximum Voltage Across QE and QF</t>
  </si>
  <si>
    <t>a2</t>
  </si>
  <si>
    <r>
      <t>Select CT and Enter Turns Ratio a2 = I</t>
    </r>
    <r>
      <rPr>
        <b/>
        <vertAlign val="subscript"/>
        <sz val="12"/>
        <rFont val="Arial"/>
        <family val="2"/>
      </rPr>
      <t>P</t>
    </r>
    <r>
      <rPr>
        <b/>
        <sz val="12"/>
        <rFont val="Arial"/>
        <family val="2"/>
      </rPr>
      <t>/I</t>
    </r>
    <r>
      <rPr>
        <b/>
        <vertAlign val="subscript"/>
        <sz val="12"/>
        <rFont val="Arial"/>
        <family val="2"/>
      </rPr>
      <t>S</t>
    </r>
  </si>
  <si>
    <t>Std. Resistors</t>
  </si>
  <si>
    <t>Capacitors</t>
  </si>
  <si>
    <t>Enter resistor value</t>
  </si>
  <si>
    <t>E6</t>
  </si>
  <si>
    <t>E96</t>
  </si>
  <si>
    <t>Cap value</t>
  </si>
  <si>
    <t>Closest E6 Value</t>
  </si>
  <si>
    <t>Closest E12 Value</t>
  </si>
  <si>
    <t>C values up to 10nF</t>
  </si>
  <si>
    <t>Closest E24 Value</t>
  </si>
  <si>
    <t>Closest E48 Value</t>
  </si>
  <si>
    <t>Closest E96 Value</t>
  </si>
  <si>
    <t>E12</t>
  </si>
  <si>
    <t>C values greater than 10nF</t>
  </si>
  <si>
    <t>E24</t>
  </si>
  <si>
    <t>E48</t>
  </si>
  <si>
    <r>
      <t>R</t>
    </r>
    <r>
      <rPr>
        <b/>
        <vertAlign val="subscript"/>
        <sz val="12"/>
        <rFont val="Arial"/>
        <family val="2"/>
      </rPr>
      <t>S</t>
    </r>
  </si>
  <si>
    <t>Calculate Current Sense Resistor</t>
  </si>
  <si>
    <t>Ω</t>
  </si>
  <si>
    <r>
      <t>I</t>
    </r>
    <r>
      <rPr>
        <b/>
        <vertAlign val="subscript"/>
        <sz val="12"/>
        <rFont val="Arial"/>
        <family val="2"/>
      </rPr>
      <t>P1</t>
    </r>
  </si>
  <si>
    <r>
      <t>Calculate nominal peak current (I</t>
    </r>
    <r>
      <rPr>
        <b/>
        <vertAlign val="subscript"/>
        <sz val="12"/>
        <rFont val="Arial"/>
        <family val="2"/>
      </rPr>
      <t>P1</t>
    </r>
    <r>
      <rPr>
        <b/>
        <sz val="12"/>
        <rFont val="Arial"/>
        <family val="2"/>
      </rPr>
      <t>) at V</t>
    </r>
    <r>
      <rPr>
        <b/>
        <vertAlign val="subscript"/>
        <sz val="12"/>
        <rFont val="Arial"/>
        <family val="2"/>
      </rPr>
      <t>INMIN</t>
    </r>
  </si>
  <si>
    <t>Select Current Sense Resistor for Your Design</t>
  </si>
  <si>
    <t>Estimate Rs Power Loss</t>
  </si>
  <si>
    <r>
      <t>P</t>
    </r>
    <r>
      <rPr>
        <b/>
        <vertAlign val="subscript"/>
        <sz val="12"/>
        <rFont val="Arial"/>
        <family val="2"/>
      </rPr>
      <t>RS</t>
    </r>
  </si>
  <si>
    <r>
      <t>V</t>
    </r>
    <r>
      <rPr>
        <b/>
        <vertAlign val="subscript"/>
        <sz val="12"/>
        <rFont val="Arial"/>
        <family val="2"/>
      </rPr>
      <t>DA</t>
    </r>
  </si>
  <si>
    <r>
      <t>Maximum Diode D</t>
    </r>
    <r>
      <rPr>
        <b/>
        <vertAlign val="subscript"/>
        <sz val="12"/>
        <rFont val="Arial"/>
        <family val="2"/>
      </rPr>
      <t>A</t>
    </r>
    <r>
      <rPr>
        <b/>
        <sz val="12"/>
        <rFont val="Arial"/>
        <family val="2"/>
      </rPr>
      <t xml:space="preserve"> Reverse Voltage</t>
    </r>
  </si>
  <si>
    <r>
      <t>t</t>
    </r>
    <r>
      <rPr>
        <b/>
        <vertAlign val="subscript"/>
        <sz val="12"/>
        <rFont val="Arial"/>
        <family val="2"/>
      </rPr>
      <t>DELAY</t>
    </r>
  </si>
  <si>
    <t>fr</t>
  </si>
  <si>
    <t>Calculate Resonant Tank Frequency</t>
  </si>
  <si>
    <t>Possible Delay That will Be Required for ZVS</t>
  </si>
  <si>
    <r>
      <t>D</t>
    </r>
    <r>
      <rPr>
        <b/>
        <vertAlign val="subscript"/>
        <sz val="12"/>
        <rFont val="Arial"/>
        <family val="2"/>
      </rPr>
      <t>CLAMP</t>
    </r>
  </si>
  <si>
    <r>
      <t>t</t>
    </r>
    <r>
      <rPr>
        <b/>
        <vertAlign val="subscript"/>
        <sz val="12"/>
        <rFont val="Arial"/>
        <family val="2"/>
      </rPr>
      <t>DELAY</t>
    </r>
    <r>
      <rPr>
        <b/>
        <sz val="12"/>
        <rFont val="Arial"/>
        <family val="2"/>
      </rPr>
      <t xml:space="preserve"> will act as a duty cycle clamp</t>
    </r>
  </si>
  <si>
    <t>Switching Cycle Period</t>
  </si>
  <si>
    <t>ts</t>
  </si>
  <si>
    <t>Shim Inductance Used</t>
  </si>
  <si>
    <t>Output Inductance Used</t>
  </si>
  <si>
    <t>Selecting Power Transformer (T1)</t>
  </si>
  <si>
    <t>Number of Output Capacitors Used</t>
  </si>
  <si>
    <t>Input Capacitance Used</t>
  </si>
  <si>
    <r>
      <t>Estimate D</t>
    </r>
    <r>
      <rPr>
        <b/>
        <vertAlign val="subscript"/>
        <sz val="12"/>
        <rFont val="Arial"/>
        <family val="2"/>
      </rPr>
      <t>A</t>
    </r>
    <r>
      <rPr>
        <b/>
        <sz val="12"/>
        <rFont val="Arial"/>
        <family val="2"/>
      </rPr>
      <t xml:space="preserve"> Losses</t>
    </r>
  </si>
  <si>
    <r>
      <t>P</t>
    </r>
    <r>
      <rPr>
        <b/>
        <vertAlign val="subscript"/>
        <sz val="12"/>
        <rFont val="Arial"/>
        <family val="2"/>
      </rPr>
      <t>DA</t>
    </r>
  </si>
  <si>
    <t>V1</t>
  </si>
  <si>
    <r>
      <t>R</t>
    </r>
    <r>
      <rPr>
        <b/>
        <vertAlign val="subscript"/>
        <sz val="12"/>
        <rFont val="Arial"/>
        <family val="2"/>
      </rPr>
      <t>B</t>
    </r>
  </si>
  <si>
    <t>Select Standard Resistor</t>
  </si>
  <si>
    <r>
      <t>R</t>
    </r>
    <r>
      <rPr>
        <b/>
        <vertAlign val="subscript"/>
        <sz val="12"/>
        <rFont val="Arial"/>
        <family val="2"/>
      </rPr>
      <t>A</t>
    </r>
  </si>
  <si>
    <t>Calculated Resistance</t>
  </si>
  <si>
    <r>
      <t>R</t>
    </r>
    <r>
      <rPr>
        <b/>
        <vertAlign val="subscript"/>
        <sz val="12"/>
        <rFont val="Arial"/>
        <family val="2"/>
      </rPr>
      <t>C</t>
    </r>
  </si>
  <si>
    <r>
      <t>R</t>
    </r>
    <r>
      <rPr>
        <b/>
        <vertAlign val="subscript"/>
        <sz val="12"/>
        <rFont val="Arial"/>
        <family val="2"/>
      </rPr>
      <t>I</t>
    </r>
  </si>
  <si>
    <r>
      <t>f</t>
    </r>
    <r>
      <rPr>
        <b/>
        <vertAlign val="subscript"/>
        <sz val="12"/>
        <rFont val="Arial"/>
        <family val="2"/>
      </rPr>
      <t>C</t>
    </r>
  </si>
  <si>
    <t>Voltage Loop Crossover Frequency</t>
  </si>
  <si>
    <r>
      <t>R</t>
    </r>
    <r>
      <rPr>
        <b/>
        <vertAlign val="subscript"/>
        <sz val="12"/>
        <rFont val="Arial"/>
        <family val="2"/>
      </rPr>
      <t>LOAD</t>
    </r>
  </si>
  <si>
    <t>a1*a2*rload/rs</t>
  </si>
  <si>
    <t>Constant</t>
  </si>
  <si>
    <t>n1/d1</t>
  </si>
  <si>
    <t>n1divd1</t>
  </si>
  <si>
    <t>1/d2</t>
  </si>
  <si>
    <t>n1/(d1*d2)</t>
  </si>
  <si>
    <t>a1*a2*rload/rs*(n1/(d1*d2))</t>
  </si>
  <si>
    <t>absolute maximum(a1*a2*rload/rs*(n1/(d1*d2)))</t>
  </si>
  <si>
    <t>n1</t>
  </si>
  <si>
    <t>|Gco(fc)|</t>
  </si>
  <si>
    <r>
      <t>R</t>
    </r>
    <r>
      <rPr>
        <b/>
        <vertAlign val="subscript"/>
        <sz val="12"/>
        <rFont val="Arial"/>
        <family val="2"/>
      </rPr>
      <t>F</t>
    </r>
  </si>
  <si>
    <t>Calculate Feedback Resistor</t>
  </si>
  <si>
    <r>
      <t>C</t>
    </r>
    <r>
      <rPr>
        <b/>
        <vertAlign val="subscript"/>
        <sz val="12"/>
        <rFont val="Arial"/>
        <family val="2"/>
      </rPr>
      <t>Z</t>
    </r>
  </si>
  <si>
    <t>nF</t>
  </si>
  <si>
    <t>Calculate Pole Capacitor</t>
  </si>
  <si>
    <t>Calculate Zero Capacitor</t>
  </si>
  <si>
    <t>mΩ</t>
  </si>
  <si>
    <t>Output Capacitance ESR  ≤</t>
  </si>
  <si>
    <t>Output Capacitance Cout  ≥</t>
  </si>
  <si>
    <t>kΩ</t>
  </si>
  <si>
    <r>
      <t>C</t>
    </r>
    <r>
      <rPr>
        <b/>
        <vertAlign val="subscript"/>
        <sz val="12"/>
        <rFont val="Arial"/>
        <family val="2"/>
      </rPr>
      <t>P</t>
    </r>
  </si>
  <si>
    <t>Cz</t>
  </si>
  <si>
    <t>values up to 10 nF</t>
  </si>
  <si>
    <t>values greater than 10nf</t>
  </si>
  <si>
    <r>
      <t>t</t>
    </r>
    <r>
      <rPr>
        <b/>
        <vertAlign val="subscript"/>
        <sz val="12"/>
        <rFont val="Arial"/>
        <family val="2"/>
      </rPr>
      <t>SS</t>
    </r>
  </si>
  <si>
    <t>Soft Start Time</t>
  </si>
  <si>
    <t>ms</t>
  </si>
  <si>
    <r>
      <t>C</t>
    </r>
    <r>
      <rPr>
        <b/>
        <vertAlign val="subscript"/>
        <sz val="12"/>
        <rFont val="Arial"/>
        <family val="2"/>
      </rPr>
      <t>SS</t>
    </r>
  </si>
  <si>
    <t>values greater than 10 nf</t>
  </si>
  <si>
    <r>
      <t>t</t>
    </r>
    <r>
      <rPr>
        <b/>
        <vertAlign val="subscript"/>
        <sz val="12"/>
        <rFont val="Arial"/>
        <family val="2"/>
      </rPr>
      <t>ABSET</t>
    </r>
  </si>
  <si>
    <r>
      <t>R</t>
    </r>
    <r>
      <rPr>
        <b/>
        <vertAlign val="subscript"/>
        <sz val="12"/>
        <rFont val="Arial"/>
        <family val="2"/>
      </rPr>
      <t>DELAB</t>
    </r>
  </si>
  <si>
    <r>
      <t>R</t>
    </r>
    <r>
      <rPr>
        <b/>
        <vertAlign val="subscript"/>
        <sz val="12"/>
        <rFont val="Arial"/>
        <family val="2"/>
      </rPr>
      <t>DELCD</t>
    </r>
  </si>
  <si>
    <r>
      <t>t</t>
    </r>
    <r>
      <rPr>
        <b/>
        <vertAlign val="subscript"/>
        <sz val="12"/>
        <rFont val="Arial"/>
        <family val="2"/>
      </rPr>
      <t>CDSET</t>
    </r>
  </si>
  <si>
    <r>
      <t>Set to half of t</t>
    </r>
    <r>
      <rPr>
        <b/>
        <vertAlign val="subscript"/>
        <sz val="12"/>
        <rFont val="Arial"/>
        <family val="2"/>
      </rPr>
      <t>ABSET</t>
    </r>
  </si>
  <si>
    <r>
      <t>R</t>
    </r>
    <r>
      <rPr>
        <b/>
        <vertAlign val="subscript"/>
        <sz val="12"/>
        <rFont val="Arial"/>
        <family val="2"/>
      </rPr>
      <t>DELEF</t>
    </r>
  </si>
  <si>
    <t>Setting Minimum on Time</t>
  </si>
  <si>
    <t>Minimum on Time</t>
  </si>
  <si>
    <r>
      <t>t</t>
    </r>
    <r>
      <rPr>
        <b/>
        <vertAlign val="subscript"/>
        <sz val="12"/>
        <rFont val="Arial"/>
        <family val="2"/>
      </rPr>
      <t>MIN</t>
    </r>
  </si>
  <si>
    <r>
      <t>R</t>
    </r>
    <r>
      <rPr>
        <b/>
        <vertAlign val="subscript"/>
        <sz val="12"/>
        <rFont val="Arial"/>
        <family val="2"/>
      </rPr>
      <t>TMIN</t>
    </r>
  </si>
  <si>
    <r>
      <t>Calculate R</t>
    </r>
    <r>
      <rPr>
        <b/>
        <vertAlign val="subscript"/>
        <sz val="12"/>
        <rFont val="Arial"/>
        <family val="2"/>
      </rPr>
      <t>TMIN</t>
    </r>
  </si>
  <si>
    <t>Setup PWM Switching Frequency</t>
  </si>
  <si>
    <r>
      <t>Calculate R</t>
    </r>
    <r>
      <rPr>
        <b/>
        <vertAlign val="subscript"/>
        <sz val="12"/>
        <rFont val="Arial"/>
        <family val="2"/>
      </rPr>
      <t>T</t>
    </r>
    <r>
      <rPr>
        <b/>
        <sz val="12"/>
        <rFont val="Arial"/>
        <family val="2"/>
      </rPr>
      <t xml:space="preserve"> Value</t>
    </r>
  </si>
  <si>
    <r>
      <t>R</t>
    </r>
    <r>
      <rPr>
        <b/>
        <vertAlign val="subscript"/>
        <sz val="12"/>
        <rFont val="Arial"/>
        <family val="2"/>
      </rPr>
      <t>T</t>
    </r>
  </si>
  <si>
    <t>Setup Slope Compensation</t>
  </si>
  <si>
    <t>V/us</t>
  </si>
  <si>
    <r>
      <t>Calculate V</t>
    </r>
    <r>
      <rPr>
        <b/>
        <vertAlign val="subscript"/>
        <sz val="12"/>
        <rFont val="Arial"/>
        <family val="2"/>
      </rPr>
      <t>SLOPE</t>
    </r>
  </si>
  <si>
    <r>
      <t>V</t>
    </r>
    <r>
      <rPr>
        <b/>
        <vertAlign val="subscript"/>
        <sz val="12"/>
        <rFont val="Arial"/>
        <family val="2"/>
      </rPr>
      <t>SLOPE</t>
    </r>
  </si>
  <si>
    <r>
      <t>Calculate R</t>
    </r>
    <r>
      <rPr>
        <b/>
        <vertAlign val="subscript"/>
        <sz val="12"/>
        <rFont val="Arial"/>
        <family val="2"/>
      </rPr>
      <t>SUM</t>
    </r>
  </si>
  <si>
    <r>
      <t>R</t>
    </r>
    <r>
      <rPr>
        <b/>
        <vertAlign val="subscript"/>
        <sz val="12"/>
        <rFont val="Arial"/>
        <family val="2"/>
      </rPr>
      <t>SUM</t>
    </r>
  </si>
  <si>
    <r>
      <t>Voltage across R</t>
    </r>
    <r>
      <rPr>
        <b/>
        <vertAlign val="subscript"/>
        <sz val="12"/>
        <rFont val="Arial"/>
        <family val="2"/>
      </rPr>
      <t>S</t>
    </r>
    <r>
      <rPr>
        <b/>
        <sz val="12"/>
        <rFont val="Arial"/>
        <family val="2"/>
      </rPr>
      <t xml:space="preserve"> at 15% load</t>
    </r>
  </si>
  <si>
    <r>
      <t>V</t>
    </r>
    <r>
      <rPr>
        <b/>
        <vertAlign val="subscript"/>
        <sz val="12"/>
        <rFont val="Arial"/>
        <family val="2"/>
      </rPr>
      <t>RS</t>
    </r>
  </si>
  <si>
    <r>
      <t>R</t>
    </r>
    <r>
      <rPr>
        <b/>
        <vertAlign val="subscript"/>
        <sz val="12"/>
        <rFont val="Arial"/>
        <family val="2"/>
      </rPr>
      <t>G</t>
    </r>
  </si>
  <si>
    <r>
      <t>R</t>
    </r>
    <r>
      <rPr>
        <b/>
        <vertAlign val="subscript"/>
        <sz val="12"/>
        <rFont val="Arial"/>
        <family val="2"/>
      </rPr>
      <t>E</t>
    </r>
  </si>
  <si>
    <r>
      <t>Calculate R</t>
    </r>
    <r>
      <rPr>
        <b/>
        <vertAlign val="subscript"/>
        <sz val="12"/>
        <rFont val="Arial"/>
        <family val="2"/>
      </rPr>
      <t xml:space="preserve">E </t>
    </r>
  </si>
  <si>
    <r>
      <t>Δ</t>
    </r>
    <r>
      <rPr>
        <b/>
        <sz val="12"/>
        <rFont val="Arial"/>
        <family val="2"/>
      </rPr>
      <t>I</t>
    </r>
    <r>
      <rPr>
        <b/>
        <vertAlign val="subscript"/>
        <sz val="12"/>
        <rFont val="Arial"/>
        <family val="2"/>
      </rPr>
      <t>LOUT</t>
    </r>
  </si>
  <si>
    <t>Partial RMS Current</t>
  </si>
  <si>
    <t>Counter</t>
  </si>
  <si>
    <t>Gco n1/d1</t>
  </si>
  <si>
    <t>Gco 1/d2</t>
  </si>
  <si>
    <t>Gco n1/(d1*d2)</t>
  </si>
  <si>
    <t>Gco(f)</t>
  </si>
  <si>
    <t>|Gco(f)|</t>
  </si>
  <si>
    <t>Gc n1/n1</t>
  </si>
  <si>
    <t>Gc 1/n2</t>
  </si>
  <si>
    <t>Gc(f)</t>
  </si>
  <si>
    <t>Gc(f)*Gco(f)</t>
  </si>
  <si>
    <t>TvdB(f)</t>
  </si>
  <si>
    <r>
      <t>ӨT</t>
    </r>
    <r>
      <rPr>
        <vertAlign val="subscript"/>
        <sz val="10"/>
        <rFont val="Arial"/>
        <family val="2"/>
      </rPr>
      <t>V</t>
    </r>
    <r>
      <rPr>
        <sz val="10"/>
        <rFont val="Arial"/>
      </rPr>
      <t>(f)</t>
    </r>
  </si>
  <si>
    <t>frequency</t>
  </si>
  <si>
    <t>TvdB(f)
MathCad Check</t>
  </si>
  <si>
    <r>
      <t>ӨT</t>
    </r>
    <r>
      <rPr>
        <vertAlign val="subscript"/>
        <sz val="10"/>
        <rFont val="Arial"/>
        <family val="2"/>
      </rPr>
      <t>V</t>
    </r>
    <r>
      <rPr>
        <sz val="10"/>
        <rFont val="Arial"/>
      </rPr>
      <t>(f)
MathCAD
Check</t>
    </r>
  </si>
  <si>
    <t>Frequency</t>
  </si>
  <si>
    <t>ӨTv(f)</t>
  </si>
  <si>
    <t>T1 Primary Magnetizing Inductance &gt; or =</t>
  </si>
  <si>
    <r>
      <t>Calculate T1 Secondary RMS Current (I</t>
    </r>
    <r>
      <rPr>
        <b/>
        <vertAlign val="subscript"/>
        <sz val="12"/>
        <rFont val="Arial"/>
        <family val="2"/>
      </rPr>
      <t>SRMS</t>
    </r>
    <r>
      <rPr>
        <b/>
        <sz val="12"/>
        <rFont val="Arial"/>
        <family val="2"/>
      </rPr>
      <t>)</t>
    </r>
  </si>
  <si>
    <r>
      <t>L</t>
    </r>
    <r>
      <rPr>
        <b/>
        <vertAlign val="subscript"/>
        <sz val="12"/>
        <rFont val="Arial"/>
        <family val="2"/>
      </rPr>
      <t>OUT</t>
    </r>
    <r>
      <rPr>
        <b/>
        <sz val="12"/>
        <rFont val="Arial"/>
        <family val="2"/>
      </rPr>
      <t xml:space="preserve"> equivalent series resistance</t>
    </r>
  </si>
  <si>
    <t>Total Equivalent Series Resistance</t>
  </si>
  <si>
    <t>QE and QF on Resistance</t>
  </si>
  <si>
    <t>Minimum Gate Charge at the beginning of the Miller Plateau</t>
  </si>
  <si>
    <r>
      <t>Approximate QE and QF V</t>
    </r>
    <r>
      <rPr>
        <b/>
        <vertAlign val="subscript"/>
        <sz val="12"/>
        <rFont val="Arial"/>
        <family val="2"/>
      </rPr>
      <t>ds</t>
    </r>
    <r>
      <rPr>
        <b/>
        <sz val="12"/>
        <rFont val="Arial"/>
        <family val="2"/>
      </rPr>
      <t xml:space="preserve"> Rise and Fall Times</t>
    </r>
  </si>
  <si>
    <t>Equivalent Series Resistance</t>
  </si>
  <si>
    <r>
      <t>Estimate C</t>
    </r>
    <r>
      <rPr>
        <b/>
        <vertAlign val="subscript"/>
        <sz val="12"/>
        <rFont val="Arial"/>
        <family val="2"/>
      </rPr>
      <t>IN</t>
    </r>
    <r>
      <rPr>
        <b/>
        <sz val="12"/>
        <rFont val="Arial"/>
        <family val="2"/>
      </rPr>
      <t xml:space="preserve"> Power Dissipation</t>
    </r>
  </si>
  <si>
    <t>Programmed Voltage Reference, Needs to be &lt; 5V</t>
  </si>
  <si>
    <t>Load Impedance at 10% Load</t>
  </si>
  <si>
    <t>Calculate Soft Start Capacitor</t>
  </si>
  <si>
    <t>Calculate 1/4 LC Tank Frequency and set AB Initial Delay</t>
  </si>
  <si>
    <t>Calculate AB timing resistor</t>
  </si>
  <si>
    <r>
      <t>Set Initial CD delay to AB Delay t</t>
    </r>
    <r>
      <rPr>
        <b/>
        <vertAlign val="subscript"/>
        <sz val="12"/>
        <rFont val="Arial"/>
        <family val="2"/>
      </rPr>
      <t>ABSET</t>
    </r>
    <r>
      <rPr>
        <b/>
        <sz val="12"/>
        <rFont val="Arial"/>
        <family val="2"/>
      </rPr>
      <t xml:space="preserve"> = t</t>
    </r>
    <r>
      <rPr>
        <b/>
        <vertAlign val="subscript"/>
        <sz val="12"/>
        <rFont val="Arial"/>
        <family val="2"/>
      </rPr>
      <t>CDSET</t>
    </r>
  </si>
  <si>
    <r>
      <t>Calculate Magnetizing Current during I</t>
    </r>
    <r>
      <rPr>
        <b/>
        <vertAlign val="subscript"/>
        <sz val="12"/>
        <rFont val="Arial"/>
        <family val="2"/>
      </rPr>
      <t>LOUT</t>
    </r>
    <r>
      <rPr>
        <b/>
        <sz val="12"/>
        <rFont val="Arial"/>
        <family val="2"/>
      </rPr>
      <t xml:space="preserve"> down slope</t>
    </r>
  </si>
  <si>
    <t>Setup DCM Comparator</t>
  </si>
  <si>
    <t>Voltage Applied to FET Gate ≈ VDD</t>
  </si>
  <si>
    <r>
      <t>Double pole of G</t>
    </r>
    <r>
      <rPr>
        <b/>
        <vertAlign val="subscript"/>
        <sz val="12"/>
        <rFont val="Arial"/>
        <family val="2"/>
      </rPr>
      <t>CO</t>
    </r>
    <r>
      <rPr>
        <b/>
        <sz val="12"/>
        <rFont val="Arial"/>
        <family val="2"/>
      </rPr>
      <t>(f)</t>
    </r>
  </si>
  <si>
    <r>
      <t>f</t>
    </r>
    <r>
      <rPr>
        <b/>
        <vertAlign val="subscript"/>
        <sz val="12"/>
        <rFont val="Arial"/>
        <family val="2"/>
      </rPr>
      <t>PP</t>
    </r>
  </si>
  <si>
    <r>
      <t>Select Shim Inductor (L</t>
    </r>
    <r>
      <rPr>
        <b/>
        <vertAlign val="subscript"/>
        <sz val="12"/>
        <color indexed="9"/>
        <rFont val="Arial"/>
        <family val="2"/>
      </rPr>
      <t>S</t>
    </r>
    <r>
      <rPr>
        <b/>
        <sz val="12"/>
        <color indexed="9"/>
        <rFont val="Arial"/>
        <family val="2"/>
      </rPr>
      <t>)</t>
    </r>
  </si>
  <si>
    <r>
      <t>Selecting Output Inductor (L</t>
    </r>
    <r>
      <rPr>
        <b/>
        <vertAlign val="subscript"/>
        <sz val="12"/>
        <color indexed="9"/>
        <rFont val="Arial"/>
        <family val="2"/>
      </rPr>
      <t>OUT</t>
    </r>
    <r>
      <rPr>
        <b/>
        <sz val="12"/>
        <color indexed="9"/>
        <rFont val="Arial"/>
        <family val="2"/>
      </rPr>
      <t>)</t>
    </r>
  </si>
  <si>
    <r>
      <t>Selecting Output Capacitance (C</t>
    </r>
    <r>
      <rPr>
        <b/>
        <vertAlign val="subscript"/>
        <sz val="12"/>
        <color indexed="9"/>
        <rFont val="Arial"/>
        <family val="2"/>
      </rPr>
      <t>OUT</t>
    </r>
    <r>
      <rPr>
        <b/>
        <sz val="12"/>
        <color indexed="9"/>
        <rFont val="Arial"/>
        <family val="2"/>
      </rPr>
      <t>)</t>
    </r>
  </si>
  <si>
    <r>
      <t>Input Capacitance Calculations (C</t>
    </r>
    <r>
      <rPr>
        <b/>
        <vertAlign val="subscript"/>
        <sz val="12"/>
        <color indexed="9"/>
        <rFont val="Arial"/>
        <family val="2"/>
      </rPr>
      <t>IN</t>
    </r>
    <r>
      <rPr>
        <b/>
        <sz val="12"/>
        <color indexed="9"/>
        <rFont val="Arial"/>
        <family val="2"/>
      </rPr>
      <t>)</t>
    </r>
  </si>
  <si>
    <t>Recalculate Power Budget 
This is the remaining power left for the CT network, IC and IC sensing resistors</t>
  </si>
  <si>
    <r>
      <t>Setting up Voltage Amplifier Reference G</t>
    </r>
    <r>
      <rPr>
        <b/>
        <vertAlign val="subscript"/>
        <sz val="12"/>
        <color indexed="9"/>
        <rFont val="Arial"/>
        <family val="2"/>
      </rPr>
      <t>C</t>
    </r>
    <r>
      <rPr>
        <b/>
        <sz val="12"/>
        <color indexed="9"/>
        <rFont val="Arial"/>
        <family val="2"/>
      </rPr>
      <t>(f)</t>
    </r>
  </si>
  <si>
    <r>
      <t>Select Soft Start Capacitor (C</t>
    </r>
    <r>
      <rPr>
        <b/>
        <vertAlign val="subscript"/>
        <sz val="12"/>
        <color indexed="9"/>
        <rFont val="Arial"/>
        <family val="2"/>
      </rPr>
      <t>SS</t>
    </r>
    <r>
      <rPr>
        <b/>
        <sz val="12"/>
        <color indexed="9"/>
        <rFont val="Arial"/>
        <family val="2"/>
      </rPr>
      <t>)</t>
    </r>
  </si>
  <si>
    <t>It is recommended that you read this application note before using this design tool</t>
  </si>
  <si>
    <t>Please Refer to Figure of T1 Current</t>
  </si>
  <si>
    <r>
      <t>Primary Magnetizing Current Based on L</t>
    </r>
    <r>
      <rPr>
        <b/>
        <vertAlign val="subscript"/>
        <sz val="12"/>
        <rFont val="Arial"/>
        <family val="2"/>
      </rPr>
      <t>MAG</t>
    </r>
  </si>
  <si>
    <r>
      <t>Calculate T1 Primary RMS Current (I</t>
    </r>
    <r>
      <rPr>
        <b/>
        <vertAlign val="subscript"/>
        <sz val="12"/>
        <rFont val="Arial"/>
        <family val="2"/>
      </rPr>
      <t>PRMS</t>
    </r>
    <r>
      <rPr>
        <b/>
        <sz val="12"/>
        <rFont val="Arial"/>
        <family val="2"/>
      </rPr>
      <t>)</t>
    </r>
  </si>
  <si>
    <r>
      <t>Setting up the current sense network (CT, R</t>
    </r>
    <r>
      <rPr>
        <b/>
        <vertAlign val="subscript"/>
        <sz val="12"/>
        <color indexed="9"/>
        <rFont val="Arial"/>
        <family val="2"/>
      </rPr>
      <t>S</t>
    </r>
    <r>
      <rPr>
        <b/>
        <sz val="12"/>
        <color indexed="9"/>
        <rFont val="Arial"/>
        <family val="2"/>
      </rPr>
      <t>, R</t>
    </r>
    <r>
      <rPr>
        <b/>
        <vertAlign val="subscript"/>
        <sz val="12"/>
        <color indexed="9"/>
        <rFont val="Arial"/>
        <family val="2"/>
      </rPr>
      <t xml:space="preserve">RE, </t>
    </r>
    <r>
      <rPr>
        <b/>
        <sz val="12"/>
        <color indexed="9"/>
        <rFont val="Arial"/>
        <family val="2"/>
      </rPr>
      <t>D</t>
    </r>
    <r>
      <rPr>
        <b/>
        <vertAlign val="subscript"/>
        <sz val="12"/>
        <color indexed="9"/>
        <rFont val="Arial"/>
        <family val="2"/>
      </rPr>
      <t>A</t>
    </r>
    <r>
      <rPr>
        <b/>
        <sz val="12"/>
        <color indexed="9"/>
        <rFont val="Arial"/>
        <family val="2"/>
      </rPr>
      <t>):</t>
    </r>
  </si>
  <si>
    <t>Closest Standard Capacitor Value</t>
  </si>
  <si>
    <t>Closest Standard Resistor Value (E48)</t>
  </si>
  <si>
    <t>4. The spreadsheet will calculate the ideal values and display the results in red type.</t>
  </si>
  <si>
    <r>
      <t>L</t>
    </r>
    <r>
      <rPr>
        <b/>
        <vertAlign val="subscript"/>
        <sz val="12"/>
        <rFont val="Arial"/>
        <family val="2"/>
      </rPr>
      <t>LK</t>
    </r>
  </si>
  <si>
    <t>Measured Transformer Primary Leakage Inductance</t>
  </si>
  <si>
    <t>&gt; Invalid parameters entered in yellow cells</t>
  </si>
  <si>
    <t>&gt; Design cannot calculate realistic values for your design parameters</t>
  </si>
  <si>
    <t>&gt; Efficiency goal with selected components may not be achievable</t>
  </si>
  <si>
    <t>Warning Negative Numbers in Calculated Values Could Indicate</t>
  </si>
  <si>
    <t>Select Transformer Turns Ratio</t>
  </si>
  <si>
    <r>
      <t>R</t>
    </r>
    <r>
      <rPr>
        <b/>
        <vertAlign val="subscript"/>
        <sz val="12"/>
        <rFont val="Arial"/>
        <family val="2"/>
      </rPr>
      <t>DA1</t>
    </r>
  </si>
  <si>
    <r>
      <t>V</t>
    </r>
    <r>
      <rPr>
        <b/>
        <vertAlign val="subscript"/>
        <sz val="12"/>
        <rFont val="Arial"/>
        <family val="2"/>
      </rPr>
      <t>ADEL</t>
    </r>
  </si>
  <si>
    <t>Calculate Voltage at ADEL pin to Meet Delay Range</t>
  </si>
  <si>
    <r>
      <t>Select Standard Resistor for R</t>
    </r>
    <r>
      <rPr>
        <b/>
        <vertAlign val="subscript"/>
        <sz val="12"/>
        <rFont val="Arial"/>
        <family val="2"/>
      </rPr>
      <t xml:space="preserve">DA1 </t>
    </r>
    <r>
      <rPr>
        <b/>
        <sz val="12"/>
        <rFont val="Arial"/>
        <family val="2"/>
      </rPr>
      <t>for t</t>
    </r>
    <r>
      <rPr>
        <b/>
        <vertAlign val="subscript"/>
        <sz val="12"/>
        <rFont val="Arial"/>
        <family val="2"/>
      </rPr>
      <t xml:space="preserve">ABSET </t>
    </r>
    <r>
      <rPr>
        <b/>
        <sz val="12"/>
        <rFont val="Arial"/>
        <family val="2"/>
      </rPr>
      <t>Delay Range</t>
    </r>
  </si>
  <si>
    <r>
      <t>Calculate R</t>
    </r>
    <r>
      <rPr>
        <b/>
        <vertAlign val="subscript"/>
        <sz val="12"/>
        <rFont val="Arial"/>
        <family val="2"/>
      </rPr>
      <t>DA2</t>
    </r>
  </si>
  <si>
    <r>
      <t>R</t>
    </r>
    <r>
      <rPr>
        <b/>
        <vertAlign val="subscript"/>
        <sz val="12"/>
        <rFont val="Arial"/>
        <family val="2"/>
      </rPr>
      <t>DA2</t>
    </r>
  </si>
  <si>
    <r>
      <t>Select Standard Resistor for R</t>
    </r>
    <r>
      <rPr>
        <b/>
        <vertAlign val="subscript"/>
        <sz val="12"/>
        <rFont val="Arial"/>
        <family val="2"/>
      </rPr>
      <t xml:space="preserve">DA2 </t>
    </r>
    <r>
      <rPr>
        <b/>
        <sz val="12"/>
        <rFont val="Arial"/>
        <family val="2"/>
      </rPr>
      <t>for t</t>
    </r>
    <r>
      <rPr>
        <b/>
        <vertAlign val="subscript"/>
        <sz val="12"/>
        <rFont val="Arial"/>
        <family val="2"/>
      </rPr>
      <t xml:space="preserve">ABSET </t>
    </r>
    <r>
      <rPr>
        <b/>
        <sz val="12"/>
        <rFont val="Arial"/>
        <family val="2"/>
      </rPr>
      <t>Delay Range</t>
    </r>
  </si>
  <si>
    <r>
      <t>Recalculate V</t>
    </r>
    <r>
      <rPr>
        <b/>
        <vertAlign val="subscript"/>
        <sz val="12"/>
        <rFont val="Arial"/>
        <family val="2"/>
      </rPr>
      <t>ADEL</t>
    </r>
    <r>
      <rPr>
        <b/>
        <sz val="12"/>
        <rFont val="Arial"/>
        <family val="2"/>
      </rPr>
      <t xml:space="preserve"> Based on R</t>
    </r>
    <r>
      <rPr>
        <b/>
        <vertAlign val="subscript"/>
        <sz val="12"/>
        <rFont val="Arial"/>
        <family val="2"/>
      </rPr>
      <t>DA1</t>
    </r>
    <r>
      <rPr>
        <b/>
        <sz val="12"/>
        <rFont val="Arial"/>
        <family val="2"/>
      </rPr>
      <t xml:space="preserve"> and R</t>
    </r>
    <r>
      <rPr>
        <b/>
        <vertAlign val="subscript"/>
        <sz val="12"/>
        <rFont val="Arial"/>
        <family val="2"/>
      </rPr>
      <t>DA2</t>
    </r>
    <r>
      <rPr>
        <b/>
        <sz val="12"/>
        <rFont val="Arial"/>
        <family val="2"/>
      </rPr>
      <t xml:space="preserve"> Selection</t>
    </r>
  </si>
  <si>
    <r>
      <t>Enter/Fine Tune t</t>
    </r>
    <r>
      <rPr>
        <b/>
        <vertAlign val="subscript"/>
        <sz val="12"/>
        <rFont val="Arial"/>
        <family val="2"/>
      </rPr>
      <t>ABSET</t>
    </r>
    <r>
      <rPr>
        <b/>
        <sz val="12"/>
        <rFont val="Arial"/>
        <family val="2"/>
      </rPr>
      <t xml:space="preserve"> Based on Valley Switching/ZVS</t>
    </r>
  </si>
  <si>
    <r>
      <t>Setting AB Initial Turn-on Delay (t</t>
    </r>
    <r>
      <rPr>
        <b/>
        <vertAlign val="subscript"/>
        <sz val="12"/>
        <color indexed="9"/>
        <rFont val="Arial"/>
        <family val="2"/>
      </rPr>
      <t>ABSET</t>
    </r>
    <r>
      <rPr>
        <b/>
        <sz val="12"/>
        <color indexed="9"/>
        <rFont val="Arial"/>
        <family val="2"/>
      </rPr>
      <t>)</t>
    </r>
  </si>
  <si>
    <r>
      <t>Setting CD Initial Turn-on Delay (t</t>
    </r>
    <r>
      <rPr>
        <b/>
        <vertAlign val="subscript"/>
        <sz val="12"/>
        <color indexed="9"/>
        <rFont val="Arial"/>
        <family val="2"/>
      </rPr>
      <t>CDSET</t>
    </r>
    <r>
      <rPr>
        <b/>
        <sz val="12"/>
        <color indexed="9"/>
        <rFont val="Arial"/>
        <family val="2"/>
      </rPr>
      <t>)</t>
    </r>
  </si>
  <si>
    <r>
      <t>R</t>
    </r>
    <r>
      <rPr>
        <b/>
        <vertAlign val="subscript"/>
        <sz val="12"/>
        <rFont val="Arial"/>
        <family val="2"/>
      </rPr>
      <t>CA1</t>
    </r>
  </si>
  <si>
    <r>
      <t>Select Standard Resistor for R</t>
    </r>
    <r>
      <rPr>
        <b/>
        <vertAlign val="subscript"/>
        <sz val="12"/>
        <rFont val="Arial"/>
        <family val="2"/>
      </rPr>
      <t xml:space="preserve">CA1 </t>
    </r>
    <r>
      <rPr>
        <b/>
        <sz val="12"/>
        <rFont val="Arial"/>
        <family val="2"/>
      </rPr>
      <t>for t</t>
    </r>
    <r>
      <rPr>
        <b/>
        <vertAlign val="subscript"/>
        <sz val="12"/>
        <rFont val="Arial"/>
        <family val="2"/>
      </rPr>
      <t xml:space="preserve">AFSET </t>
    </r>
    <r>
      <rPr>
        <b/>
        <sz val="12"/>
        <rFont val="Arial"/>
        <family val="2"/>
      </rPr>
      <t>Delay Range</t>
    </r>
  </si>
  <si>
    <r>
      <t>Calculate R</t>
    </r>
    <r>
      <rPr>
        <b/>
        <vertAlign val="subscript"/>
        <sz val="12"/>
        <rFont val="Arial"/>
        <family val="2"/>
      </rPr>
      <t>CA2</t>
    </r>
  </si>
  <si>
    <r>
      <t>R</t>
    </r>
    <r>
      <rPr>
        <b/>
        <vertAlign val="subscript"/>
        <sz val="12"/>
        <rFont val="Arial"/>
        <family val="2"/>
      </rPr>
      <t>CA2</t>
    </r>
  </si>
  <si>
    <t>Calculate Voltage at ADELEF pin to Meet Delay Range</t>
  </si>
  <si>
    <r>
      <t>V</t>
    </r>
    <r>
      <rPr>
        <b/>
        <vertAlign val="subscript"/>
        <sz val="12"/>
        <rFont val="Arial"/>
        <family val="2"/>
      </rPr>
      <t>ADELEF</t>
    </r>
  </si>
  <si>
    <r>
      <t>t</t>
    </r>
    <r>
      <rPr>
        <b/>
        <vertAlign val="subscript"/>
        <sz val="12"/>
        <rFont val="Arial"/>
        <family val="2"/>
      </rPr>
      <t xml:space="preserve">AFSET </t>
    </r>
    <r>
      <rPr>
        <b/>
        <sz val="12"/>
        <rFont val="Arial"/>
        <family val="2"/>
      </rPr>
      <t>= t</t>
    </r>
    <r>
      <rPr>
        <b/>
        <vertAlign val="subscript"/>
        <sz val="12"/>
        <rFont val="Arial"/>
        <family val="2"/>
      </rPr>
      <t>BESET</t>
    </r>
  </si>
  <si>
    <r>
      <t>Enter/Fine Tune t</t>
    </r>
    <r>
      <rPr>
        <b/>
        <vertAlign val="subscript"/>
        <sz val="12"/>
        <rFont val="Arial"/>
        <family val="2"/>
      </rPr>
      <t xml:space="preserve">AFSET </t>
    </r>
    <r>
      <rPr>
        <b/>
        <sz val="12"/>
        <rFont val="Arial"/>
        <family val="2"/>
      </rPr>
      <t>and t</t>
    </r>
    <r>
      <rPr>
        <b/>
        <vertAlign val="subscript"/>
        <sz val="12"/>
        <rFont val="Arial"/>
        <family val="2"/>
      </rPr>
      <t>AFSET</t>
    </r>
  </si>
  <si>
    <t>Select Standard Resistor Value</t>
  </si>
  <si>
    <r>
      <t>Setting AF and BE turnoff delay (t</t>
    </r>
    <r>
      <rPr>
        <b/>
        <vertAlign val="subscript"/>
        <sz val="12"/>
        <color indexed="9"/>
        <rFont val="Arial"/>
        <family val="2"/>
      </rPr>
      <t>AFSET</t>
    </r>
    <r>
      <rPr>
        <b/>
        <sz val="12"/>
        <color indexed="9"/>
        <rFont val="Arial"/>
        <family val="2"/>
      </rPr>
      <t>, t</t>
    </r>
    <r>
      <rPr>
        <b/>
        <vertAlign val="subscript"/>
        <sz val="12"/>
        <color indexed="9"/>
        <rFont val="Arial"/>
        <family val="2"/>
      </rPr>
      <t>BESET</t>
    </r>
    <r>
      <rPr>
        <b/>
        <sz val="12"/>
        <color indexed="9"/>
        <rFont val="Arial"/>
        <family val="2"/>
      </rPr>
      <t>)</t>
    </r>
  </si>
  <si>
    <t>Select Standard Capacitor Value</t>
  </si>
  <si>
    <t>Select Standard Resistor Value (Between 13K and 90K ohm)</t>
  </si>
  <si>
    <t>Select Standard Resistor Value(Between 13K and 90K ohm)</t>
  </si>
  <si>
    <t>This design tool was generated based on the information in application report SLUA560</t>
  </si>
  <si>
    <r>
      <t>Δ</t>
    </r>
    <r>
      <rPr>
        <b/>
        <sz val="12"/>
        <rFont val="Arial"/>
        <family val="2"/>
      </rPr>
      <t>I</t>
    </r>
    <r>
      <rPr>
        <b/>
        <vertAlign val="subscript"/>
        <sz val="12"/>
        <rFont val="Arial"/>
        <family val="2"/>
      </rPr>
      <t>LMAG</t>
    </r>
  </si>
  <si>
    <t>6. Note this design tool was generated to accompany application report     SLUA560</t>
  </si>
  <si>
    <t>Enter Design Parameters and Chosen Component Values in Yellow Cells</t>
  </si>
  <si>
    <r>
      <t>V</t>
    </r>
    <r>
      <rPr>
        <b/>
        <vertAlign val="subscript"/>
        <sz val="12"/>
        <rFont val="Arial"/>
        <family val="2"/>
      </rPr>
      <t>SLOPE1</t>
    </r>
  </si>
  <si>
    <r>
      <t>V</t>
    </r>
    <r>
      <rPr>
        <b/>
        <vertAlign val="subscript"/>
        <sz val="12"/>
        <rFont val="Arial"/>
        <family val="2"/>
      </rPr>
      <t>SLOPE2</t>
    </r>
  </si>
  <si>
    <r>
      <t>Calculate V</t>
    </r>
    <r>
      <rPr>
        <b/>
        <vertAlign val="subscript"/>
        <sz val="12"/>
        <rFont val="Arial"/>
        <family val="2"/>
      </rPr>
      <t>SLOPE1</t>
    </r>
  </si>
  <si>
    <r>
      <t>Calculate V</t>
    </r>
    <r>
      <rPr>
        <b/>
        <vertAlign val="subscript"/>
        <sz val="12"/>
        <rFont val="Arial"/>
        <family val="2"/>
      </rPr>
      <t>SLOPE2</t>
    </r>
  </si>
  <si>
    <t>Assumes the centre tapped secondary - as per Functional Schematic</t>
  </si>
  <si>
    <t>UCC28950 and UCC28951 Design Calculator</t>
  </si>
  <si>
    <t>Revision: E</t>
  </si>
  <si>
    <t>UCC28950 and UCC28951 Excel Design Tool: SLUC222E</t>
  </si>
  <si>
    <t>Important Notice and Disclaimer</t>
  </si>
  <si>
    <t xml:space="preserve">
TI PROVIDES TECHNICAL AND RELIABILITY DATA (INCLUDING DATASHEETS), DESIGN RESOURCES (INCLUDING REFERENCE DESIGNS), APPLICATION OR OTHER DESIGN ADVICE, WEB TOOLS, SAFETY INFORMATION, AND OTHER RESOURCES “AS IS” AND WITH ALL FAULTS, AND DISCLAIMS ALL WARRANTIES, EXPRESS AND IMPLIED, INCLUDING WITHOUT LIMITATION ANY IMPLIED WARRANTIES OF MERCHANTABILITY, FITNESS FOR A PARTICULAR PURPOSE OR NON-INFRINGEMENT OF THIRD PARTY INTELLECTUAL PROPERTY RIGHTS.
These resources are intended for skilled developers designing with TI products. You are solely responsible for (1) selecting the appropriate TI products for your application, (2) designing, validating and testing your application, and (3) ensuring your application meets applicable standards, and any other safety, security, regulatory or other requirements.
These resources are subject to change without notice. TI grants you permission to use these resources only for development of an application that uses the TI products described in the resource. Other reproduction and display of these resources is prohibited. No license is granted to any other TI intellectual property right or to any third party intellectual property right. TI disclaims responsibility for, and you will fully indemnify TI and its representatives against, any claims, damages, costs, losses, and liabilities arising out of your use of these resources.
TI’s products are provided subject to TI’s Terms of Sale or other applicable terms available either on ti.com or provided in conjunction with such TI products. TI’s provision of these resources does not expand or otherwise alter TI’s applicable warranties or warranty disclaimers for TI products.  
TI objects to and rejects any additional or different terms you may have proposed.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</si>
</sst>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5" x14ac:knownFonts="1">
    <font>
      <sz val="10"/>
      <name val="Arial"/>
    </font>
    <font>
      <sz val="10"/>
      <name val="Arial"/>
    </font>
    <font>
      <b/>
      <sz val="12"/>
      <name val="Arial"/>
      <family val="2"/>
    </font>
    <font>
      <b/>
      <sz val="26"/>
      <color indexed="10"/>
      <name val="Arial"/>
      <family val="2"/>
    </font>
    <font>
      <sz val="20"/>
      <name val="Arial"/>
      <family val="2"/>
    </font>
    <font>
      <b/>
      <vertAlign val="subscript"/>
      <sz val="12"/>
      <name val="Arial"/>
      <family val="2"/>
    </font>
    <font>
      <b/>
      <sz val="12"/>
      <color indexed="8"/>
      <name val="Arial"/>
      <family val="2"/>
    </font>
    <font>
      <sz val="10"/>
      <color indexed="10"/>
      <name val="Arial"/>
      <family val="2"/>
    </font>
    <font>
      <b/>
      <sz val="14"/>
      <color indexed="10"/>
      <name val="Arial"/>
      <family val="2"/>
    </font>
    <font>
      <b/>
      <sz val="10"/>
      <color indexed="12"/>
      <name val="Arial"/>
      <family val="2"/>
    </font>
    <font>
      <b/>
      <sz val="10"/>
      <color indexed="8"/>
      <name val="Arial"/>
      <family val="2"/>
    </font>
    <font>
      <b/>
      <sz val="10"/>
      <color indexed="17"/>
      <name val="Arial"/>
      <family val="2"/>
    </font>
    <font>
      <sz val="10"/>
      <color indexed="9"/>
      <name val="Arial"/>
      <family val="2"/>
    </font>
    <font>
      <b/>
      <sz val="10"/>
      <color indexed="9"/>
      <name val="Arial"/>
      <family val="2"/>
    </font>
    <font>
      <b/>
      <sz val="8"/>
      <name val="Arial"/>
      <family val="2"/>
    </font>
    <font>
      <sz val="8"/>
      <name val="Verdana"/>
      <family val="2"/>
    </font>
    <font>
      <sz val="10"/>
      <name val="Arial"/>
      <family val="2"/>
    </font>
    <font>
      <b/>
      <sz val="10"/>
      <color indexed="10"/>
      <name val="Arial"/>
      <family val="2"/>
    </font>
    <font>
      <sz val="10"/>
      <color indexed="22"/>
      <name val="Arial"/>
      <family val="2"/>
    </font>
    <font>
      <sz val="14"/>
      <name val="Arial"/>
      <family val="2"/>
    </font>
    <font>
      <sz val="12"/>
      <name val="Times New Roman"/>
      <family val="1"/>
    </font>
    <font>
      <sz val="8"/>
      <name val="Arial"/>
      <family val="2"/>
    </font>
    <font>
      <sz val="12"/>
      <name val="Arial"/>
      <family val="2"/>
    </font>
    <font>
      <b/>
      <sz val="12"/>
      <name val="Arial"/>
      <family val="2"/>
    </font>
    <font>
      <sz val="12"/>
      <name val="Arial"/>
      <family val="2"/>
    </font>
    <font>
      <vertAlign val="subscript"/>
      <sz val="10"/>
      <name val="Arial"/>
      <family val="2"/>
    </font>
    <font>
      <b/>
      <sz val="12"/>
      <color indexed="9"/>
      <name val="Arial"/>
      <family val="2"/>
    </font>
    <font>
      <b/>
      <vertAlign val="subscript"/>
      <sz val="12"/>
      <color indexed="9"/>
      <name val="Arial"/>
      <family val="2"/>
    </font>
    <font>
      <b/>
      <sz val="12"/>
      <color indexed="10"/>
      <name val="Arial"/>
      <family val="2"/>
    </font>
    <font>
      <b/>
      <sz val="12"/>
      <color indexed="53"/>
      <name val="Arial"/>
      <family val="2"/>
    </font>
    <font>
      <b/>
      <sz val="12"/>
      <color rgb="FFFF0000"/>
      <name val="Arial"/>
      <family val="2"/>
    </font>
    <font>
      <sz val="11"/>
      <color rgb="FF00B050"/>
      <name val="Calibri"/>
      <family val="2"/>
    </font>
    <font>
      <b/>
      <sz val="12"/>
      <color rgb="FF00B050"/>
      <name val="Arial"/>
      <family val="2"/>
    </font>
    <font>
      <sz val="26"/>
      <color rgb="FF000000"/>
      <name val="Arial Nova"/>
      <family val="2"/>
    </font>
    <font>
      <sz val="12"/>
      <color rgb="FF555555"/>
      <name val="Arial Nova"/>
      <family val="2"/>
    </font>
  </fonts>
  <fills count="1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31"/>
        <bgColor indexed="64"/>
      </patternFill>
    </fill>
    <fill>
      <patternFill patternType="solid">
        <fgColor indexed="26"/>
        <bgColor indexed="64"/>
      </patternFill>
    </fill>
    <fill>
      <patternFill patternType="solid">
        <fgColor indexed="34"/>
        <bgColor indexed="64"/>
      </patternFill>
    </fill>
    <fill>
      <patternFill patternType="solid">
        <fgColor indexed="8"/>
        <bgColor indexed="64"/>
      </patternFill>
    </fill>
    <fill>
      <patternFill patternType="solid">
        <fgColor indexed="12"/>
        <bgColor indexed="64"/>
      </patternFill>
    </fill>
    <fill>
      <patternFill patternType="solid">
        <fgColor indexed="10"/>
        <bgColor indexed="64"/>
      </patternFill>
    </fill>
    <fill>
      <patternFill patternType="solid">
        <fgColor indexed="13"/>
        <bgColor indexed="64"/>
      </patternFill>
    </fill>
    <fill>
      <patternFill patternType="solid">
        <fgColor indexed="23"/>
        <bgColor indexed="64"/>
      </patternFill>
    </fill>
  </fills>
  <borders count="22">
    <border>
      <left/>
      <right/>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9"/>
      </left>
      <right style="medium">
        <color indexed="9"/>
      </right>
      <top style="medium">
        <color indexed="9"/>
      </top>
      <bottom/>
      <diagonal/>
    </border>
    <border>
      <left style="medium">
        <color indexed="9"/>
      </left>
      <right style="medium">
        <color indexed="9"/>
      </right>
      <top/>
      <bottom/>
      <diagonal/>
    </border>
    <border>
      <left style="medium">
        <color indexed="9"/>
      </left>
      <right style="medium">
        <color indexed="9"/>
      </right>
      <top/>
      <bottom style="medium">
        <color indexed="9"/>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9"/>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9"/>
      </left>
      <right/>
      <top/>
      <bottom/>
      <diagonal/>
    </border>
    <border>
      <left style="medium">
        <color indexed="9"/>
      </left>
      <right/>
      <top style="medium">
        <color indexed="9"/>
      </top>
      <bottom/>
      <diagonal/>
    </border>
    <border>
      <left/>
      <right style="medium">
        <color indexed="9"/>
      </right>
      <top style="medium">
        <color indexed="9"/>
      </top>
      <bottom/>
      <diagonal/>
    </border>
  </borders>
  <cellStyleXfs count="1">
    <xf numFmtId="0" fontId="0" fillId="0" borderId="0"/>
  </cellStyleXfs>
  <cellXfs count="119">
    <xf numFmtId="0" fontId="0" fillId="0" borderId="0" xfId="0"/>
    <xf numFmtId="0" fontId="4" fillId="2" borderId="0" xfId="0" applyFont="1" applyFill="1" applyAlignment="1">
      <alignment vertical="center"/>
    </xf>
    <xf numFmtId="0" fontId="7" fillId="3" borderId="0" xfId="0" applyFont="1" applyFill="1" applyProtection="1">
      <protection hidden="1"/>
    </xf>
    <xf numFmtId="0" fontId="1" fillId="3" borderId="0" xfId="0" applyFont="1" applyFill="1" applyProtection="1">
      <protection hidden="1"/>
    </xf>
    <xf numFmtId="0" fontId="8" fillId="3" borderId="0" xfId="0" applyFont="1" applyFill="1" applyProtection="1">
      <protection hidden="1"/>
    </xf>
    <xf numFmtId="49" fontId="1" fillId="3" borderId="0" xfId="0" applyNumberFormat="1" applyFont="1" applyFill="1" applyProtection="1">
      <protection hidden="1"/>
    </xf>
    <xf numFmtId="0" fontId="7" fillId="3" borderId="1" xfId="0" applyFont="1" applyFill="1" applyBorder="1" applyProtection="1">
      <protection hidden="1"/>
    </xf>
    <xf numFmtId="0" fontId="1" fillId="3" borderId="2" xfId="0" applyFont="1" applyFill="1" applyBorder="1" applyProtection="1">
      <protection hidden="1"/>
    </xf>
    <xf numFmtId="0" fontId="9" fillId="4" borderId="3" xfId="0" applyFont="1" applyFill="1" applyBorder="1" applyProtection="1">
      <protection hidden="1"/>
    </xf>
    <xf numFmtId="1" fontId="7" fillId="3" borderId="0" xfId="0" applyNumberFormat="1" applyFont="1" applyFill="1" applyProtection="1">
      <protection hidden="1"/>
    </xf>
    <xf numFmtId="1" fontId="11" fillId="5" borderId="4" xfId="0" applyNumberFormat="1" applyFont="1" applyFill="1" applyBorder="1" applyAlignment="1" applyProtection="1">
      <alignment horizontal="center"/>
      <protection hidden="1"/>
    </xf>
    <xf numFmtId="0" fontId="11" fillId="5" borderId="5" xfId="0" applyFont="1" applyFill="1" applyBorder="1" applyProtection="1">
      <protection hidden="1"/>
    </xf>
    <xf numFmtId="0" fontId="10" fillId="6" borderId="6" xfId="0" applyFont="1" applyFill="1" applyBorder="1" applyAlignment="1">
      <alignment horizontal="center" wrapText="1"/>
    </xf>
    <xf numFmtId="0" fontId="10" fillId="6" borderId="7" xfId="0" applyFont="1" applyFill="1" applyBorder="1" applyAlignment="1">
      <alignment horizontal="center" wrapText="1"/>
    </xf>
    <xf numFmtId="0" fontId="10" fillId="7" borderId="6" xfId="0" applyFont="1" applyFill="1" applyBorder="1" applyAlignment="1">
      <alignment horizontal="center" wrapText="1"/>
    </xf>
    <xf numFmtId="0" fontId="10" fillId="7" borderId="8" xfId="0" applyFont="1" applyFill="1" applyBorder="1" applyAlignment="1">
      <alignment horizontal="center" wrapText="1"/>
    </xf>
    <xf numFmtId="0" fontId="9" fillId="4" borderId="9" xfId="0" applyFont="1" applyFill="1" applyBorder="1" applyAlignment="1" applyProtection="1">
      <alignment horizontal="center"/>
      <protection hidden="1"/>
    </xf>
    <xf numFmtId="0" fontId="9" fillId="4" borderId="10" xfId="0" applyFont="1" applyFill="1" applyBorder="1" applyProtection="1">
      <protection hidden="1"/>
    </xf>
    <xf numFmtId="0" fontId="1" fillId="3" borderId="11" xfId="0" applyFont="1" applyFill="1" applyBorder="1" applyProtection="1">
      <protection hidden="1"/>
    </xf>
    <xf numFmtId="1" fontId="12" fillId="3" borderId="0" xfId="0" applyNumberFormat="1" applyFont="1" applyFill="1" applyProtection="1">
      <protection hidden="1"/>
    </xf>
    <xf numFmtId="165" fontId="13" fillId="3" borderId="0" xfId="0" applyNumberFormat="1" applyFont="1" applyFill="1" applyAlignment="1" applyProtection="1">
      <alignment horizontal="center"/>
      <protection hidden="1"/>
    </xf>
    <xf numFmtId="2" fontId="12" fillId="3" borderId="0" xfId="0" applyNumberFormat="1" applyFont="1" applyFill="1" applyAlignment="1" applyProtection="1">
      <alignment horizontal="center"/>
      <protection hidden="1"/>
    </xf>
    <xf numFmtId="0" fontId="1" fillId="3" borderId="12" xfId="0" applyFont="1" applyFill="1" applyBorder="1" applyProtection="1">
      <protection hidden="1"/>
    </xf>
    <xf numFmtId="0" fontId="14" fillId="3" borderId="0" xfId="0" applyFont="1" applyFill="1" applyProtection="1">
      <protection hidden="1"/>
    </xf>
    <xf numFmtId="0" fontId="15" fillId="3" borderId="0" xfId="0" applyFont="1" applyFill="1" applyAlignment="1" applyProtection="1">
      <alignment horizontal="center" wrapText="1"/>
      <protection hidden="1"/>
    </xf>
    <xf numFmtId="2" fontId="1" fillId="3" borderId="0" xfId="0" applyNumberFormat="1" applyFont="1" applyFill="1" applyAlignment="1" applyProtection="1">
      <alignment horizontal="center"/>
      <protection hidden="1"/>
    </xf>
    <xf numFmtId="1" fontId="16" fillId="3" borderId="0" xfId="0" applyNumberFormat="1" applyFont="1" applyFill="1"/>
    <xf numFmtId="0" fontId="1" fillId="3" borderId="13" xfId="0" applyFont="1" applyFill="1" applyBorder="1" applyProtection="1">
      <protection hidden="1"/>
    </xf>
    <xf numFmtId="0" fontId="10" fillId="8" borderId="14" xfId="0" applyFont="1" applyFill="1" applyBorder="1" applyAlignment="1">
      <alignment horizontal="center" wrapText="1"/>
    </xf>
    <xf numFmtId="0" fontId="16" fillId="3" borderId="0" xfId="0" applyFont="1" applyFill="1" applyProtection="1">
      <protection hidden="1"/>
    </xf>
    <xf numFmtId="0" fontId="10" fillId="8" borderId="6" xfId="0" applyFont="1" applyFill="1" applyBorder="1" applyAlignment="1">
      <alignment horizontal="center" wrapText="1"/>
    </xf>
    <xf numFmtId="0" fontId="10" fillId="8" borderId="7" xfId="0" applyFont="1" applyFill="1" applyBorder="1" applyAlignment="1">
      <alignment horizontal="center" wrapText="1"/>
    </xf>
    <xf numFmtId="0" fontId="1" fillId="3" borderId="0" xfId="0" applyFont="1" applyFill="1" applyAlignment="1" applyProtection="1">
      <alignment horizontal="center"/>
      <protection hidden="1"/>
    </xf>
    <xf numFmtId="0" fontId="0" fillId="3" borderId="0" xfId="0" applyFill="1" applyAlignment="1">
      <alignment horizontal="center"/>
    </xf>
    <xf numFmtId="0" fontId="11" fillId="3" borderId="0" xfId="0" applyFont="1" applyFill="1" applyProtection="1">
      <protection hidden="1"/>
    </xf>
    <xf numFmtId="0" fontId="1" fillId="3" borderId="0" xfId="0" applyFont="1" applyFill="1"/>
    <xf numFmtId="49" fontId="17" fillId="5" borderId="6" xfId="0" applyNumberFormat="1" applyFont="1" applyFill="1" applyBorder="1" applyAlignment="1">
      <alignment horizontal="center" wrapText="1"/>
    </xf>
    <xf numFmtId="49" fontId="17" fillId="5" borderId="7" xfId="0" applyNumberFormat="1" applyFont="1" applyFill="1" applyBorder="1" applyAlignment="1">
      <alignment horizontal="center" wrapText="1"/>
    </xf>
    <xf numFmtId="0" fontId="18" fillId="3" borderId="0" xfId="0" applyFont="1" applyFill="1"/>
    <xf numFmtId="49" fontId="0" fillId="3" borderId="0" xfId="0" applyNumberFormat="1" applyFill="1"/>
    <xf numFmtId="49" fontId="17" fillId="5" borderId="8" xfId="0" applyNumberFormat="1" applyFont="1" applyFill="1" applyBorder="1" applyAlignment="1">
      <alignment horizontal="center" wrapText="1"/>
    </xf>
    <xf numFmtId="49" fontId="12" fillId="3" borderId="0" xfId="0" applyNumberFormat="1" applyFont="1" applyFill="1" applyProtection="1">
      <protection hidden="1"/>
    </xf>
    <xf numFmtId="0" fontId="12" fillId="3" borderId="0" xfId="0" applyFont="1" applyFill="1" applyProtection="1">
      <protection hidden="1"/>
    </xf>
    <xf numFmtId="0" fontId="17" fillId="3" borderId="0" xfId="0" applyFont="1" applyFill="1" applyAlignment="1" applyProtection="1">
      <alignment horizontal="center" wrapText="1"/>
      <protection hidden="1"/>
    </xf>
    <xf numFmtId="0" fontId="12" fillId="3" borderId="0" xfId="0" applyFont="1" applyFill="1"/>
    <xf numFmtId="0" fontId="19" fillId="3" borderId="0" xfId="0" applyFont="1" applyFill="1" applyProtection="1">
      <protection hidden="1"/>
    </xf>
    <xf numFmtId="0" fontId="0" fillId="3" borderId="0" xfId="0" applyFill="1" applyAlignment="1">
      <alignment wrapText="1"/>
    </xf>
    <xf numFmtId="0" fontId="0" fillId="3" borderId="0" xfId="0" applyFill="1" applyProtection="1">
      <protection hidden="1"/>
    </xf>
    <xf numFmtId="0" fontId="2" fillId="3" borderId="15" xfId="0" applyFont="1" applyFill="1" applyBorder="1" applyAlignment="1">
      <alignment horizontal="left"/>
    </xf>
    <xf numFmtId="0" fontId="2" fillId="9" borderId="15" xfId="0" applyFont="1" applyFill="1" applyBorder="1" applyAlignment="1" applyProtection="1">
      <alignment horizontal="left"/>
      <protection locked="0"/>
    </xf>
    <xf numFmtId="9" fontId="2" fillId="9" borderId="15" xfId="0" applyNumberFormat="1" applyFont="1" applyFill="1" applyBorder="1" applyAlignment="1" applyProtection="1">
      <alignment horizontal="left"/>
      <protection locked="0"/>
    </xf>
    <xf numFmtId="0" fontId="22" fillId="0" borderId="15" xfId="0" applyFont="1" applyBorder="1" applyAlignment="1">
      <alignment horizontal="left"/>
    </xf>
    <xf numFmtId="0" fontId="2" fillId="0" borderId="15" xfId="0" applyFont="1" applyBorder="1" applyAlignment="1">
      <alignment horizontal="left"/>
    </xf>
    <xf numFmtId="14" fontId="2" fillId="0" borderId="15" xfId="0" applyNumberFormat="1" applyFont="1" applyBorder="1" applyAlignment="1">
      <alignment horizontal="left"/>
    </xf>
    <xf numFmtId="0" fontId="2" fillId="0" borderId="15" xfId="0" applyFont="1" applyBorder="1" applyAlignment="1">
      <alignment horizontal="left" wrapText="1"/>
    </xf>
    <xf numFmtId="0" fontId="2" fillId="10" borderId="15" xfId="0" applyFont="1" applyFill="1" applyBorder="1" applyAlignment="1">
      <alignment horizontal="left"/>
    </xf>
    <xf numFmtId="0" fontId="2" fillId="11" borderId="15" xfId="0" applyFont="1" applyFill="1" applyBorder="1" applyAlignment="1">
      <alignment horizontal="left"/>
    </xf>
    <xf numFmtId="164" fontId="2" fillId="0" borderId="15" xfId="0" applyNumberFormat="1" applyFont="1" applyBorder="1" applyAlignment="1">
      <alignment horizontal="left"/>
    </xf>
    <xf numFmtId="2" fontId="2" fillId="0" borderId="15" xfId="0" applyNumberFormat="1" applyFont="1" applyBorder="1" applyAlignment="1">
      <alignment horizontal="left"/>
    </xf>
    <xf numFmtId="0" fontId="6" fillId="0" borderId="15" xfId="0" applyFont="1" applyBorder="1" applyAlignment="1">
      <alignment horizontal="left"/>
    </xf>
    <xf numFmtId="0" fontId="6" fillId="3" borderId="15" xfId="0" applyFont="1" applyFill="1" applyBorder="1" applyAlignment="1">
      <alignment horizontal="left"/>
    </xf>
    <xf numFmtId="0" fontId="2" fillId="3" borderId="15" xfId="0" applyFont="1" applyFill="1" applyBorder="1" applyAlignment="1">
      <alignment horizontal="left" wrapText="1"/>
    </xf>
    <xf numFmtId="1" fontId="2" fillId="3" borderId="15" xfId="0" applyNumberFormat="1" applyFont="1" applyFill="1" applyBorder="1" applyAlignment="1">
      <alignment horizontal="left"/>
    </xf>
    <xf numFmtId="0" fontId="22" fillId="3" borderId="15" xfId="0" applyFont="1" applyFill="1" applyBorder="1" applyAlignment="1">
      <alignment horizontal="left" wrapText="1"/>
    </xf>
    <xf numFmtId="0" fontId="2" fillId="0" borderId="15" xfId="0" applyFont="1" applyBorder="1" applyAlignment="1" applyProtection="1">
      <alignment horizontal="left"/>
      <protection locked="0"/>
    </xf>
    <xf numFmtId="0" fontId="2" fillId="11" borderId="15" xfId="0" applyFont="1" applyFill="1" applyBorder="1" applyAlignment="1">
      <alignment horizontal="left" wrapText="1"/>
    </xf>
    <xf numFmtId="164" fontId="11" fillId="5" borderId="16" xfId="0" applyNumberFormat="1" applyFont="1" applyFill="1" applyBorder="1" applyProtection="1">
      <protection hidden="1"/>
    </xf>
    <xf numFmtId="164" fontId="11" fillId="5" borderId="17" xfId="0" applyNumberFormat="1" applyFont="1" applyFill="1" applyBorder="1" applyProtection="1">
      <protection hidden="1"/>
    </xf>
    <xf numFmtId="164" fontId="11" fillId="5" borderId="18" xfId="0" applyNumberFormat="1" applyFont="1" applyFill="1" applyBorder="1" applyProtection="1">
      <protection hidden="1"/>
    </xf>
    <xf numFmtId="0" fontId="23" fillId="0" borderId="15" xfId="0" applyFont="1" applyBorder="1" applyAlignment="1">
      <alignment horizontal="left"/>
    </xf>
    <xf numFmtId="0" fontId="0" fillId="0" borderId="15" xfId="0" applyBorder="1"/>
    <xf numFmtId="0" fontId="0" fillId="0" borderId="15" xfId="0" applyBorder="1" applyAlignment="1">
      <alignment horizontal="left"/>
    </xf>
    <xf numFmtId="165" fontId="0" fillId="0" borderId="15" xfId="0" applyNumberFormat="1" applyBorder="1"/>
    <xf numFmtId="0" fontId="24" fillId="0" borderId="15" xfId="0" applyFont="1" applyBorder="1"/>
    <xf numFmtId="0" fontId="0" fillId="0" borderId="15" xfId="0" applyBorder="1" applyAlignment="1">
      <alignment wrapText="1"/>
    </xf>
    <xf numFmtId="0" fontId="26" fillId="11" borderId="15" xfId="0" applyFont="1" applyFill="1" applyBorder="1" applyAlignment="1">
      <alignment horizontal="left"/>
    </xf>
    <xf numFmtId="0" fontId="26" fillId="12" borderId="15" xfId="0" applyFont="1" applyFill="1" applyBorder="1" applyAlignment="1">
      <alignment horizontal="left"/>
    </xf>
    <xf numFmtId="14" fontId="26" fillId="12" borderId="15" xfId="0" applyNumberFormat="1" applyFont="1" applyFill="1" applyBorder="1" applyAlignment="1">
      <alignment horizontal="left"/>
    </xf>
    <xf numFmtId="0" fontId="28" fillId="0" borderId="15" xfId="0" applyFont="1" applyBorder="1" applyAlignment="1">
      <alignment horizontal="left"/>
    </xf>
    <xf numFmtId="0" fontId="28" fillId="3" borderId="15" xfId="0" applyFont="1" applyFill="1" applyBorder="1" applyAlignment="1">
      <alignment horizontal="left"/>
    </xf>
    <xf numFmtId="0" fontId="4" fillId="2" borderId="0" xfId="0" applyFont="1" applyFill="1" applyAlignment="1">
      <alignment horizontal="left" vertical="center" wrapText="1"/>
    </xf>
    <xf numFmtId="0" fontId="6" fillId="13" borderId="15" xfId="0" applyFont="1" applyFill="1" applyBorder="1" applyAlignment="1">
      <alignment horizontal="left"/>
    </xf>
    <xf numFmtId="14" fontId="6" fillId="13" borderId="15" xfId="0" applyNumberFormat="1" applyFont="1" applyFill="1" applyBorder="1" applyAlignment="1">
      <alignment horizontal="left"/>
    </xf>
    <xf numFmtId="0" fontId="26" fillId="14" borderId="15" xfId="0" applyFont="1" applyFill="1" applyBorder="1" applyAlignment="1">
      <alignment horizontal="left"/>
    </xf>
    <xf numFmtId="14" fontId="26" fillId="14" borderId="15" xfId="0" applyNumberFormat="1" applyFont="1" applyFill="1" applyBorder="1" applyAlignment="1">
      <alignment horizontal="left"/>
    </xf>
    <xf numFmtId="0" fontId="29" fillId="0" borderId="15" xfId="0" applyFont="1" applyBorder="1" applyAlignment="1">
      <alignment horizontal="left"/>
    </xf>
    <xf numFmtId="2" fontId="28" fillId="0" borderId="15" xfId="0" applyNumberFormat="1" applyFont="1" applyBorder="1" applyAlignment="1">
      <alignment horizontal="left"/>
    </xf>
    <xf numFmtId="2" fontId="2" fillId="13" borderId="15" xfId="0" applyNumberFormat="1" applyFont="1" applyFill="1" applyBorder="1" applyAlignment="1" applyProtection="1">
      <alignment horizontal="left"/>
      <protection locked="0"/>
    </xf>
    <xf numFmtId="2" fontId="2" fillId="3" borderId="15" xfId="0" applyNumberFormat="1" applyFont="1" applyFill="1" applyBorder="1" applyAlignment="1">
      <alignment horizontal="left"/>
    </xf>
    <xf numFmtId="2" fontId="26" fillId="12" borderId="15" xfId="0" applyNumberFormat="1" applyFont="1" applyFill="1" applyBorder="1" applyAlignment="1">
      <alignment horizontal="left"/>
    </xf>
    <xf numFmtId="2" fontId="6" fillId="13" borderId="15" xfId="0" applyNumberFormat="1" applyFont="1" applyFill="1" applyBorder="1" applyAlignment="1">
      <alignment horizontal="left"/>
    </xf>
    <xf numFmtId="2" fontId="26" fillId="14" borderId="15" xfId="0" applyNumberFormat="1" applyFont="1" applyFill="1" applyBorder="1" applyAlignment="1">
      <alignment horizontal="left"/>
    </xf>
    <xf numFmtId="2" fontId="2" fillId="9" borderId="15" xfId="0" applyNumberFormat="1" applyFont="1" applyFill="1" applyBorder="1" applyAlignment="1" applyProtection="1">
      <alignment horizontal="left"/>
      <protection locked="0"/>
    </xf>
    <xf numFmtId="2" fontId="2" fillId="10" borderId="15" xfId="0" applyNumberFormat="1" applyFont="1" applyFill="1" applyBorder="1" applyAlignment="1">
      <alignment horizontal="left"/>
    </xf>
    <xf numFmtId="2" fontId="26" fillId="11" borderId="15" xfId="0" applyNumberFormat="1" applyFont="1" applyFill="1" applyBorder="1" applyAlignment="1">
      <alignment horizontal="left"/>
    </xf>
    <xf numFmtId="2" fontId="2" fillId="11" borderId="15" xfId="0" applyNumberFormat="1" applyFont="1" applyFill="1" applyBorder="1" applyAlignment="1">
      <alignment horizontal="left"/>
    </xf>
    <xf numFmtId="2" fontId="22" fillId="0" borderId="15" xfId="0" applyNumberFormat="1" applyFont="1" applyBorder="1" applyAlignment="1">
      <alignment horizontal="left"/>
    </xf>
    <xf numFmtId="2" fontId="6" fillId="3" borderId="15" xfId="0" applyNumberFormat="1" applyFont="1" applyFill="1" applyBorder="1" applyAlignment="1">
      <alignment horizontal="left"/>
    </xf>
    <xf numFmtId="2" fontId="20" fillId="0" borderId="15" xfId="0" applyNumberFormat="1" applyFont="1" applyBorder="1" applyAlignment="1">
      <alignment horizontal="left"/>
    </xf>
    <xf numFmtId="0" fontId="30" fillId="0" borderId="15" xfId="0" applyFont="1" applyBorder="1" applyAlignment="1">
      <alignment horizontal="left"/>
    </xf>
    <xf numFmtId="0" fontId="31" fillId="0" borderId="0" xfId="0" applyFont="1" applyAlignment="1">
      <alignment vertical="center"/>
    </xf>
    <xf numFmtId="0" fontId="32" fillId="0" borderId="15" xfId="0" applyFont="1" applyBorder="1" applyAlignment="1">
      <alignment horizontal="left"/>
    </xf>
    <xf numFmtId="165" fontId="2" fillId="13" borderId="15" xfId="0" applyNumberFormat="1" applyFont="1" applyFill="1" applyBorder="1" applyAlignment="1" applyProtection="1">
      <alignment horizontal="left"/>
      <protection locked="0"/>
    </xf>
    <xf numFmtId="0" fontId="3" fillId="2" borderId="0" xfId="0" applyFont="1" applyFill="1" applyAlignment="1">
      <alignment horizontal="center" vertical="center"/>
    </xf>
    <xf numFmtId="0" fontId="4" fillId="2" borderId="0" xfId="0" applyFont="1" applyFill="1" applyAlignment="1">
      <alignment vertical="center" wrapText="1"/>
    </xf>
    <xf numFmtId="0" fontId="0" fillId="2" borderId="0" xfId="0" applyFill="1" applyAlignment="1">
      <alignment horizontal="center"/>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33" fillId="0" borderId="0" xfId="0" applyFont="1" applyAlignment="1">
      <alignment horizontal="left" vertical="center"/>
    </xf>
    <xf numFmtId="0" fontId="34" fillId="0" borderId="0" xfId="0" applyFont="1" applyAlignment="1">
      <alignment horizontal="left" vertical="top" wrapText="1"/>
    </xf>
    <xf numFmtId="0" fontId="17" fillId="3" borderId="0" xfId="0" applyFont="1" applyFill="1" applyAlignment="1" applyProtection="1">
      <alignment horizontal="center" wrapText="1"/>
      <protection hidden="1"/>
    </xf>
    <xf numFmtId="0" fontId="10" fillId="6" borderId="19" xfId="0" applyFont="1" applyFill="1" applyBorder="1" applyAlignment="1">
      <alignment horizontal="center" wrapText="1"/>
    </xf>
    <xf numFmtId="0" fontId="10" fillId="6" borderId="14" xfId="0" applyFont="1" applyFill="1" applyBorder="1" applyAlignment="1">
      <alignment horizontal="center" wrapText="1"/>
    </xf>
    <xf numFmtId="0" fontId="10" fillId="7" borderId="20" xfId="0" applyFont="1" applyFill="1" applyBorder="1" applyAlignment="1">
      <alignment horizontal="center" wrapText="1"/>
    </xf>
    <xf numFmtId="0" fontId="10" fillId="7" borderId="21" xfId="0" applyFont="1" applyFill="1" applyBorder="1" applyAlignment="1">
      <alignment horizontal="center" wrapText="1"/>
    </xf>
    <xf numFmtId="0" fontId="10" fillId="8" borderId="19" xfId="0" applyFont="1" applyFill="1" applyBorder="1" applyAlignment="1">
      <alignment horizontal="center" wrapText="1"/>
    </xf>
    <xf numFmtId="0" fontId="10" fillId="8" borderId="14" xfId="0" applyFont="1" applyFill="1" applyBorder="1" applyAlignment="1">
      <alignment horizontal="center" wrapText="1"/>
    </xf>
    <xf numFmtId="49" fontId="17" fillId="5" borderId="19" xfId="0" applyNumberFormat="1" applyFont="1" applyFill="1" applyBorder="1" applyAlignment="1">
      <alignment horizontal="center" wrapText="1"/>
    </xf>
    <xf numFmtId="49" fontId="17" fillId="5" borderId="0" xfId="0" applyNumberFormat="1"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Tv(f) Frequency Response</a:t>
            </a:r>
          </a:p>
        </c:rich>
      </c:tx>
      <c:layout>
        <c:manualLayout>
          <c:xMode val="edge"/>
          <c:yMode val="edge"/>
          <c:x val="0.35753466278671686"/>
          <c:y val="3.0022812568989622E-2"/>
        </c:manualLayout>
      </c:layout>
      <c:overlay val="0"/>
      <c:spPr>
        <a:noFill/>
        <a:ln w="25400">
          <a:noFill/>
        </a:ln>
      </c:spPr>
    </c:title>
    <c:autoTitleDeleted val="0"/>
    <c:plotArea>
      <c:layout>
        <c:manualLayout>
          <c:layoutTarget val="inner"/>
          <c:xMode val="edge"/>
          <c:yMode val="edge"/>
          <c:x val="0.10273979474782932"/>
          <c:y val="0.11778304275115783"/>
          <c:w val="0.78630189580338705"/>
          <c:h val="0.72979297077187988"/>
        </c:manualLayout>
      </c:layout>
      <c:scatterChart>
        <c:scatterStyle val="smoothMarker"/>
        <c:varyColors val="0"/>
        <c:ser>
          <c:idx val="0"/>
          <c:order val="0"/>
          <c:tx>
            <c:strRef>
              <c:f>'Voltage Loop'!$M$1</c:f>
              <c:strCache>
                <c:ptCount val="1"/>
                <c:pt idx="0">
                  <c:v>TvdB(f)</c:v>
                </c:pt>
              </c:strCache>
            </c:strRef>
          </c:tx>
          <c:spPr>
            <a:ln w="25400">
              <a:solidFill>
                <a:srgbClr val="000000"/>
              </a:solidFill>
              <a:prstDash val="solid"/>
            </a:ln>
          </c:spPr>
          <c:marker>
            <c:symbol val="none"/>
          </c:marker>
          <c:xVal>
            <c:numRef>
              <c:f>'Voltage Loop'!$B$2:$B$101</c:f>
              <c:numCache>
                <c:formatCode>General</c:formatCode>
                <c:ptCount val="100"/>
                <c:pt idx="0">
                  <c:v>100</c:v>
                </c:pt>
                <c:pt idx="1">
                  <c:v>1000</c:v>
                </c:pt>
                <c:pt idx="2">
                  <c:v>3000</c:v>
                </c:pt>
                <c:pt idx="3">
                  <c:v>4000</c:v>
                </c:pt>
                <c:pt idx="4">
                  <c:v>5000</c:v>
                </c:pt>
                <c:pt idx="5">
                  <c:v>6000</c:v>
                </c:pt>
                <c:pt idx="6">
                  <c:v>7000.0000000000009</c:v>
                </c:pt>
                <c:pt idx="7">
                  <c:v>8000</c:v>
                </c:pt>
                <c:pt idx="8">
                  <c:v>9000</c:v>
                </c:pt>
                <c:pt idx="9">
                  <c:v>10000</c:v>
                </c:pt>
                <c:pt idx="10">
                  <c:v>11000</c:v>
                </c:pt>
                <c:pt idx="11">
                  <c:v>12000</c:v>
                </c:pt>
                <c:pt idx="12">
                  <c:v>13000</c:v>
                </c:pt>
                <c:pt idx="13">
                  <c:v>14000.000000000002</c:v>
                </c:pt>
                <c:pt idx="14">
                  <c:v>15000</c:v>
                </c:pt>
                <c:pt idx="15">
                  <c:v>16000</c:v>
                </c:pt>
                <c:pt idx="16">
                  <c:v>17000</c:v>
                </c:pt>
                <c:pt idx="17">
                  <c:v>18000</c:v>
                </c:pt>
                <c:pt idx="18">
                  <c:v>19000</c:v>
                </c:pt>
                <c:pt idx="19">
                  <c:v>20000</c:v>
                </c:pt>
                <c:pt idx="20">
                  <c:v>21000</c:v>
                </c:pt>
                <c:pt idx="21">
                  <c:v>22000</c:v>
                </c:pt>
                <c:pt idx="22">
                  <c:v>23000</c:v>
                </c:pt>
                <c:pt idx="23">
                  <c:v>24000</c:v>
                </c:pt>
                <c:pt idx="24">
                  <c:v>25000</c:v>
                </c:pt>
                <c:pt idx="25">
                  <c:v>26000</c:v>
                </c:pt>
                <c:pt idx="26">
                  <c:v>27000</c:v>
                </c:pt>
                <c:pt idx="27">
                  <c:v>28000.000000000004</c:v>
                </c:pt>
                <c:pt idx="28">
                  <c:v>28999.999999999996</c:v>
                </c:pt>
                <c:pt idx="29">
                  <c:v>30000</c:v>
                </c:pt>
                <c:pt idx="30">
                  <c:v>31000</c:v>
                </c:pt>
                <c:pt idx="31">
                  <c:v>32000</c:v>
                </c:pt>
                <c:pt idx="32">
                  <c:v>33000</c:v>
                </c:pt>
                <c:pt idx="33">
                  <c:v>34000</c:v>
                </c:pt>
                <c:pt idx="34">
                  <c:v>35000</c:v>
                </c:pt>
                <c:pt idx="35">
                  <c:v>36000</c:v>
                </c:pt>
                <c:pt idx="36">
                  <c:v>37000</c:v>
                </c:pt>
                <c:pt idx="37">
                  <c:v>38000</c:v>
                </c:pt>
                <c:pt idx="38">
                  <c:v>39000</c:v>
                </c:pt>
                <c:pt idx="39">
                  <c:v>40000</c:v>
                </c:pt>
                <c:pt idx="40">
                  <c:v>41000</c:v>
                </c:pt>
                <c:pt idx="41">
                  <c:v>42000</c:v>
                </c:pt>
                <c:pt idx="42">
                  <c:v>43000</c:v>
                </c:pt>
                <c:pt idx="43">
                  <c:v>44000</c:v>
                </c:pt>
                <c:pt idx="44">
                  <c:v>45000</c:v>
                </c:pt>
                <c:pt idx="45">
                  <c:v>46000</c:v>
                </c:pt>
                <c:pt idx="46">
                  <c:v>47000</c:v>
                </c:pt>
                <c:pt idx="47">
                  <c:v>48000</c:v>
                </c:pt>
                <c:pt idx="48">
                  <c:v>49000</c:v>
                </c:pt>
                <c:pt idx="49">
                  <c:v>50000</c:v>
                </c:pt>
                <c:pt idx="50">
                  <c:v>51000</c:v>
                </c:pt>
                <c:pt idx="51">
                  <c:v>52000</c:v>
                </c:pt>
                <c:pt idx="52">
                  <c:v>53000</c:v>
                </c:pt>
                <c:pt idx="53">
                  <c:v>54000</c:v>
                </c:pt>
                <c:pt idx="54">
                  <c:v>55000.000000000007</c:v>
                </c:pt>
                <c:pt idx="55">
                  <c:v>56000.000000000007</c:v>
                </c:pt>
                <c:pt idx="56">
                  <c:v>56999.999999999993</c:v>
                </c:pt>
                <c:pt idx="57">
                  <c:v>57999.999999999993</c:v>
                </c:pt>
                <c:pt idx="58">
                  <c:v>59000</c:v>
                </c:pt>
                <c:pt idx="59">
                  <c:v>60000</c:v>
                </c:pt>
                <c:pt idx="60">
                  <c:v>61000</c:v>
                </c:pt>
                <c:pt idx="61">
                  <c:v>62000</c:v>
                </c:pt>
                <c:pt idx="62">
                  <c:v>63000</c:v>
                </c:pt>
                <c:pt idx="63">
                  <c:v>64000</c:v>
                </c:pt>
                <c:pt idx="64">
                  <c:v>65000</c:v>
                </c:pt>
                <c:pt idx="65">
                  <c:v>66000</c:v>
                </c:pt>
                <c:pt idx="66">
                  <c:v>67000</c:v>
                </c:pt>
                <c:pt idx="67">
                  <c:v>68000</c:v>
                </c:pt>
                <c:pt idx="68">
                  <c:v>69000</c:v>
                </c:pt>
                <c:pt idx="69">
                  <c:v>70000</c:v>
                </c:pt>
                <c:pt idx="70">
                  <c:v>71000</c:v>
                </c:pt>
                <c:pt idx="71">
                  <c:v>72000</c:v>
                </c:pt>
                <c:pt idx="72">
                  <c:v>73000</c:v>
                </c:pt>
                <c:pt idx="73">
                  <c:v>74000</c:v>
                </c:pt>
                <c:pt idx="74">
                  <c:v>75000</c:v>
                </c:pt>
                <c:pt idx="75">
                  <c:v>76000</c:v>
                </c:pt>
                <c:pt idx="76">
                  <c:v>77000</c:v>
                </c:pt>
                <c:pt idx="77">
                  <c:v>78000</c:v>
                </c:pt>
                <c:pt idx="78">
                  <c:v>79000</c:v>
                </c:pt>
                <c:pt idx="79">
                  <c:v>80000</c:v>
                </c:pt>
                <c:pt idx="80">
                  <c:v>81000</c:v>
                </c:pt>
                <c:pt idx="81">
                  <c:v>82000</c:v>
                </c:pt>
                <c:pt idx="82">
                  <c:v>83000</c:v>
                </c:pt>
                <c:pt idx="83">
                  <c:v>84000</c:v>
                </c:pt>
                <c:pt idx="84">
                  <c:v>85000</c:v>
                </c:pt>
                <c:pt idx="85">
                  <c:v>86000</c:v>
                </c:pt>
                <c:pt idx="86">
                  <c:v>87000</c:v>
                </c:pt>
                <c:pt idx="87">
                  <c:v>88000</c:v>
                </c:pt>
                <c:pt idx="88">
                  <c:v>89000</c:v>
                </c:pt>
                <c:pt idx="89">
                  <c:v>90000</c:v>
                </c:pt>
                <c:pt idx="90">
                  <c:v>91000</c:v>
                </c:pt>
                <c:pt idx="91">
                  <c:v>92000</c:v>
                </c:pt>
                <c:pt idx="92">
                  <c:v>93000</c:v>
                </c:pt>
                <c:pt idx="93">
                  <c:v>94000</c:v>
                </c:pt>
                <c:pt idx="94">
                  <c:v>95000</c:v>
                </c:pt>
                <c:pt idx="95">
                  <c:v>96000</c:v>
                </c:pt>
                <c:pt idx="96">
                  <c:v>97000</c:v>
                </c:pt>
                <c:pt idx="97">
                  <c:v>98000</c:v>
                </c:pt>
                <c:pt idx="98">
                  <c:v>99000</c:v>
                </c:pt>
                <c:pt idx="99">
                  <c:v>100000</c:v>
                </c:pt>
              </c:numCache>
            </c:numRef>
          </c:xVal>
          <c:yVal>
            <c:numRef>
              <c:f>'Voltage Loop'!$M$2:$M$101</c:f>
              <c:numCache>
                <c:formatCode>General</c:formatCode>
                <c:ptCount val="100"/>
                <c:pt idx="0">
                  <c:v>26.496234926190816</c:v>
                </c:pt>
                <c:pt idx="1">
                  <c:v>-3.5260408684492783</c:v>
                </c:pt>
                <c:pt idx="2">
                  <c:v>-13.272782987859063</c:v>
                </c:pt>
                <c:pt idx="3">
                  <c:v>-15.668202784774738</c:v>
                </c:pt>
                <c:pt idx="4">
                  <c:v>-17.478136176857689</c:v>
                </c:pt>
                <c:pt idx="5">
                  <c:v>-18.924123403137049</c:v>
                </c:pt>
                <c:pt idx="6">
                  <c:v>-20.124556438118265</c:v>
                </c:pt>
                <c:pt idx="7">
                  <c:v>-21.149762371664373</c:v>
                </c:pt>
                <c:pt idx="8">
                  <c:v>-22.044392925804605</c:v>
                </c:pt>
                <c:pt idx="9">
                  <c:v>-22.838169667924014</c:v>
                </c:pt>
                <c:pt idx="10">
                  <c:v>-23.551637177452175</c:v>
                </c:pt>
                <c:pt idx="11">
                  <c:v>-24.199472781758825</c:v>
                </c:pt>
                <c:pt idx="12">
                  <c:v>-24.792484853522193</c:v>
                </c:pt>
                <c:pt idx="13">
                  <c:v>-25.338862088661912</c:v>
                </c:pt>
                <c:pt idx="14">
                  <c:v>-25.844976495726712</c:v>
                </c:pt>
                <c:pt idx="15">
                  <c:v>-26.315912229596741</c:v>
                </c:pt>
                <c:pt idx="16">
                  <c:v>-26.755821902494795</c:v>
                </c:pt>
                <c:pt idx="17">
                  <c:v>-27.168172040319575</c:v>
                </c:pt>
                <c:pt idx="18">
                  <c:v>-27.555915914160384</c:v>
                </c:pt>
                <c:pt idx="19">
                  <c:v>-27.921617883532615</c:v>
                </c:pt>
                <c:pt idx="20">
                  <c:v>-28.267544741823819</c:v>
                </c:pt>
                <c:pt idx="21">
                  <c:v>-28.595734155488888</c:v>
                </c:pt>
                <c:pt idx="22">
                  <c:v>-28.908046859992666</c:v>
                </c:pt>
                <c:pt idx="23">
                  <c:v>-29.206207061262166</c:v>
                </c:pt>
                <c:pt idx="24">
                  <c:v>-29.491834036544219</c:v>
                </c:pt>
                <c:pt idx="25">
                  <c:v>-29.766466955718954</c:v>
                </c:pt>
                <c:pt idx="26">
                  <c:v>-30.031584282518658</c:v>
                </c:pt>
                <c:pt idx="27">
                  <c:v>-30.288618658902937</c:v>
                </c:pt>
                <c:pt idx="28">
                  <c:v>-30.538967859395704</c:v>
                </c:pt>
                <c:pt idx="29">
                  <c:v>-30.784002185103525</c:v>
                </c:pt>
                <c:pt idx="30">
                  <c:v>-31.025068525038726</c:v>
                </c:pt>
                <c:pt idx="31">
                  <c:v>-31.263491230945768</c:v>
                </c:pt>
                <c:pt idx="32">
                  <c:v>-31.500569922786799</c:v>
                </c:pt>
                <c:pt idx="33">
                  <c:v>-31.737574360103189</c:v>
                </c:pt>
                <c:pt idx="34">
                  <c:v>-31.975736574960059</c:v>
                </c:pt>
                <c:pt idx="35">
                  <c:v>-32.216240559029771</c:v>
                </c:pt>
                <c:pt idx="36">
                  <c:v>-32.4602099216063</c:v>
                </c:pt>
                <c:pt idx="37">
                  <c:v>-32.708694074110284</c:v>
                </c:pt>
                <c:pt idx="38">
                  <c:v>-32.962653633210849</c:v>
                </c:pt>
                <c:pt idx="39">
                  <c:v>-33.222945849415822</c:v>
                </c:pt>
                <c:pt idx="40">
                  <c:v>-33.490310940522043</c:v>
                </c:pt>
                <c:pt idx="41">
                  <c:v>-33.76536022166335</c:v>
                </c:pt>
                <c:pt idx="42">
                  <c:v>-34.048566863706057</c:v>
                </c:pt>
                <c:pt idx="43">
                  <c:v>-34.340259976142342</c:v>
                </c:pt>
                <c:pt idx="44">
                  <c:v>-34.640622506920785</c:v>
                </c:pt>
                <c:pt idx="45">
                  <c:v>-34.949693197859148</c:v>
                </c:pt>
                <c:pt idx="46">
                  <c:v>-35.267372556716111</c:v>
                </c:pt>
                <c:pt idx="47">
                  <c:v>-35.59343253605342</c:v>
                </c:pt>
                <c:pt idx="48">
                  <c:v>-35.927529374069202</c:v>
                </c:pt>
                <c:pt idx="49">
                  <c:v>-36.269218877158529</c:v>
                </c:pt>
                <c:pt idx="50">
                  <c:v>-36.617973322221246</c:v>
                </c:pt>
                <c:pt idx="51">
                  <c:v>-36.973199131998953</c:v>
                </c:pt>
                <c:pt idx="52">
                  <c:v>-37.334254522240904</c:v>
                </c:pt>
                <c:pt idx="53">
                  <c:v>-37.700466420801845</c:v>
                </c:pt>
                <c:pt idx="54">
                  <c:v>-38.071146097154461</c:v>
                </c:pt>
                <c:pt idx="55">
                  <c:v>-38.445603096711828</c:v>
                </c:pt>
                <c:pt idx="56">
                  <c:v>-38.823157230286363</c:v>
                </c:pt>
                <c:pt idx="57">
                  <c:v>-39.203148511366912</c:v>
                </c:pt>
                <c:pt idx="58">
                  <c:v>-39.584945053708608</c:v>
                </c:pt>
                <c:pt idx="59">
                  <c:v>-39.967949034620901</c:v>
                </c:pt>
                <c:pt idx="60">
                  <c:v>-40.351600894677595</c:v>
                </c:pt>
                <c:pt idx="61">
                  <c:v>-40.735381984537788</c:v>
                </c:pt>
                <c:pt idx="62">
                  <c:v>-41.118815887979004</c:v>
                </c:pt>
                <c:pt idx="63">
                  <c:v>-41.501468651706446</c:v>
                </c:pt>
                <c:pt idx="64">
                  <c:v>-41.882948141636341</c:v>
                </c:pt>
                <c:pt idx="65">
                  <c:v>-42.262902726366164</c:v>
                </c:pt>
                <c:pt idx="66">
                  <c:v>-42.641019464944549</c:v>
                </c:pt>
                <c:pt idx="67">
                  <c:v>-43.017021950600352</c:v>
                </c:pt>
                <c:pt idx="68">
                  <c:v>-43.390667936766505</c:v>
                </c:pt>
                <c:pt idx="69">
                  <c:v>-43.761746847903844</c:v>
                </c:pt>
                <c:pt idx="70">
                  <c:v>-44.130077256084746</c:v>
                </c:pt>
                <c:pt idx="71">
                  <c:v>-44.495504385454375</c:v>
                </c:pt>
                <c:pt idx="72">
                  <c:v>-44.857897690641039</c:v>
                </c:pt>
                <c:pt idx="73">
                  <c:v>-45.217148541850889</c:v>
                </c:pt>
                <c:pt idx="74">
                  <c:v>-45.573168038540786</c:v>
                </c:pt>
                <c:pt idx="75">
                  <c:v>-45.925884964934923</c:v>
                </c:pt>
                <c:pt idx="76">
                  <c:v>-46.275243893933549</c:v>
                </c:pt>
                <c:pt idx="77">
                  <c:v>-46.621203440857208</c:v>
                </c:pt>
                <c:pt idx="78">
                  <c:v>-46.963734664692581</c:v>
                </c:pt>
                <c:pt idx="79">
                  <c:v>-47.302819611808815</c:v>
                </c:pt>
                <c:pt idx="80">
                  <c:v>-47.638449995269795</c:v>
                </c:pt>
                <c:pt idx="81">
                  <c:v>-47.970626001704616</c:v>
                </c:pt>
                <c:pt idx="82">
                  <c:v>-48.299355217040144</c:v>
                </c:pt>
                <c:pt idx="83">
                  <c:v>-48.624651662139932</c:v>
                </c:pt>
                <c:pt idx="84">
                  <c:v>-48.946534929413843</c:v>
                </c:pt>
                <c:pt idx="85">
                  <c:v>-49.265029411691003</c:v>
                </c:pt>
                <c:pt idx="86">
                  <c:v>-49.580163615015856</c:v>
                </c:pt>
                <c:pt idx="87">
                  <c:v>-49.891969547484479</c:v>
                </c:pt>
                <c:pt idx="88">
                  <c:v>-50.200482176752402</c:v>
                </c:pt>
                <c:pt idx="89">
                  <c:v>-50.505738949381289</c:v>
                </c:pt>
                <c:pt idx="90">
                  <c:v>-50.807779365736046</c:v>
                </c:pt>
                <c:pt idx="91">
                  <c:v>-51.106644604675338</c:v>
                </c:pt>
                <c:pt idx="92">
                  <c:v>-51.402377192792208</c:v>
                </c:pt>
                <c:pt idx="93">
                  <c:v>-51.695020713448486</c:v>
                </c:pt>
                <c:pt idx="94">
                  <c:v>-51.984619551303084</c:v>
                </c:pt>
                <c:pt idx="95">
                  <c:v>-52.271218668455113</c:v>
                </c:pt>
                <c:pt idx="96">
                  <c:v>-52.554863408718774</c:v>
                </c:pt>
                <c:pt idx="97">
                  <c:v>-52.835599326897764</c:v>
                </c:pt>
                <c:pt idx="98">
                  <c:v>-53.11347204025887</c:v>
                </c:pt>
                <c:pt idx="99">
                  <c:v>-53.388527099696631</c:v>
                </c:pt>
              </c:numCache>
            </c:numRef>
          </c:yVal>
          <c:smooth val="1"/>
          <c:extLst>
            <c:ext xmlns:c16="http://schemas.microsoft.com/office/drawing/2014/chart" uri="{C3380CC4-5D6E-409C-BE32-E72D297353CC}">
              <c16:uniqueId val="{00000000-DD8C-4A46-9E2F-53DC836CF80D}"/>
            </c:ext>
          </c:extLst>
        </c:ser>
        <c:dLbls>
          <c:showLegendKey val="0"/>
          <c:showVal val="0"/>
          <c:showCatName val="0"/>
          <c:showSerName val="0"/>
          <c:showPercent val="0"/>
          <c:showBubbleSize val="0"/>
        </c:dLbls>
        <c:axId val="507584992"/>
        <c:axId val="1"/>
      </c:scatterChart>
      <c:scatterChart>
        <c:scatterStyle val="lineMarker"/>
        <c:varyColors val="0"/>
        <c:ser>
          <c:idx val="2"/>
          <c:order val="1"/>
          <c:tx>
            <c:strRef>
              <c:f>'Voltage Loop'!$O$1</c:f>
              <c:strCache>
                <c:ptCount val="1"/>
                <c:pt idx="0">
                  <c:v>ӨTv(f)</c:v>
                </c:pt>
              </c:strCache>
            </c:strRef>
          </c:tx>
          <c:spPr>
            <a:ln w="25400">
              <a:solidFill>
                <a:srgbClr val="FF0000"/>
              </a:solidFill>
              <a:prstDash val="solid"/>
            </a:ln>
          </c:spPr>
          <c:marker>
            <c:symbol val="none"/>
          </c:marker>
          <c:xVal>
            <c:numRef>
              <c:f>'Voltage Loop'!$B$2:$B$101</c:f>
              <c:numCache>
                <c:formatCode>General</c:formatCode>
                <c:ptCount val="100"/>
                <c:pt idx="0">
                  <c:v>100</c:v>
                </c:pt>
                <c:pt idx="1">
                  <c:v>1000</c:v>
                </c:pt>
                <c:pt idx="2">
                  <c:v>3000</c:v>
                </c:pt>
                <c:pt idx="3">
                  <c:v>4000</c:v>
                </c:pt>
                <c:pt idx="4">
                  <c:v>5000</c:v>
                </c:pt>
                <c:pt idx="5">
                  <c:v>6000</c:v>
                </c:pt>
                <c:pt idx="6">
                  <c:v>7000.0000000000009</c:v>
                </c:pt>
                <c:pt idx="7">
                  <c:v>8000</c:v>
                </c:pt>
                <c:pt idx="8">
                  <c:v>9000</c:v>
                </c:pt>
                <c:pt idx="9">
                  <c:v>10000</c:v>
                </c:pt>
                <c:pt idx="10">
                  <c:v>11000</c:v>
                </c:pt>
                <c:pt idx="11">
                  <c:v>12000</c:v>
                </c:pt>
                <c:pt idx="12">
                  <c:v>13000</c:v>
                </c:pt>
                <c:pt idx="13">
                  <c:v>14000.000000000002</c:v>
                </c:pt>
                <c:pt idx="14">
                  <c:v>15000</c:v>
                </c:pt>
                <c:pt idx="15">
                  <c:v>16000</c:v>
                </c:pt>
                <c:pt idx="16">
                  <c:v>17000</c:v>
                </c:pt>
                <c:pt idx="17">
                  <c:v>18000</c:v>
                </c:pt>
                <c:pt idx="18">
                  <c:v>19000</c:v>
                </c:pt>
                <c:pt idx="19">
                  <c:v>20000</c:v>
                </c:pt>
                <c:pt idx="20">
                  <c:v>21000</c:v>
                </c:pt>
                <c:pt idx="21">
                  <c:v>22000</c:v>
                </c:pt>
                <c:pt idx="22">
                  <c:v>23000</c:v>
                </c:pt>
                <c:pt idx="23">
                  <c:v>24000</c:v>
                </c:pt>
                <c:pt idx="24">
                  <c:v>25000</c:v>
                </c:pt>
                <c:pt idx="25">
                  <c:v>26000</c:v>
                </c:pt>
                <c:pt idx="26">
                  <c:v>27000</c:v>
                </c:pt>
                <c:pt idx="27">
                  <c:v>28000.000000000004</c:v>
                </c:pt>
                <c:pt idx="28">
                  <c:v>28999.999999999996</c:v>
                </c:pt>
                <c:pt idx="29">
                  <c:v>30000</c:v>
                </c:pt>
                <c:pt idx="30">
                  <c:v>31000</c:v>
                </c:pt>
                <c:pt idx="31">
                  <c:v>32000</c:v>
                </c:pt>
                <c:pt idx="32">
                  <c:v>33000</c:v>
                </c:pt>
                <c:pt idx="33">
                  <c:v>34000</c:v>
                </c:pt>
                <c:pt idx="34">
                  <c:v>35000</c:v>
                </c:pt>
                <c:pt idx="35">
                  <c:v>36000</c:v>
                </c:pt>
                <c:pt idx="36">
                  <c:v>37000</c:v>
                </c:pt>
                <c:pt idx="37">
                  <c:v>38000</c:v>
                </c:pt>
                <c:pt idx="38">
                  <c:v>39000</c:v>
                </c:pt>
                <c:pt idx="39">
                  <c:v>40000</c:v>
                </c:pt>
                <c:pt idx="40">
                  <c:v>41000</c:v>
                </c:pt>
                <c:pt idx="41">
                  <c:v>42000</c:v>
                </c:pt>
                <c:pt idx="42">
                  <c:v>43000</c:v>
                </c:pt>
                <c:pt idx="43">
                  <c:v>44000</c:v>
                </c:pt>
                <c:pt idx="44">
                  <c:v>45000</c:v>
                </c:pt>
                <c:pt idx="45">
                  <c:v>46000</c:v>
                </c:pt>
                <c:pt idx="46">
                  <c:v>47000</c:v>
                </c:pt>
                <c:pt idx="47">
                  <c:v>48000</c:v>
                </c:pt>
                <c:pt idx="48">
                  <c:v>49000</c:v>
                </c:pt>
                <c:pt idx="49">
                  <c:v>50000</c:v>
                </c:pt>
                <c:pt idx="50">
                  <c:v>51000</c:v>
                </c:pt>
                <c:pt idx="51">
                  <c:v>52000</c:v>
                </c:pt>
                <c:pt idx="52">
                  <c:v>53000</c:v>
                </c:pt>
                <c:pt idx="53">
                  <c:v>54000</c:v>
                </c:pt>
                <c:pt idx="54">
                  <c:v>55000.000000000007</c:v>
                </c:pt>
                <c:pt idx="55">
                  <c:v>56000.000000000007</c:v>
                </c:pt>
                <c:pt idx="56">
                  <c:v>56999.999999999993</c:v>
                </c:pt>
                <c:pt idx="57">
                  <c:v>57999.999999999993</c:v>
                </c:pt>
                <c:pt idx="58">
                  <c:v>59000</c:v>
                </c:pt>
                <c:pt idx="59">
                  <c:v>60000</c:v>
                </c:pt>
                <c:pt idx="60">
                  <c:v>61000</c:v>
                </c:pt>
                <c:pt idx="61">
                  <c:v>62000</c:v>
                </c:pt>
                <c:pt idx="62">
                  <c:v>63000</c:v>
                </c:pt>
                <c:pt idx="63">
                  <c:v>64000</c:v>
                </c:pt>
                <c:pt idx="64">
                  <c:v>65000</c:v>
                </c:pt>
                <c:pt idx="65">
                  <c:v>66000</c:v>
                </c:pt>
                <c:pt idx="66">
                  <c:v>67000</c:v>
                </c:pt>
                <c:pt idx="67">
                  <c:v>68000</c:v>
                </c:pt>
                <c:pt idx="68">
                  <c:v>69000</c:v>
                </c:pt>
                <c:pt idx="69">
                  <c:v>70000</c:v>
                </c:pt>
                <c:pt idx="70">
                  <c:v>71000</c:v>
                </c:pt>
                <c:pt idx="71">
                  <c:v>72000</c:v>
                </c:pt>
                <c:pt idx="72">
                  <c:v>73000</c:v>
                </c:pt>
                <c:pt idx="73">
                  <c:v>74000</c:v>
                </c:pt>
                <c:pt idx="74">
                  <c:v>75000</c:v>
                </c:pt>
                <c:pt idx="75">
                  <c:v>76000</c:v>
                </c:pt>
                <c:pt idx="76">
                  <c:v>77000</c:v>
                </c:pt>
                <c:pt idx="77">
                  <c:v>78000</c:v>
                </c:pt>
                <c:pt idx="78">
                  <c:v>79000</c:v>
                </c:pt>
                <c:pt idx="79">
                  <c:v>80000</c:v>
                </c:pt>
                <c:pt idx="80">
                  <c:v>81000</c:v>
                </c:pt>
                <c:pt idx="81">
                  <c:v>82000</c:v>
                </c:pt>
                <c:pt idx="82">
                  <c:v>83000</c:v>
                </c:pt>
                <c:pt idx="83">
                  <c:v>84000</c:v>
                </c:pt>
                <c:pt idx="84">
                  <c:v>85000</c:v>
                </c:pt>
                <c:pt idx="85">
                  <c:v>86000</c:v>
                </c:pt>
                <c:pt idx="86">
                  <c:v>87000</c:v>
                </c:pt>
                <c:pt idx="87">
                  <c:v>88000</c:v>
                </c:pt>
                <c:pt idx="88">
                  <c:v>89000</c:v>
                </c:pt>
                <c:pt idx="89">
                  <c:v>90000</c:v>
                </c:pt>
                <c:pt idx="90">
                  <c:v>91000</c:v>
                </c:pt>
                <c:pt idx="91">
                  <c:v>92000</c:v>
                </c:pt>
                <c:pt idx="92">
                  <c:v>93000</c:v>
                </c:pt>
                <c:pt idx="93">
                  <c:v>94000</c:v>
                </c:pt>
                <c:pt idx="94">
                  <c:v>95000</c:v>
                </c:pt>
                <c:pt idx="95">
                  <c:v>96000</c:v>
                </c:pt>
                <c:pt idx="96">
                  <c:v>97000</c:v>
                </c:pt>
                <c:pt idx="97">
                  <c:v>98000</c:v>
                </c:pt>
                <c:pt idx="98">
                  <c:v>99000</c:v>
                </c:pt>
                <c:pt idx="99">
                  <c:v>100000</c:v>
                </c:pt>
              </c:numCache>
            </c:numRef>
          </c:xVal>
          <c:yVal>
            <c:numRef>
              <c:f>'Voltage Loop'!$O$2:$O$101</c:f>
              <c:numCache>
                <c:formatCode>General</c:formatCode>
                <c:ptCount val="100"/>
                <c:pt idx="0">
                  <c:v>18.582654758160459</c:v>
                </c:pt>
                <c:pt idx="1">
                  <c:v>72.5641092151659</c:v>
                </c:pt>
                <c:pt idx="2">
                  <c:v>83.960672346212149</c:v>
                </c:pt>
                <c:pt idx="3">
                  <c:v>85.111435212986549</c:v>
                </c:pt>
                <c:pt idx="4">
                  <c:v>85.456489115294247</c:v>
                </c:pt>
                <c:pt idx="5">
                  <c:v>85.306248873415754</c:v>
                </c:pt>
                <c:pt idx="6">
                  <c:v>84.81491736714807</c:v>
                </c:pt>
                <c:pt idx="7">
                  <c:v>84.076616738424747</c:v>
                </c:pt>
                <c:pt idx="8">
                  <c:v>83.155250254426605</c:v>
                </c:pt>
                <c:pt idx="9">
                  <c:v>82.096101638615337</c:v>
                </c:pt>
                <c:pt idx="10">
                  <c:v>80.931592741560138</c:v>
                </c:pt>
                <c:pt idx="11">
                  <c:v>79.684822350779967</c:v>
                </c:pt>
                <c:pt idx="12">
                  <c:v>78.372032646920331</c:v>
                </c:pt>
                <c:pt idx="13">
                  <c:v>77.004417712065575</c:v>
                </c:pt>
                <c:pt idx="14">
                  <c:v>75.589466363107235</c:v>
                </c:pt>
                <c:pt idx="15">
                  <c:v>74.131957887316858</c:v>
                </c:pt>
                <c:pt idx="16">
                  <c:v>72.634697379673341</c:v>
                </c:pt>
                <c:pt idx="17">
                  <c:v>71.099057498297597</c:v>
                </c:pt>
                <c:pt idx="18">
                  <c:v>69.525378108802499</c:v>
                </c:pt>
                <c:pt idx="19">
                  <c:v>67.9132628871197</c:v>
                </c:pt>
                <c:pt idx="20">
                  <c:v>66.26180209603514</c:v>
                </c:pt>
                <c:pt idx="21">
                  <c:v>64.569743131447169</c:v>
                </c:pt>
                <c:pt idx="22">
                  <c:v>62.835624673992314</c:v>
                </c:pt>
                <c:pt idx="23">
                  <c:v>61.057885987408397</c:v>
                </c:pt>
                <c:pt idx="24">
                  <c:v>59.234959718382896</c:v>
                </c:pt>
                <c:pt idx="25">
                  <c:v>57.365354173993694</c:v>
                </c:pt>
                <c:pt idx="26">
                  <c:v>55.447729245011047</c:v>
                </c:pt>
                <c:pt idx="27">
                  <c:v>53.480968725930055</c:v>
                </c:pt>
                <c:pt idx="28">
                  <c:v>51.464250623291491</c:v>
                </c:pt>
                <c:pt idx="29">
                  <c:v>49.397116050331817</c:v>
                </c:pt>
                <c:pt idx="30">
                  <c:v>47.279536419811734</c:v>
                </c:pt>
                <c:pt idx="31">
                  <c:v>45.111977839311777</c:v>
                </c:pt>
                <c:pt idx="32">
                  <c:v>42.895460882461833</c:v>
                </c:pt>
                <c:pt idx="33">
                  <c:v>40.631613277777745</c:v>
                </c:pt>
                <c:pt idx="34">
                  <c:v>38.322712566860787</c:v>
                </c:pt>
                <c:pt idx="35">
                  <c:v>35.971715493132479</c:v>
                </c:pt>
                <c:pt idx="36">
                  <c:v>33.582270854198242</c:v>
                </c:pt>
                <c:pt idx="37">
                  <c:v>31.158712841971322</c:v>
                </c:pt>
                <c:pt idx="38">
                  <c:v>28.706032540412849</c:v>
                </c:pt>
                <c:pt idx="39">
                  <c:v>26.229826250954659</c:v>
                </c:pt>
                <c:pt idx="40">
                  <c:v>23.736220622857473</c:v>
                </c:pt>
                <c:pt idx="41">
                  <c:v>21.231776080457621</c:v>
                </c:pt>
                <c:pt idx="42">
                  <c:v>18.723371615370439</c:v>
                </c:pt>
                <c:pt idx="43">
                  <c:v>16.218075473030353</c:v>
                </c:pt>
                <c:pt idx="44">
                  <c:v>13.723007429182957</c:v>
                </c:pt>
                <c:pt idx="45">
                  <c:v>11.245199069407761</c:v>
                </c:pt>
                <c:pt idx="46">
                  <c:v>8.7914586548870659</c:v>
                </c:pt>
                <c:pt idx="47">
                  <c:v>6.3682467561363865</c:v>
                </c:pt>
                <c:pt idx="48">
                  <c:v>3.9815679180133543</c:v>
                </c:pt>
                <c:pt idx="49">
                  <c:v>1.6368823068569327</c:v>
                </c:pt>
                <c:pt idx="50">
                  <c:v>-0.66096024865595382</c:v>
                </c:pt>
                <c:pt idx="51">
                  <c:v>-2.9077629960825107</c:v>
                </c:pt>
                <c:pt idx="52">
                  <c:v>-5.1000024148052034</c:v>
                </c:pt>
                <c:pt idx="53">
                  <c:v>-7.2348276429572707</c:v>
                </c:pt>
                <c:pt idx="54">
                  <c:v>-9.31004192222656</c:v>
                </c:pt>
                <c:pt idx="55">
                  <c:v>-11.324069349895808</c:v>
                </c:pt>
                <c:pt idx="56">
                  <c:v>-13.275910440358302</c:v>
                </c:pt>
                <c:pt idx="57">
                  <c:v>-15.165089932304681</c:v>
                </c:pt>
                <c:pt idx="58">
                  <c:v>-16.991600000973222</c:v>
                </c:pt>
                <c:pt idx="59">
                  <c:v>-18.755841619658099</c:v>
                </c:pt>
                <c:pt idx="60">
                  <c:v>-20.45856632778424</c:v>
                </c:pt>
                <c:pt idx="61">
                  <c:v>-22.100820159405316</c:v>
                </c:pt>
                <c:pt idx="62">
                  <c:v>-23.68389100680065</c:v>
                </c:pt>
                <c:pt idx="63">
                  <c:v>-25.209260265699868</c:v>
                </c:pt>
                <c:pt idx="64">
                  <c:v>-26.678559245980068</c:v>
                </c:pt>
                <c:pt idx="65">
                  <c:v>-28.093530539152255</c:v>
                </c:pt>
                <c:pt idx="66">
                  <c:v>-29.455994309441962</c:v>
                </c:pt>
                <c:pt idx="67">
                  <c:v>-30.767819312174481</c:v>
                </c:pt>
                <c:pt idx="68">
                  <c:v>-32.030898332717243</c:v>
                </c:pt>
                <c:pt idx="69">
                  <c:v>-33.247127671769874</c:v>
                </c:pt>
                <c:pt idx="70">
                  <c:v>-34.418390269042447</c:v>
                </c:pt>
                <c:pt idx="71">
                  <c:v>-35.546542048915398</c:v>
                </c:pt>
                <c:pt idx="72">
                  <c:v>-36.633401081307397</c:v>
                </c:pt>
                <c:pt idx="73">
                  <c:v>-37.680739172846359</c:v>
                </c:pt>
                <c:pt idx="74">
                  <c:v>-38.690275532819669</c:v>
                </c:pt>
                <c:pt idx="75">
                  <c:v>-39.663672191801652</c:v>
                </c:pt>
                <c:pt idx="76">
                  <c:v>-40.602530885677254</c:v>
                </c:pt>
                <c:pt idx="77">
                  <c:v>-41.508391152208219</c:v>
                </c:pt>
                <c:pt idx="78">
                  <c:v>-42.382729420104965</c:v>
                </c:pt>
                <c:pt idx="79">
                  <c:v>-43.226958901001694</c:v>
                </c:pt>
                <c:pt idx="80">
                  <c:v>-44.042430122446717</c:v>
                </c:pt>
                <c:pt idx="81">
                  <c:v>-44.830431964772856</c:v>
                </c:pt>
                <c:pt idx="82">
                  <c:v>-45.59219308661136</c:v>
                </c:pt>
                <c:pt idx="83">
                  <c:v>-46.328883642899655</c:v>
                </c:pt>
                <c:pt idx="84">
                  <c:v>-47.041617215785209</c:v>
                </c:pt>
                <c:pt idx="85">
                  <c:v>-47.7314528929993</c:v>
                </c:pt>
                <c:pt idx="86">
                  <c:v>-48.399397440371047</c:v>
                </c:pt>
                <c:pt idx="87">
                  <c:v>-49.046407525385462</c:v>
                </c:pt>
                <c:pt idx="88">
                  <c:v>-49.673391957295507</c:v>
                </c:pt>
                <c:pt idx="89">
                  <c:v>-50.281213916509273</c:v>
                </c:pt>
                <c:pt idx="90">
                  <c:v>-50.870693151964758</c:v>
                </c:pt>
                <c:pt idx="91">
                  <c:v>-51.44260813017263</c:v>
                </c:pt>
                <c:pt idx="92">
                  <c:v>-51.997698123689702</c:v>
                </c:pt>
                <c:pt idx="93">
                  <c:v>-52.536665230127994</c:v>
                </c:pt>
                <c:pt idx="94">
                  <c:v>-53.060176315533226</c:v>
                </c:pt>
                <c:pt idx="95">
                  <c:v>-53.568864878153022</c:v>
                </c:pt>
                <c:pt idx="96">
                  <c:v>-54.063332830383899</c:v>
                </c:pt>
                <c:pt idx="97">
                  <c:v>-54.544152198084646</c:v>
                </c:pt>
                <c:pt idx="98">
                  <c:v>-55.011866737544665</c:v>
                </c:pt>
                <c:pt idx="99">
                  <c:v>-55.466993471245814</c:v>
                </c:pt>
              </c:numCache>
            </c:numRef>
          </c:yVal>
          <c:smooth val="0"/>
          <c:extLst>
            <c:ext xmlns:c16="http://schemas.microsoft.com/office/drawing/2014/chart" uri="{C3380CC4-5D6E-409C-BE32-E72D297353CC}">
              <c16:uniqueId val="{00000001-DD8C-4A46-9E2F-53DC836CF80D}"/>
            </c:ext>
          </c:extLst>
        </c:ser>
        <c:dLbls>
          <c:showLegendKey val="0"/>
          <c:showVal val="0"/>
          <c:showCatName val="0"/>
          <c:showSerName val="0"/>
          <c:showPercent val="0"/>
          <c:showBubbleSize val="0"/>
        </c:dLbls>
        <c:axId val="3"/>
        <c:axId val="4"/>
      </c:scatterChart>
      <c:valAx>
        <c:axId val="507584992"/>
        <c:scaling>
          <c:logBase val="10"/>
          <c:orientation val="minMax"/>
          <c:min val="10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00" b="1" i="0" u="none" strike="noStrike" baseline="0">
                    <a:solidFill>
                      <a:srgbClr val="000000"/>
                    </a:solidFill>
                    <a:latin typeface="Arial"/>
                    <a:ea typeface="Arial"/>
                    <a:cs typeface="Arial"/>
                  </a:defRPr>
                </a:pPr>
                <a:r>
                  <a:rPr lang="en-US"/>
                  <a:t>Frequency in Hz</a:t>
                </a:r>
              </a:p>
            </c:rich>
          </c:tx>
          <c:layout>
            <c:manualLayout>
              <c:xMode val="edge"/>
              <c:yMode val="edge"/>
              <c:x val="0.41506875499258244"/>
              <c:y val="0.926097824220570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1"/>
        <c:crossesAt val="-80"/>
        <c:crossBetween val="midCat"/>
      </c:valAx>
      <c:valAx>
        <c:axId val="1"/>
        <c:scaling>
          <c:orientation val="minMax"/>
          <c:max val="80"/>
          <c:min val="-80"/>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en-US"/>
                  <a:t>Gain in dB</a:t>
                </a:r>
              </a:p>
            </c:rich>
          </c:tx>
          <c:layout>
            <c:manualLayout>
              <c:xMode val="edge"/>
              <c:yMode val="edge"/>
              <c:x val="1.6438434326144013E-2"/>
              <c:y val="0.392610199426006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507584992"/>
        <c:crosses val="autoZero"/>
        <c:crossBetween val="midCat"/>
      </c:valAx>
      <c:valAx>
        <c:axId val="3"/>
        <c:scaling>
          <c:logBase val="10"/>
          <c:orientation val="minMax"/>
        </c:scaling>
        <c:delete val="1"/>
        <c:axPos val="b"/>
        <c:numFmt formatCode="General" sourceLinked="1"/>
        <c:majorTickMark val="out"/>
        <c:minorTickMark val="none"/>
        <c:tickLblPos val="nextTo"/>
        <c:crossAx val="4"/>
        <c:crosses val="autoZero"/>
        <c:crossBetween val="midCat"/>
      </c:valAx>
      <c:valAx>
        <c:axId val="4"/>
        <c:scaling>
          <c:orientation val="minMax"/>
          <c:max val="180"/>
          <c:min val="-180"/>
        </c:scaling>
        <c:delete val="0"/>
        <c:axPos val="r"/>
        <c:title>
          <c:tx>
            <c:rich>
              <a:bodyPr/>
              <a:lstStyle/>
              <a:p>
                <a:pPr>
                  <a:defRPr sz="1050" b="1" i="0" u="none" strike="noStrike" baseline="0">
                    <a:solidFill>
                      <a:srgbClr val="000000"/>
                    </a:solidFill>
                    <a:latin typeface="Arial"/>
                    <a:ea typeface="Arial"/>
                    <a:cs typeface="Arial"/>
                  </a:defRPr>
                </a:pPr>
                <a:r>
                  <a:rPr lang="en-US"/>
                  <a:t>Phase in Degrees</a:t>
                </a:r>
              </a:p>
            </c:rich>
          </c:tx>
          <c:layout>
            <c:manualLayout>
              <c:xMode val="edge"/>
              <c:yMode val="edge"/>
              <c:x val="0.94794576629008331"/>
              <c:y val="0.3348735496847941"/>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3"/>
        <c:crosses val="max"/>
        <c:crossBetween val="midCat"/>
        <c:majorUnit val="45"/>
      </c:valAx>
      <c:spPr>
        <a:solidFill>
          <a:srgbClr val="FFFFFF"/>
        </a:solidFill>
        <a:ln w="12700">
          <a:solidFill>
            <a:srgbClr val="808080"/>
          </a:solidFill>
          <a:prstDash val="solid"/>
        </a:ln>
      </c:spPr>
    </c:plotArea>
    <c:legend>
      <c:legendPos val="r"/>
      <c:layout>
        <c:manualLayout>
          <c:xMode val="edge"/>
          <c:yMode val="edge"/>
          <c:x val="0.13547914881563894"/>
          <c:y val="0.70303894083732177"/>
          <c:w val="0.13408245655980763"/>
          <c:h val="0.11137250547917968"/>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Tv(f) Frequency Response</a:t>
            </a:r>
          </a:p>
        </c:rich>
      </c:tx>
      <c:layout>
        <c:manualLayout>
          <c:xMode val="edge"/>
          <c:yMode val="edge"/>
          <c:x val="0.32948960997709681"/>
          <c:y val="3.3163501621120889E-2"/>
        </c:manualLayout>
      </c:layout>
      <c:overlay val="0"/>
      <c:spPr>
        <a:noFill/>
        <a:ln w="25400">
          <a:noFill/>
        </a:ln>
      </c:spPr>
    </c:title>
    <c:autoTitleDeleted val="0"/>
    <c:plotArea>
      <c:layout>
        <c:manualLayout>
          <c:layoutTarget val="inner"/>
          <c:xMode val="edge"/>
          <c:yMode val="edge"/>
          <c:x val="0.10708410590965584"/>
          <c:y val="0.11734693877551021"/>
          <c:w val="0.79406983151467858"/>
          <c:h val="0.73979591836734693"/>
        </c:manualLayout>
      </c:layout>
      <c:scatterChart>
        <c:scatterStyle val="smoothMarker"/>
        <c:varyColors val="0"/>
        <c:ser>
          <c:idx val="0"/>
          <c:order val="0"/>
          <c:tx>
            <c:strRef>
              <c:f>'Voltage Loop'!$M$1</c:f>
              <c:strCache>
                <c:ptCount val="1"/>
                <c:pt idx="0">
                  <c:v>TvdB(f)</c:v>
                </c:pt>
              </c:strCache>
            </c:strRef>
          </c:tx>
          <c:spPr>
            <a:ln w="25400">
              <a:solidFill>
                <a:srgbClr val="000000"/>
              </a:solidFill>
              <a:prstDash val="solid"/>
            </a:ln>
          </c:spPr>
          <c:marker>
            <c:symbol val="none"/>
          </c:marker>
          <c:xVal>
            <c:numRef>
              <c:f>'Voltage Loop'!$B$2:$B$101</c:f>
              <c:numCache>
                <c:formatCode>General</c:formatCode>
                <c:ptCount val="100"/>
                <c:pt idx="0">
                  <c:v>100</c:v>
                </c:pt>
                <c:pt idx="1">
                  <c:v>1000</c:v>
                </c:pt>
                <c:pt idx="2">
                  <c:v>3000</c:v>
                </c:pt>
                <c:pt idx="3">
                  <c:v>4000</c:v>
                </c:pt>
                <c:pt idx="4">
                  <c:v>5000</c:v>
                </c:pt>
                <c:pt idx="5">
                  <c:v>6000</c:v>
                </c:pt>
                <c:pt idx="6">
                  <c:v>7000.0000000000009</c:v>
                </c:pt>
                <c:pt idx="7">
                  <c:v>8000</c:v>
                </c:pt>
                <c:pt idx="8">
                  <c:v>9000</c:v>
                </c:pt>
                <c:pt idx="9">
                  <c:v>10000</c:v>
                </c:pt>
                <c:pt idx="10">
                  <c:v>11000</c:v>
                </c:pt>
                <c:pt idx="11">
                  <c:v>12000</c:v>
                </c:pt>
                <c:pt idx="12">
                  <c:v>13000</c:v>
                </c:pt>
                <c:pt idx="13">
                  <c:v>14000.000000000002</c:v>
                </c:pt>
                <c:pt idx="14">
                  <c:v>15000</c:v>
                </c:pt>
                <c:pt idx="15">
                  <c:v>16000</c:v>
                </c:pt>
                <c:pt idx="16">
                  <c:v>17000</c:v>
                </c:pt>
                <c:pt idx="17">
                  <c:v>18000</c:v>
                </c:pt>
                <c:pt idx="18">
                  <c:v>19000</c:v>
                </c:pt>
                <c:pt idx="19">
                  <c:v>20000</c:v>
                </c:pt>
                <c:pt idx="20">
                  <c:v>21000</c:v>
                </c:pt>
                <c:pt idx="21">
                  <c:v>22000</c:v>
                </c:pt>
                <c:pt idx="22">
                  <c:v>23000</c:v>
                </c:pt>
                <c:pt idx="23">
                  <c:v>24000</c:v>
                </c:pt>
                <c:pt idx="24">
                  <c:v>25000</c:v>
                </c:pt>
                <c:pt idx="25">
                  <c:v>26000</c:v>
                </c:pt>
                <c:pt idx="26">
                  <c:v>27000</c:v>
                </c:pt>
                <c:pt idx="27">
                  <c:v>28000.000000000004</c:v>
                </c:pt>
                <c:pt idx="28">
                  <c:v>28999.999999999996</c:v>
                </c:pt>
                <c:pt idx="29">
                  <c:v>30000</c:v>
                </c:pt>
                <c:pt idx="30">
                  <c:v>31000</c:v>
                </c:pt>
                <c:pt idx="31">
                  <c:v>32000</c:v>
                </c:pt>
                <c:pt idx="32">
                  <c:v>33000</c:v>
                </c:pt>
                <c:pt idx="33">
                  <c:v>34000</c:v>
                </c:pt>
                <c:pt idx="34">
                  <c:v>35000</c:v>
                </c:pt>
                <c:pt idx="35">
                  <c:v>36000</c:v>
                </c:pt>
                <c:pt idx="36">
                  <c:v>37000</c:v>
                </c:pt>
                <c:pt idx="37">
                  <c:v>38000</c:v>
                </c:pt>
                <c:pt idx="38">
                  <c:v>39000</c:v>
                </c:pt>
                <c:pt idx="39">
                  <c:v>40000</c:v>
                </c:pt>
                <c:pt idx="40">
                  <c:v>41000</c:v>
                </c:pt>
                <c:pt idx="41">
                  <c:v>42000</c:v>
                </c:pt>
                <c:pt idx="42">
                  <c:v>43000</c:v>
                </c:pt>
                <c:pt idx="43">
                  <c:v>44000</c:v>
                </c:pt>
                <c:pt idx="44">
                  <c:v>45000</c:v>
                </c:pt>
                <c:pt idx="45">
                  <c:v>46000</c:v>
                </c:pt>
                <c:pt idx="46">
                  <c:v>47000</c:v>
                </c:pt>
                <c:pt idx="47">
                  <c:v>48000</c:v>
                </c:pt>
                <c:pt idx="48">
                  <c:v>49000</c:v>
                </c:pt>
                <c:pt idx="49">
                  <c:v>50000</c:v>
                </c:pt>
                <c:pt idx="50">
                  <c:v>51000</c:v>
                </c:pt>
                <c:pt idx="51">
                  <c:v>52000</c:v>
                </c:pt>
                <c:pt idx="52">
                  <c:v>53000</c:v>
                </c:pt>
                <c:pt idx="53">
                  <c:v>54000</c:v>
                </c:pt>
                <c:pt idx="54">
                  <c:v>55000.000000000007</c:v>
                </c:pt>
                <c:pt idx="55">
                  <c:v>56000.000000000007</c:v>
                </c:pt>
                <c:pt idx="56">
                  <c:v>56999.999999999993</c:v>
                </c:pt>
                <c:pt idx="57">
                  <c:v>57999.999999999993</c:v>
                </c:pt>
                <c:pt idx="58">
                  <c:v>59000</c:v>
                </c:pt>
                <c:pt idx="59">
                  <c:v>60000</c:v>
                </c:pt>
                <c:pt idx="60">
                  <c:v>61000</c:v>
                </c:pt>
                <c:pt idx="61">
                  <c:v>62000</c:v>
                </c:pt>
                <c:pt idx="62">
                  <c:v>63000</c:v>
                </c:pt>
                <c:pt idx="63">
                  <c:v>64000</c:v>
                </c:pt>
                <c:pt idx="64">
                  <c:v>65000</c:v>
                </c:pt>
                <c:pt idx="65">
                  <c:v>66000</c:v>
                </c:pt>
                <c:pt idx="66">
                  <c:v>67000</c:v>
                </c:pt>
                <c:pt idx="67">
                  <c:v>68000</c:v>
                </c:pt>
                <c:pt idx="68">
                  <c:v>69000</c:v>
                </c:pt>
                <c:pt idx="69">
                  <c:v>70000</c:v>
                </c:pt>
                <c:pt idx="70">
                  <c:v>71000</c:v>
                </c:pt>
                <c:pt idx="71">
                  <c:v>72000</c:v>
                </c:pt>
                <c:pt idx="72">
                  <c:v>73000</c:v>
                </c:pt>
                <c:pt idx="73">
                  <c:v>74000</c:v>
                </c:pt>
                <c:pt idx="74">
                  <c:v>75000</c:v>
                </c:pt>
                <c:pt idx="75">
                  <c:v>76000</c:v>
                </c:pt>
                <c:pt idx="76">
                  <c:v>77000</c:v>
                </c:pt>
                <c:pt idx="77">
                  <c:v>78000</c:v>
                </c:pt>
                <c:pt idx="78">
                  <c:v>79000</c:v>
                </c:pt>
                <c:pt idx="79">
                  <c:v>80000</c:v>
                </c:pt>
                <c:pt idx="80">
                  <c:v>81000</c:v>
                </c:pt>
                <c:pt idx="81">
                  <c:v>82000</c:v>
                </c:pt>
                <c:pt idx="82">
                  <c:v>83000</c:v>
                </c:pt>
                <c:pt idx="83">
                  <c:v>84000</c:v>
                </c:pt>
                <c:pt idx="84">
                  <c:v>85000</c:v>
                </c:pt>
                <c:pt idx="85">
                  <c:v>86000</c:v>
                </c:pt>
                <c:pt idx="86">
                  <c:v>87000</c:v>
                </c:pt>
                <c:pt idx="87">
                  <c:v>88000</c:v>
                </c:pt>
                <c:pt idx="88">
                  <c:v>89000</c:v>
                </c:pt>
                <c:pt idx="89">
                  <c:v>90000</c:v>
                </c:pt>
                <c:pt idx="90">
                  <c:v>91000</c:v>
                </c:pt>
                <c:pt idx="91">
                  <c:v>92000</c:v>
                </c:pt>
                <c:pt idx="92">
                  <c:v>93000</c:v>
                </c:pt>
                <c:pt idx="93">
                  <c:v>94000</c:v>
                </c:pt>
                <c:pt idx="94">
                  <c:v>95000</c:v>
                </c:pt>
                <c:pt idx="95">
                  <c:v>96000</c:v>
                </c:pt>
                <c:pt idx="96">
                  <c:v>97000</c:v>
                </c:pt>
                <c:pt idx="97">
                  <c:v>98000</c:v>
                </c:pt>
                <c:pt idx="98">
                  <c:v>99000</c:v>
                </c:pt>
                <c:pt idx="99">
                  <c:v>100000</c:v>
                </c:pt>
              </c:numCache>
            </c:numRef>
          </c:xVal>
          <c:yVal>
            <c:numRef>
              <c:f>'Voltage Loop'!$M$2:$M$101</c:f>
              <c:numCache>
                <c:formatCode>General</c:formatCode>
                <c:ptCount val="100"/>
                <c:pt idx="0">
                  <c:v>26.496234926190816</c:v>
                </c:pt>
                <c:pt idx="1">
                  <c:v>-3.5260408684492783</c:v>
                </c:pt>
                <c:pt idx="2">
                  <c:v>-13.272782987859063</c:v>
                </c:pt>
                <c:pt idx="3">
                  <c:v>-15.668202784774738</c:v>
                </c:pt>
                <c:pt idx="4">
                  <c:v>-17.478136176857689</c:v>
                </c:pt>
                <c:pt idx="5">
                  <c:v>-18.924123403137049</c:v>
                </c:pt>
                <c:pt idx="6">
                  <c:v>-20.124556438118265</c:v>
                </c:pt>
                <c:pt idx="7">
                  <c:v>-21.149762371664373</c:v>
                </c:pt>
                <c:pt idx="8">
                  <c:v>-22.044392925804605</c:v>
                </c:pt>
                <c:pt idx="9">
                  <c:v>-22.838169667924014</c:v>
                </c:pt>
                <c:pt idx="10">
                  <c:v>-23.551637177452175</c:v>
                </c:pt>
                <c:pt idx="11">
                  <c:v>-24.199472781758825</c:v>
                </c:pt>
                <c:pt idx="12">
                  <c:v>-24.792484853522193</c:v>
                </c:pt>
                <c:pt idx="13">
                  <c:v>-25.338862088661912</c:v>
                </c:pt>
                <c:pt idx="14">
                  <c:v>-25.844976495726712</c:v>
                </c:pt>
                <c:pt idx="15">
                  <c:v>-26.315912229596741</c:v>
                </c:pt>
                <c:pt idx="16">
                  <c:v>-26.755821902494795</c:v>
                </c:pt>
                <c:pt idx="17">
                  <c:v>-27.168172040319575</c:v>
                </c:pt>
                <c:pt idx="18">
                  <c:v>-27.555915914160384</c:v>
                </c:pt>
                <c:pt idx="19">
                  <c:v>-27.921617883532615</c:v>
                </c:pt>
                <c:pt idx="20">
                  <c:v>-28.267544741823819</c:v>
                </c:pt>
                <c:pt idx="21">
                  <c:v>-28.595734155488888</c:v>
                </c:pt>
                <c:pt idx="22">
                  <c:v>-28.908046859992666</c:v>
                </c:pt>
                <c:pt idx="23">
                  <c:v>-29.206207061262166</c:v>
                </c:pt>
                <c:pt idx="24">
                  <c:v>-29.491834036544219</c:v>
                </c:pt>
                <c:pt idx="25">
                  <c:v>-29.766466955718954</c:v>
                </c:pt>
                <c:pt idx="26">
                  <c:v>-30.031584282518658</c:v>
                </c:pt>
                <c:pt idx="27">
                  <c:v>-30.288618658902937</c:v>
                </c:pt>
                <c:pt idx="28">
                  <c:v>-30.538967859395704</c:v>
                </c:pt>
                <c:pt idx="29">
                  <c:v>-30.784002185103525</c:v>
                </c:pt>
                <c:pt idx="30">
                  <c:v>-31.025068525038726</c:v>
                </c:pt>
                <c:pt idx="31">
                  <c:v>-31.263491230945768</c:v>
                </c:pt>
                <c:pt idx="32">
                  <c:v>-31.500569922786799</c:v>
                </c:pt>
                <c:pt idx="33">
                  <c:v>-31.737574360103189</c:v>
                </c:pt>
                <c:pt idx="34">
                  <c:v>-31.975736574960059</c:v>
                </c:pt>
                <c:pt idx="35">
                  <c:v>-32.216240559029771</c:v>
                </c:pt>
                <c:pt idx="36">
                  <c:v>-32.4602099216063</c:v>
                </c:pt>
                <c:pt idx="37">
                  <c:v>-32.708694074110284</c:v>
                </c:pt>
                <c:pt idx="38">
                  <c:v>-32.962653633210849</c:v>
                </c:pt>
                <c:pt idx="39">
                  <c:v>-33.222945849415822</c:v>
                </c:pt>
                <c:pt idx="40">
                  <c:v>-33.490310940522043</c:v>
                </c:pt>
                <c:pt idx="41">
                  <c:v>-33.76536022166335</c:v>
                </c:pt>
                <c:pt idx="42">
                  <c:v>-34.048566863706057</c:v>
                </c:pt>
                <c:pt idx="43">
                  <c:v>-34.340259976142342</c:v>
                </c:pt>
                <c:pt idx="44">
                  <c:v>-34.640622506920785</c:v>
                </c:pt>
                <c:pt idx="45">
                  <c:v>-34.949693197859148</c:v>
                </c:pt>
                <c:pt idx="46">
                  <c:v>-35.267372556716111</c:v>
                </c:pt>
                <c:pt idx="47">
                  <c:v>-35.59343253605342</c:v>
                </c:pt>
                <c:pt idx="48">
                  <c:v>-35.927529374069202</c:v>
                </c:pt>
                <c:pt idx="49">
                  <c:v>-36.269218877158529</c:v>
                </c:pt>
                <c:pt idx="50">
                  <c:v>-36.617973322221246</c:v>
                </c:pt>
                <c:pt idx="51">
                  <c:v>-36.973199131998953</c:v>
                </c:pt>
                <c:pt idx="52">
                  <c:v>-37.334254522240904</c:v>
                </c:pt>
                <c:pt idx="53">
                  <c:v>-37.700466420801845</c:v>
                </c:pt>
                <c:pt idx="54">
                  <c:v>-38.071146097154461</c:v>
                </c:pt>
                <c:pt idx="55">
                  <c:v>-38.445603096711828</c:v>
                </c:pt>
                <c:pt idx="56">
                  <c:v>-38.823157230286363</c:v>
                </c:pt>
                <c:pt idx="57">
                  <c:v>-39.203148511366912</c:v>
                </c:pt>
                <c:pt idx="58">
                  <c:v>-39.584945053708608</c:v>
                </c:pt>
                <c:pt idx="59">
                  <c:v>-39.967949034620901</c:v>
                </c:pt>
                <c:pt idx="60">
                  <c:v>-40.351600894677595</c:v>
                </c:pt>
                <c:pt idx="61">
                  <c:v>-40.735381984537788</c:v>
                </c:pt>
                <c:pt idx="62">
                  <c:v>-41.118815887979004</c:v>
                </c:pt>
                <c:pt idx="63">
                  <c:v>-41.501468651706446</c:v>
                </c:pt>
                <c:pt idx="64">
                  <c:v>-41.882948141636341</c:v>
                </c:pt>
                <c:pt idx="65">
                  <c:v>-42.262902726366164</c:v>
                </c:pt>
                <c:pt idx="66">
                  <c:v>-42.641019464944549</c:v>
                </c:pt>
                <c:pt idx="67">
                  <c:v>-43.017021950600352</c:v>
                </c:pt>
                <c:pt idx="68">
                  <c:v>-43.390667936766505</c:v>
                </c:pt>
                <c:pt idx="69">
                  <c:v>-43.761746847903844</c:v>
                </c:pt>
                <c:pt idx="70">
                  <c:v>-44.130077256084746</c:v>
                </c:pt>
                <c:pt idx="71">
                  <c:v>-44.495504385454375</c:v>
                </c:pt>
                <c:pt idx="72">
                  <c:v>-44.857897690641039</c:v>
                </c:pt>
                <c:pt idx="73">
                  <c:v>-45.217148541850889</c:v>
                </c:pt>
                <c:pt idx="74">
                  <c:v>-45.573168038540786</c:v>
                </c:pt>
                <c:pt idx="75">
                  <c:v>-45.925884964934923</c:v>
                </c:pt>
                <c:pt idx="76">
                  <c:v>-46.275243893933549</c:v>
                </c:pt>
                <c:pt idx="77">
                  <c:v>-46.621203440857208</c:v>
                </c:pt>
                <c:pt idx="78">
                  <c:v>-46.963734664692581</c:v>
                </c:pt>
                <c:pt idx="79">
                  <c:v>-47.302819611808815</c:v>
                </c:pt>
                <c:pt idx="80">
                  <c:v>-47.638449995269795</c:v>
                </c:pt>
                <c:pt idx="81">
                  <c:v>-47.970626001704616</c:v>
                </c:pt>
                <c:pt idx="82">
                  <c:v>-48.299355217040144</c:v>
                </c:pt>
                <c:pt idx="83">
                  <c:v>-48.624651662139932</c:v>
                </c:pt>
                <c:pt idx="84">
                  <c:v>-48.946534929413843</c:v>
                </c:pt>
                <c:pt idx="85">
                  <c:v>-49.265029411691003</c:v>
                </c:pt>
                <c:pt idx="86">
                  <c:v>-49.580163615015856</c:v>
                </c:pt>
                <c:pt idx="87">
                  <c:v>-49.891969547484479</c:v>
                </c:pt>
                <c:pt idx="88">
                  <c:v>-50.200482176752402</c:v>
                </c:pt>
                <c:pt idx="89">
                  <c:v>-50.505738949381289</c:v>
                </c:pt>
                <c:pt idx="90">
                  <c:v>-50.807779365736046</c:v>
                </c:pt>
                <c:pt idx="91">
                  <c:v>-51.106644604675338</c:v>
                </c:pt>
                <c:pt idx="92">
                  <c:v>-51.402377192792208</c:v>
                </c:pt>
                <c:pt idx="93">
                  <c:v>-51.695020713448486</c:v>
                </c:pt>
                <c:pt idx="94">
                  <c:v>-51.984619551303084</c:v>
                </c:pt>
                <c:pt idx="95">
                  <c:v>-52.271218668455113</c:v>
                </c:pt>
                <c:pt idx="96">
                  <c:v>-52.554863408718774</c:v>
                </c:pt>
                <c:pt idx="97">
                  <c:v>-52.835599326897764</c:v>
                </c:pt>
                <c:pt idx="98">
                  <c:v>-53.11347204025887</c:v>
                </c:pt>
                <c:pt idx="99">
                  <c:v>-53.388527099696631</c:v>
                </c:pt>
              </c:numCache>
            </c:numRef>
          </c:yVal>
          <c:smooth val="1"/>
          <c:extLst>
            <c:ext xmlns:c16="http://schemas.microsoft.com/office/drawing/2014/chart" uri="{C3380CC4-5D6E-409C-BE32-E72D297353CC}">
              <c16:uniqueId val="{00000000-8A5E-4502-B1A0-DC91060BAB8A}"/>
            </c:ext>
          </c:extLst>
        </c:ser>
        <c:dLbls>
          <c:showLegendKey val="0"/>
          <c:showVal val="0"/>
          <c:showCatName val="0"/>
          <c:showSerName val="0"/>
          <c:showPercent val="0"/>
          <c:showBubbleSize val="0"/>
        </c:dLbls>
        <c:axId val="507661520"/>
        <c:axId val="1"/>
      </c:scatterChart>
      <c:scatterChart>
        <c:scatterStyle val="lineMarker"/>
        <c:varyColors val="0"/>
        <c:ser>
          <c:idx val="2"/>
          <c:order val="1"/>
          <c:tx>
            <c:strRef>
              <c:f>'Voltage Loop'!$O$1</c:f>
              <c:strCache>
                <c:ptCount val="1"/>
                <c:pt idx="0">
                  <c:v>ӨTv(f)</c:v>
                </c:pt>
              </c:strCache>
            </c:strRef>
          </c:tx>
          <c:spPr>
            <a:ln w="25400">
              <a:solidFill>
                <a:srgbClr val="FF0000"/>
              </a:solidFill>
              <a:prstDash val="solid"/>
            </a:ln>
          </c:spPr>
          <c:marker>
            <c:symbol val="none"/>
          </c:marker>
          <c:xVal>
            <c:numRef>
              <c:f>'Voltage Loop'!$B$2:$B$101</c:f>
              <c:numCache>
                <c:formatCode>General</c:formatCode>
                <c:ptCount val="100"/>
                <c:pt idx="0">
                  <c:v>100</c:v>
                </c:pt>
                <c:pt idx="1">
                  <c:v>1000</c:v>
                </c:pt>
                <c:pt idx="2">
                  <c:v>3000</c:v>
                </c:pt>
                <c:pt idx="3">
                  <c:v>4000</c:v>
                </c:pt>
                <c:pt idx="4">
                  <c:v>5000</c:v>
                </c:pt>
                <c:pt idx="5">
                  <c:v>6000</c:v>
                </c:pt>
                <c:pt idx="6">
                  <c:v>7000.0000000000009</c:v>
                </c:pt>
                <c:pt idx="7">
                  <c:v>8000</c:v>
                </c:pt>
                <c:pt idx="8">
                  <c:v>9000</c:v>
                </c:pt>
                <c:pt idx="9">
                  <c:v>10000</c:v>
                </c:pt>
                <c:pt idx="10">
                  <c:v>11000</c:v>
                </c:pt>
                <c:pt idx="11">
                  <c:v>12000</c:v>
                </c:pt>
                <c:pt idx="12">
                  <c:v>13000</c:v>
                </c:pt>
                <c:pt idx="13">
                  <c:v>14000.000000000002</c:v>
                </c:pt>
                <c:pt idx="14">
                  <c:v>15000</c:v>
                </c:pt>
                <c:pt idx="15">
                  <c:v>16000</c:v>
                </c:pt>
                <c:pt idx="16">
                  <c:v>17000</c:v>
                </c:pt>
                <c:pt idx="17">
                  <c:v>18000</c:v>
                </c:pt>
                <c:pt idx="18">
                  <c:v>19000</c:v>
                </c:pt>
                <c:pt idx="19">
                  <c:v>20000</c:v>
                </c:pt>
                <c:pt idx="20">
                  <c:v>21000</c:v>
                </c:pt>
                <c:pt idx="21">
                  <c:v>22000</c:v>
                </c:pt>
                <c:pt idx="22">
                  <c:v>23000</c:v>
                </c:pt>
                <c:pt idx="23">
                  <c:v>24000</c:v>
                </c:pt>
                <c:pt idx="24">
                  <c:v>25000</c:v>
                </c:pt>
                <c:pt idx="25">
                  <c:v>26000</c:v>
                </c:pt>
                <c:pt idx="26">
                  <c:v>27000</c:v>
                </c:pt>
                <c:pt idx="27">
                  <c:v>28000.000000000004</c:v>
                </c:pt>
                <c:pt idx="28">
                  <c:v>28999.999999999996</c:v>
                </c:pt>
                <c:pt idx="29">
                  <c:v>30000</c:v>
                </c:pt>
                <c:pt idx="30">
                  <c:v>31000</c:v>
                </c:pt>
                <c:pt idx="31">
                  <c:v>32000</c:v>
                </c:pt>
                <c:pt idx="32">
                  <c:v>33000</c:v>
                </c:pt>
                <c:pt idx="33">
                  <c:v>34000</c:v>
                </c:pt>
                <c:pt idx="34">
                  <c:v>35000</c:v>
                </c:pt>
                <c:pt idx="35">
                  <c:v>36000</c:v>
                </c:pt>
                <c:pt idx="36">
                  <c:v>37000</c:v>
                </c:pt>
                <c:pt idx="37">
                  <c:v>38000</c:v>
                </c:pt>
                <c:pt idx="38">
                  <c:v>39000</c:v>
                </c:pt>
                <c:pt idx="39">
                  <c:v>40000</c:v>
                </c:pt>
                <c:pt idx="40">
                  <c:v>41000</c:v>
                </c:pt>
                <c:pt idx="41">
                  <c:v>42000</c:v>
                </c:pt>
                <c:pt idx="42">
                  <c:v>43000</c:v>
                </c:pt>
                <c:pt idx="43">
                  <c:v>44000</c:v>
                </c:pt>
                <c:pt idx="44">
                  <c:v>45000</c:v>
                </c:pt>
                <c:pt idx="45">
                  <c:v>46000</c:v>
                </c:pt>
                <c:pt idx="46">
                  <c:v>47000</c:v>
                </c:pt>
                <c:pt idx="47">
                  <c:v>48000</c:v>
                </c:pt>
                <c:pt idx="48">
                  <c:v>49000</c:v>
                </c:pt>
                <c:pt idx="49">
                  <c:v>50000</c:v>
                </c:pt>
                <c:pt idx="50">
                  <c:v>51000</c:v>
                </c:pt>
                <c:pt idx="51">
                  <c:v>52000</c:v>
                </c:pt>
                <c:pt idx="52">
                  <c:v>53000</c:v>
                </c:pt>
                <c:pt idx="53">
                  <c:v>54000</c:v>
                </c:pt>
                <c:pt idx="54">
                  <c:v>55000.000000000007</c:v>
                </c:pt>
                <c:pt idx="55">
                  <c:v>56000.000000000007</c:v>
                </c:pt>
                <c:pt idx="56">
                  <c:v>56999.999999999993</c:v>
                </c:pt>
                <c:pt idx="57">
                  <c:v>57999.999999999993</c:v>
                </c:pt>
                <c:pt idx="58">
                  <c:v>59000</c:v>
                </c:pt>
                <c:pt idx="59">
                  <c:v>60000</c:v>
                </c:pt>
                <c:pt idx="60">
                  <c:v>61000</c:v>
                </c:pt>
                <c:pt idx="61">
                  <c:v>62000</c:v>
                </c:pt>
                <c:pt idx="62">
                  <c:v>63000</c:v>
                </c:pt>
                <c:pt idx="63">
                  <c:v>64000</c:v>
                </c:pt>
                <c:pt idx="64">
                  <c:v>65000</c:v>
                </c:pt>
                <c:pt idx="65">
                  <c:v>66000</c:v>
                </c:pt>
                <c:pt idx="66">
                  <c:v>67000</c:v>
                </c:pt>
                <c:pt idx="67">
                  <c:v>68000</c:v>
                </c:pt>
                <c:pt idx="68">
                  <c:v>69000</c:v>
                </c:pt>
                <c:pt idx="69">
                  <c:v>70000</c:v>
                </c:pt>
                <c:pt idx="70">
                  <c:v>71000</c:v>
                </c:pt>
                <c:pt idx="71">
                  <c:v>72000</c:v>
                </c:pt>
                <c:pt idx="72">
                  <c:v>73000</c:v>
                </c:pt>
                <c:pt idx="73">
                  <c:v>74000</c:v>
                </c:pt>
                <c:pt idx="74">
                  <c:v>75000</c:v>
                </c:pt>
                <c:pt idx="75">
                  <c:v>76000</c:v>
                </c:pt>
                <c:pt idx="76">
                  <c:v>77000</c:v>
                </c:pt>
                <c:pt idx="77">
                  <c:v>78000</c:v>
                </c:pt>
                <c:pt idx="78">
                  <c:v>79000</c:v>
                </c:pt>
                <c:pt idx="79">
                  <c:v>80000</c:v>
                </c:pt>
                <c:pt idx="80">
                  <c:v>81000</c:v>
                </c:pt>
                <c:pt idx="81">
                  <c:v>82000</c:v>
                </c:pt>
                <c:pt idx="82">
                  <c:v>83000</c:v>
                </c:pt>
                <c:pt idx="83">
                  <c:v>84000</c:v>
                </c:pt>
                <c:pt idx="84">
                  <c:v>85000</c:v>
                </c:pt>
                <c:pt idx="85">
                  <c:v>86000</c:v>
                </c:pt>
                <c:pt idx="86">
                  <c:v>87000</c:v>
                </c:pt>
                <c:pt idx="87">
                  <c:v>88000</c:v>
                </c:pt>
                <c:pt idx="88">
                  <c:v>89000</c:v>
                </c:pt>
                <c:pt idx="89">
                  <c:v>90000</c:v>
                </c:pt>
                <c:pt idx="90">
                  <c:v>91000</c:v>
                </c:pt>
                <c:pt idx="91">
                  <c:v>92000</c:v>
                </c:pt>
                <c:pt idx="92">
                  <c:v>93000</c:v>
                </c:pt>
                <c:pt idx="93">
                  <c:v>94000</c:v>
                </c:pt>
                <c:pt idx="94">
                  <c:v>95000</c:v>
                </c:pt>
                <c:pt idx="95">
                  <c:v>96000</c:v>
                </c:pt>
                <c:pt idx="96">
                  <c:v>97000</c:v>
                </c:pt>
                <c:pt idx="97">
                  <c:v>98000</c:v>
                </c:pt>
                <c:pt idx="98">
                  <c:v>99000</c:v>
                </c:pt>
                <c:pt idx="99">
                  <c:v>100000</c:v>
                </c:pt>
              </c:numCache>
            </c:numRef>
          </c:xVal>
          <c:yVal>
            <c:numRef>
              <c:f>'Voltage Loop'!$O$2:$O$101</c:f>
              <c:numCache>
                <c:formatCode>General</c:formatCode>
                <c:ptCount val="100"/>
                <c:pt idx="0">
                  <c:v>18.582654758160459</c:v>
                </c:pt>
                <c:pt idx="1">
                  <c:v>72.5641092151659</c:v>
                </c:pt>
                <c:pt idx="2">
                  <c:v>83.960672346212149</c:v>
                </c:pt>
                <c:pt idx="3">
                  <c:v>85.111435212986549</c:v>
                </c:pt>
                <c:pt idx="4">
                  <c:v>85.456489115294247</c:v>
                </c:pt>
                <c:pt idx="5">
                  <c:v>85.306248873415754</c:v>
                </c:pt>
                <c:pt idx="6">
                  <c:v>84.81491736714807</c:v>
                </c:pt>
                <c:pt idx="7">
                  <c:v>84.076616738424747</c:v>
                </c:pt>
                <c:pt idx="8">
                  <c:v>83.155250254426605</c:v>
                </c:pt>
                <c:pt idx="9">
                  <c:v>82.096101638615337</c:v>
                </c:pt>
                <c:pt idx="10">
                  <c:v>80.931592741560138</c:v>
                </c:pt>
                <c:pt idx="11">
                  <c:v>79.684822350779967</c:v>
                </c:pt>
                <c:pt idx="12">
                  <c:v>78.372032646920331</c:v>
                </c:pt>
                <c:pt idx="13">
                  <c:v>77.004417712065575</c:v>
                </c:pt>
                <c:pt idx="14">
                  <c:v>75.589466363107235</c:v>
                </c:pt>
                <c:pt idx="15">
                  <c:v>74.131957887316858</c:v>
                </c:pt>
                <c:pt idx="16">
                  <c:v>72.634697379673341</c:v>
                </c:pt>
                <c:pt idx="17">
                  <c:v>71.099057498297597</c:v>
                </c:pt>
                <c:pt idx="18">
                  <c:v>69.525378108802499</c:v>
                </c:pt>
                <c:pt idx="19">
                  <c:v>67.9132628871197</c:v>
                </c:pt>
                <c:pt idx="20">
                  <c:v>66.26180209603514</c:v>
                </c:pt>
                <c:pt idx="21">
                  <c:v>64.569743131447169</c:v>
                </c:pt>
                <c:pt idx="22">
                  <c:v>62.835624673992314</c:v>
                </c:pt>
                <c:pt idx="23">
                  <c:v>61.057885987408397</c:v>
                </c:pt>
                <c:pt idx="24">
                  <c:v>59.234959718382896</c:v>
                </c:pt>
                <c:pt idx="25">
                  <c:v>57.365354173993694</c:v>
                </c:pt>
                <c:pt idx="26">
                  <c:v>55.447729245011047</c:v>
                </c:pt>
                <c:pt idx="27">
                  <c:v>53.480968725930055</c:v>
                </c:pt>
                <c:pt idx="28">
                  <c:v>51.464250623291491</c:v>
                </c:pt>
                <c:pt idx="29">
                  <c:v>49.397116050331817</c:v>
                </c:pt>
                <c:pt idx="30">
                  <c:v>47.279536419811734</c:v>
                </c:pt>
                <c:pt idx="31">
                  <c:v>45.111977839311777</c:v>
                </c:pt>
                <c:pt idx="32">
                  <c:v>42.895460882461833</c:v>
                </c:pt>
                <c:pt idx="33">
                  <c:v>40.631613277777745</c:v>
                </c:pt>
                <c:pt idx="34">
                  <c:v>38.322712566860787</c:v>
                </c:pt>
                <c:pt idx="35">
                  <c:v>35.971715493132479</c:v>
                </c:pt>
                <c:pt idx="36">
                  <c:v>33.582270854198242</c:v>
                </c:pt>
                <c:pt idx="37">
                  <c:v>31.158712841971322</c:v>
                </c:pt>
                <c:pt idx="38">
                  <c:v>28.706032540412849</c:v>
                </c:pt>
                <c:pt idx="39">
                  <c:v>26.229826250954659</c:v>
                </c:pt>
                <c:pt idx="40">
                  <c:v>23.736220622857473</c:v>
                </c:pt>
                <c:pt idx="41">
                  <c:v>21.231776080457621</c:v>
                </c:pt>
                <c:pt idx="42">
                  <c:v>18.723371615370439</c:v>
                </c:pt>
                <c:pt idx="43">
                  <c:v>16.218075473030353</c:v>
                </c:pt>
                <c:pt idx="44">
                  <c:v>13.723007429182957</c:v>
                </c:pt>
                <c:pt idx="45">
                  <c:v>11.245199069407761</c:v>
                </c:pt>
                <c:pt idx="46">
                  <c:v>8.7914586548870659</c:v>
                </c:pt>
                <c:pt idx="47">
                  <c:v>6.3682467561363865</c:v>
                </c:pt>
                <c:pt idx="48">
                  <c:v>3.9815679180133543</c:v>
                </c:pt>
                <c:pt idx="49">
                  <c:v>1.6368823068569327</c:v>
                </c:pt>
                <c:pt idx="50">
                  <c:v>-0.66096024865595382</c:v>
                </c:pt>
                <c:pt idx="51">
                  <c:v>-2.9077629960825107</c:v>
                </c:pt>
                <c:pt idx="52">
                  <c:v>-5.1000024148052034</c:v>
                </c:pt>
                <c:pt idx="53">
                  <c:v>-7.2348276429572707</c:v>
                </c:pt>
                <c:pt idx="54">
                  <c:v>-9.31004192222656</c:v>
                </c:pt>
                <c:pt idx="55">
                  <c:v>-11.324069349895808</c:v>
                </c:pt>
                <c:pt idx="56">
                  <c:v>-13.275910440358302</c:v>
                </c:pt>
                <c:pt idx="57">
                  <c:v>-15.165089932304681</c:v>
                </c:pt>
                <c:pt idx="58">
                  <c:v>-16.991600000973222</c:v>
                </c:pt>
                <c:pt idx="59">
                  <c:v>-18.755841619658099</c:v>
                </c:pt>
                <c:pt idx="60">
                  <c:v>-20.45856632778424</c:v>
                </c:pt>
                <c:pt idx="61">
                  <c:v>-22.100820159405316</c:v>
                </c:pt>
                <c:pt idx="62">
                  <c:v>-23.68389100680065</c:v>
                </c:pt>
                <c:pt idx="63">
                  <c:v>-25.209260265699868</c:v>
                </c:pt>
                <c:pt idx="64">
                  <c:v>-26.678559245980068</c:v>
                </c:pt>
                <c:pt idx="65">
                  <c:v>-28.093530539152255</c:v>
                </c:pt>
                <c:pt idx="66">
                  <c:v>-29.455994309441962</c:v>
                </c:pt>
                <c:pt idx="67">
                  <c:v>-30.767819312174481</c:v>
                </c:pt>
                <c:pt idx="68">
                  <c:v>-32.030898332717243</c:v>
                </c:pt>
                <c:pt idx="69">
                  <c:v>-33.247127671769874</c:v>
                </c:pt>
                <c:pt idx="70">
                  <c:v>-34.418390269042447</c:v>
                </c:pt>
                <c:pt idx="71">
                  <c:v>-35.546542048915398</c:v>
                </c:pt>
                <c:pt idx="72">
                  <c:v>-36.633401081307397</c:v>
                </c:pt>
                <c:pt idx="73">
                  <c:v>-37.680739172846359</c:v>
                </c:pt>
                <c:pt idx="74">
                  <c:v>-38.690275532819669</c:v>
                </c:pt>
                <c:pt idx="75">
                  <c:v>-39.663672191801652</c:v>
                </c:pt>
                <c:pt idx="76">
                  <c:v>-40.602530885677254</c:v>
                </c:pt>
                <c:pt idx="77">
                  <c:v>-41.508391152208219</c:v>
                </c:pt>
                <c:pt idx="78">
                  <c:v>-42.382729420104965</c:v>
                </c:pt>
                <c:pt idx="79">
                  <c:v>-43.226958901001694</c:v>
                </c:pt>
                <c:pt idx="80">
                  <c:v>-44.042430122446717</c:v>
                </c:pt>
                <c:pt idx="81">
                  <c:v>-44.830431964772856</c:v>
                </c:pt>
                <c:pt idx="82">
                  <c:v>-45.59219308661136</c:v>
                </c:pt>
                <c:pt idx="83">
                  <c:v>-46.328883642899655</c:v>
                </c:pt>
                <c:pt idx="84">
                  <c:v>-47.041617215785209</c:v>
                </c:pt>
                <c:pt idx="85">
                  <c:v>-47.7314528929993</c:v>
                </c:pt>
                <c:pt idx="86">
                  <c:v>-48.399397440371047</c:v>
                </c:pt>
                <c:pt idx="87">
                  <c:v>-49.046407525385462</c:v>
                </c:pt>
                <c:pt idx="88">
                  <c:v>-49.673391957295507</c:v>
                </c:pt>
                <c:pt idx="89">
                  <c:v>-50.281213916509273</c:v>
                </c:pt>
                <c:pt idx="90">
                  <c:v>-50.870693151964758</c:v>
                </c:pt>
                <c:pt idx="91">
                  <c:v>-51.44260813017263</c:v>
                </c:pt>
                <c:pt idx="92">
                  <c:v>-51.997698123689702</c:v>
                </c:pt>
                <c:pt idx="93">
                  <c:v>-52.536665230127994</c:v>
                </c:pt>
                <c:pt idx="94">
                  <c:v>-53.060176315533226</c:v>
                </c:pt>
                <c:pt idx="95">
                  <c:v>-53.568864878153022</c:v>
                </c:pt>
                <c:pt idx="96">
                  <c:v>-54.063332830383899</c:v>
                </c:pt>
                <c:pt idx="97">
                  <c:v>-54.544152198084646</c:v>
                </c:pt>
                <c:pt idx="98">
                  <c:v>-55.011866737544665</c:v>
                </c:pt>
                <c:pt idx="99">
                  <c:v>-55.466993471245814</c:v>
                </c:pt>
              </c:numCache>
            </c:numRef>
          </c:yVal>
          <c:smooth val="0"/>
          <c:extLst>
            <c:ext xmlns:c16="http://schemas.microsoft.com/office/drawing/2014/chart" uri="{C3380CC4-5D6E-409C-BE32-E72D297353CC}">
              <c16:uniqueId val="{00000001-8A5E-4502-B1A0-DC91060BAB8A}"/>
            </c:ext>
          </c:extLst>
        </c:ser>
        <c:dLbls>
          <c:showLegendKey val="0"/>
          <c:showVal val="0"/>
          <c:showCatName val="0"/>
          <c:showSerName val="0"/>
          <c:showPercent val="0"/>
          <c:showBubbleSize val="0"/>
        </c:dLbls>
        <c:axId val="3"/>
        <c:axId val="4"/>
      </c:scatterChart>
      <c:valAx>
        <c:axId val="507661520"/>
        <c:scaling>
          <c:logBase val="10"/>
          <c:orientation val="minMax"/>
          <c:min val="10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975" b="1" i="0" u="none" strike="noStrike" baseline="0">
                    <a:solidFill>
                      <a:srgbClr val="000000"/>
                    </a:solidFill>
                    <a:latin typeface="Arial"/>
                    <a:ea typeface="Arial"/>
                    <a:cs typeface="Arial"/>
                  </a:defRPr>
                </a:pPr>
                <a:r>
                  <a:rPr lang="en-US"/>
                  <a:t>Frequency in Hz</a:t>
                </a:r>
              </a:p>
            </c:rich>
          </c:tx>
          <c:layout>
            <c:manualLayout>
              <c:xMode val="edge"/>
              <c:yMode val="edge"/>
              <c:x val="0.41680425297156326"/>
              <c:y val="0.931122592941602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75" b="1" i="0" u="none" strike="noStrike" baseline="0">
                <a:solidFill>
                  <a:srgbClr val="000000"/>
                </a:solidFill>
                <a:latin typeface="Arial"/>
                <a:ea typeface="Arial"/>
                <a:cs typeface="Arial"/>
              </a:defRPr>
            </a:pPr>
            <a:endParaRPr lang="en-US"/>
          </a:p>
        </c:txPr>
        <c:crossAx val="1"/>
        <c:crossesAt val="-80"/>
        <c:crossBetween val="midCat"/>
      </c:valAx>
      <c:valAx>
        <c:axId val="1"/>
        <c:scaling>
          <c:orientation val="minMax"/>
          <c:max val="80"/>
          <c:min val="-80"/>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US"/>
                  <a:t>Gain in dB</a:t>
                </a:r>
              </a:p>
            </c:rich>
          </c:tx>
          <c:layout>
            <c:manualLayout>
              <c:xMode val="edge"/>
              <c:yMode val="edge"/>
              <c:x val="1.9769296353879334E-2"/>
              <c:y val="0.397959091320481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75" b="1" i="0" u="none" strike="noStrike" baseline="0">
                <a:solidFill>
                  <a:srgbClr val="000000"/>
                </a:solidFill>
                <a:latin typeface="Arial"/>
                <a:ea typeface="Arial"/>
                <a:cs typeface="Arial"/>
              </a:defRPr>
            </a:pPr>
            <a:endParaRPr lang="en-US"/>
          </a:p>
        </c:txPr>
        <c:crossAx val="507661520"/>
        <c:crosses val="autoZero"/>
        <c:crossBetween val="midCat"/>
      </c:valAx>
      <c:valAx>
        <c:axId val="3"/>
        <c:scaling>
          <c:logBase val="10"/>
          <c:orientation val="minMax"/>
        </c:scaling>
        <c:delete val="1"/>
        <c:axPos val="b"/>
        <c:numFmt formatCode="General" sourceLinked="1"/>
        <c:majorTickMark val="out"/>
        <c:minorTickMark val="none"/>
        <c:tickLblPos val="nextTo"/>
        <c:crossAx val="4"/>
        <c:crosses val="autoZero"/>
        <c:crossBetween val="midCat"/>
      </c:valAx>
      <c:valAx>
        <c:axId val="4"/>
        <c:scaling>
          <c:orientation val="minMax"/>
          <c:max val="180"/>
          <c:min val="-18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975" b="1" i="0" u="none" strike="noStrike" baseline="0">
                <a:solidFill>
                  <a:srgbClr val="000000"/>
                </a:solidFill>
                <a:latin typeface="Arial"/>
                <a:ea typeface="Arial"/>
                <a:cs typeface="Arial"/>
              </a:defRPr>
            </a:pPr>
            <a:endParaRPr lang="en-US"/>
          </a:p>
        </c:txPr>
        <c:crossAx val="3"/>
        <c:crosses val="max"/>
        <c:crossBetween val="midCat"/>
        <c:majorUnit val="45"/>
      </c:valAx>
      <c:spPr>
        <a:solidFill>
          <a:srgbClr val="FFFFFF"/>
        </a:solidFill>
        <a:ln w="12700">
          <a:solidFill>
            <a:srgbClr val="808080"/>
          </a:solidFill>
          <a:prstDash val="solid"/>
        </a:ln>
      </c:spPr>
    </c:plotArea>
    <c:legend>
      <c:legendPos val="r"/>
      <c:layout>
        <c:manualLayout>
          <c:xMode val="edge"/>
          <c:yMode val="edge"/>
          <c:x val="0.12275352704108956"/>
          <c:y val="0.70078936087776"/>
          <c:w val="0.16203465569423822"/>
          <c:h val="0.12276601942384117"/>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14</xdr:col>
      <xdr:colOff>466725</xdr:colOff>
      <xdr:row>38</xdr:row>
      <xdr:rowOff>19050</xdr:rowOff>
    </xdr:to>
    <xdr:pic>
      <xdr:nvPicPr>
        <xdr:cNvPr id="4149" name="Picture 2">
          <a:extLst>
            <a:ext uri="{FF2B5EF4-FFF2-40B4-BE49-F238E27FC236}">
              <a16:creationId xmlns:a16="http://schemas.microsoft.com/office/drawing/2014/main" id="{7A47A581-D9A2-4F09-A4D6-3C564BEBF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71450"/>
          <a:ext cx="8382000" cy="600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587188</xdr:colOff>
      <xdr:row>122</xdr:row>
      <xdr:rowOff>84605</xdr:rowOff>
    </xdr:from>
    <xdr:to>
      <xdr:col>14</xdr:col>
      <xdr:colOff>417980</xdr:colOff>
      <xdr:row>150</xdr:row>
      <xdr:rowOff>234203</xdr:rowOff>
    </xdr:to>
    <xdr:graphicFrame macro="">
      <xdr:nvGraphicFramePr>
        <xdr:cNvPr id="1088" name="Chart 12">
          <a:extLst>
            <a:ext uri="{FF2B5EF4-FFF2-40B4-BE49-F238E27FC236}">
              <a16:creationId xmlns:a16="http://schemas.microsoft.com/office/drawing/2014/main" id="{8F061212-D095-47E7-B34B-038C551337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8</xdr:col>
      <xdr:colOff>419100</xdr:colOff>
      <xdr:row>4</xdr:row>
      <xdr:rowOff>76200</xdr:rowOff>
    </xdr:to>
    <xdr:pic>
      <xdr:nvPicPr>
        <xdr:cNvPr id="5176" name="Picture 2">
          <a:extLst>
            <a:ext uri="{FF2B5EF4-FFF2-40B4-BE49-F238E27FC236}">
              <a16:creationId xmlns:a16="http://schemas.microsoft.com/office/drawing/2014/main" id="{19012F2F-12DE-46D8-913B-847B5B2736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5295900" cy="704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pic>
    <xdr:clientData fLocksWithSheet="0"/>
  </xdr:twoCellAnchor>
  <mc:AlternateContent xmlns:mc="http://schemas.openxmlformats.org/markup-compatibility/2006">
    <mc:Choice xmlns:a14="http://schemas.microsoft.com/office/drawing/2010/main" Requires="a14">
      <xdr:twoCellAnchor editAs="oneCell">
        <xdr:from>
          <xdr:col>0</xdr:col>
          <xdr:colOff>38100</xdr:colOff>
          <xdr:row>5</xdr:row>
          <xdr:rowOff>47625</xdr:rowOff>
        </xdr:from>
        <xdr:to>
          <xdr:col>8</xdr:col>
          <xdr:colOff>428625</xdr:colOff>
          <xdr:row>46</xdr:row>
          <xdr:rowOff>47625</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285750</xdr:colOff>
      <xdr:row>34</xdr:row>
      <xdr:rowOff>104775</xdr:rowOff>
    </xdr:to>
    <xdr:pic>
      <xdr:nvPicPr>
        <xdr:cNvPr id="6198" name="Picture 3">
          <a:extLst>
            <a:ext uri="{FF2B5EF4-FFF2-40B4-BE49-F238E27FC236}">
              <a16:creationId xmlns:a16="http://schemas.microsoft.com/office/drawing/2014/main" id="{CFDE352D-37CD-4AD8-8BDE-770E3C27CF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552950" cy="5610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314325</xdr:colOff>
      <xdr:row>34</xdr:row>
      <xdr:rowOff>104775</xdr:rowOff>
    </xdr:to>
    <xdr:pic>
      <xdr:nvPicPr>
        <xdr:cNvPr id="7222" name="Picture 3">
          <a:extLst>
            <a:ext uri="{FF2B5EF4-FFF2-40B4-BE49-F238E27FC236}">
              <a16:creationId xmlns:a16="http://schemas.microsoft.com/office/drawing/2014/main" id="{FD865A7B-6D2A-42F3-B3CF-DD7EA92F7F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581525" cy="5610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219075</xdr:colOff>
      <xdr:row>85</xdr:row>
      <xdr:rowOff>95250</xdr:rowOff>
    </xdr:from>
    <xdr:to>
      <xdr:col>7</xdr:col>
      <xdr:colOff>47625</xdr:colOff>
      <xdr:row>105</xdr:row>
      <xdr:rowOff>123825</xdr:rowOff>
    </xdr:to>
    <xdr:graphicFrame macro="">
      <xdr:nvGraphicFramePr>
        <xdr:cNvPr id="3127" name="Chart 4">
          <a:extLst>
            <a:ext uri="{FF2B5EF4-FFF2-40B4-BE49-F238E27FC236}">
              <a16:creationId xmlns:a16="http://schemas.microsoft.com/office/drawing/2014/main" id="{E1810966-47A1-472B-BA5C-8A0FC84913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0799388\My%20Documents\Applications%20Information\UCC28070\Design%20Tool\UCC28070%20Design%20Tool%208%2015%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ign Information"/>
      <sheetName val="Current Loop Calaculations"/>
      <sheetName val="Voltage Loop Calaclations"/>
    </sheetNames>
    <sheetDataSet>
      <sheetData sheetId="0">
        <row r="29">
          <cell r="C29">
            <v>2.4499999999999999E-4</v>
          </cell>
        </row>
        <row r="40">
          <cell r="C40">
            <v>50</v>
          </cell>
        </row>
        <row r="83">
          <cell r="C83">
            <v>4020</v>
          </cell>
        </row>
        <row r="85">
          <cell r="C85">
            <v>2.1999999999999998E-9</v>
          </cell>
        </row>
        <row r="87">
          <cell r="C87">
            <v>3.3E-10</v>
          </cell>
        </row>
      </sheetData>
      <sheetData sheetId="1"/>
      <sheetData sheetId="2"/>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workbookViewId="0">
      <selection activeCell="A14" sqref="A14:N14"/>
    </sheetView>
  </sheetViews>
  <sheetFormatPr defaultRowHeight="12.75" x14ac:dyDescent="0.2"/>
  <sheetData>
    <row r="1" spans="1:14" ht="33.75" x14ac:dyDescent="0.2">
      <c r="A1" s="103" t="s">
        <v>337</v>
      </c>
      <c r="B1" s="103"/>
      <c r="C1" s="103"/>
      <c r="D1" s="103"/>
      <c r="E1" s="103"/>
      <c r="F1" s="103"/>
      <c r="G1" s="103"/>
      <c r="H1" s="103"/>
      <c r="I1" s="103"/>
      <c r="J1" s="103"/>
      <c r="K1" s="103"/>
      <c r="L1" s="103"/>
      <c r="M1" s="103"/>
      <c r="N1" s="103"/>
    </row>
    <row r="2" spans="1:14" ht="25.5" x14ac:dyDescent="0.2">
      <c r="A2" s="104" t="s">
        <v>0</v>
      </c>
      <c r="B2" s="104"/>
      <c r="C2" s="104"/>
      <c r="D2" s="104"/>
      <c r="E2" s="104"/>
      <c r="F2" s="104"/>
      <c r="G2" s="104"/>
      <c r="H2" s="104"/>
      <c r="I2" s="104"/>
      <c r="J2" s="104"/>
      <c r="K2" s="104"/>
      <c r="L2" s="104"/>
      <c r="M2" s="104"/>
      <c r="N2" s="104"/>
    </row>
    <row r="3" spans="1:14" x14ac:dyDescent="0.2">
      <c r="A3" s="105"/>
      <c r="B3" s="105"/>
      <c r="C3" s="105"/>
      <c r="D3" s="105"/>
      <c r="E3" s="105"/>
      <c r="F3" s="105"/>
      <c r="G3" s="105"/>
      <c r="H3" s="105"/>
      <c r="I3" s="105"/>
      <c r="J3" s="105"/>
      <c r="K3" s="105"/>
      <c r="L3" s="105"/>
      <c r="M3" s="105"/>
      <c r="N3" s="105"/>
    </row>
    <row r="4" spans="1:14" ht="25.5" x14ac:dyDescent="0.2">
      <c r="A4" s="106" t="s">
        <v>1</v>
      </c>
      <c r="B4" s="106"/>
      <c r="C4" s="106"/>
      <c r="D4" s="106"/>
      <c r="E4" s="106"/>
      <c r="F4" s="106"/>
      <c r="G4" s="106"/>
      <c r="H4" s="106"/>
      <c r="I4" s="106"/>
      <c r="J4" s="106"/>
      <c r="K4" s="106"/>
      <c r="L4" s="106"/>
      <c r="M4" s="106"/>
      <c r="N4" s="106"/>
    </row>
    <row r="5" spans="1:14" x14ac:dyDescent="0.2">
      <c r="A5" s="105"/>
      <c r="B5" s="105"/>
      <c r="C5" s="105"/>
      <c r="D5" s="105"/>
      <c r="E5" s="105"/>
      <c r="F5" s="105"/>
      <c r="G5" s="105"/>
      <c r="H5" s="105"/>
      <c r="I5" s="105"/>
      <c r="J5" s="105"/>
      <c r="K5" s="105"/>
      <c r="L5" s="105"/>
      <c r="M5" s="105"/>
      <c r="N5" s="105"/>
    </row>
    <row r="6" spans="1:14" ht="25.5" x14ac:dyDescent="0.2">
      <c r="A6" s="1" t="s">
        <v>2</v>
      </c>
      <c r="B6" s="1"/>
      <c r="C6" s="1"/>
      <c r="D6" s="1"/>
      <c r="E6" s="1"/>
      <c r="F6" s="1"/>
      <c r="G6" s="1"/>
      <c r="H6" s="1"/>
      <c r="I6" s="1"/>
      <c r="J6" s="1"/>
      <c r="K6" s="1"/>
      <c r="L6" s="1"/>
      <c r="M6" s="1"/>
      <c r="N6" s="1"/>
    </row>
    <row r="7" spans="1:14" ht="25.5" x14ac:dyDescent="0.2">
      <c r="A7" s="1"/>
      <c r="B7" s="106" t="s">
        <v>3</v>
      </c>
      <c r="C7" s="106"/>
      <c r="D7" s="106"/>
      <c r="E7" s="106"/>
      <c r="F7" s="106"/>
      <c r="G7" s="106"/>
      <c r="H7" s="106"/>
      <c r="I7" s="106"/>
      <c r="J7" s="106"/>
      <c r="K7" s="106"/>
      <c r="L7" s="106"/>
      <c r="M7" s="106"/>
      <c r="N7" s="106"/>
    </row>
    <row r="8" spans="1:14" ht="25.5" x14ac:dyDescent="0.2">
      <c r="A8" s="1"/>
      <c r="B8" s="106" t="s">
        <v>4</v>
      </c>
      <c r="C8" s="106"/>
      <c r="D8" s="106"/>
      <c r="E8" s="106"/>
      <c r="F8" s="106"/>
      <c r="G8" s="106"/>
      <c r="H8" s="106"/>
      <c r="I8" s="106"/>
      <c r="J8" s="106"/>
      <c r="K8" s="106"/>
      <c r="L8" s="106"/>
      <c r="M8" s="106"/>
      <c r="N8" s="106"/>
    </row>
    <row r="9" spans="1:14" ht="25.5" x14ac:dyDescent="0.2">
      <c r="A9" s="1"/>
      <c r="B9" s="106" t="s">
        <v>5</v>
      </c>
      <c r="C9" s="106"/>
      <c r="D9" s="106"/>
      <c r="E9" s="106"/>
      <c r="F9" s="106"/>
      <c r="G9" s="106"/>
      <c r="H9" s="106"/>
      <c r="I9" s="106"/>
      <c r="J9" s="106"/>
      <c r="K9" s="106"/>
      <c r="L9" s="106"/>
      <c r="M9" s="106"/>
      <c r="N9" s="106"/>
    </row>
    <row r="10" spans="1:14" ht="25.5" x14ac:dyDescent="0.2">
      <c r="A10" s="1" t="s">
        <v>6</v>
      </c>
      <c r="B10" s="1"/>
      <c r="C10" s="1"/>
      <c r="D10" s="1"/>
      <c r="E10" s="1"/>
      <c r="F10" s="1"/>
      <c r="G10" s="1"/>
      <c r="H10" s="1"/>
      <c r="I10" s="1"/>
      <c r="J10" s="1"/>
      <c r="K10" s="1"/>
      <c r="L10" s="1"/>
      <c r="M10" s="1"/>
      <c r="N10" s="1"/>
    </row>
    <row r="11" spans="1:14" ht="25.5" x14ac:dyDescent="0.2">
      <c r="A11" s="1"/>
      <c r="B11" s="1"/>
      <c r="C11" s="1"/>
      <c r="D11" s="1"/>
      <c r="E11" s="1"/>
      <c r="F11" s="1"/>
      <c r="G11" s="1"/>
      <c r="H11" s="1"/>
      <c r="I11" s="1"/>
      <c r="J11" s="1"/>
      <c r="K11" s="1"/>
      <c r="L11" s="1"/>
      <c r="M11" s="1"/>
      <c r="N11" s="1"/>
    </row>
    <row r="12" spans="1:14" ht="25.5" x14ac:dyDescent="0.2">
      <c r="A12" s="107" t="s">
        <v>296</v>
      </c>
      <c r="B12" s="107"/>
      <c r="C12" s="107"/>
      <c r="D12" s="107"/>
      <c r="E12" s="107"/>
      <c r="F12" s="107"/>
      <c r="G12" s="107"/>
      <c r="H12" s="107"/>
      <c r="I12" s="107"/>
      <c r="J12" s="107"/>
      <c r="K12" s="107"/>
      <c r="L12" s="107"/>
      <c r="M12" s="107"/>
      <c r="N12" s="107"/>
    </row>
    <row r="13" spans="1:14" ht="25.5" x14ac:dyDescent="0.2">
      <c r="A13" s="80"/>
      <c r="B13" s="80"/>
      <c r="C13" s="80"/>
      <c r="D13" s="80"/>
      <c r="E13" s="80"/>
      <c r="F13" s="80"/>
      <c r="G13" s="80"/>
      <c r="H13" s="80"/>
      <c r="I13" s="80"/>
      <c r="J13" s="80"/>
      <c r="K13" s="80"/>
      <c r="L13" s="80"/>
      <c r="M13" s="80"/>
      <c r="N13" s="80"/>
    </row>
    <row r="14" spans="1:14" ht="25.5" x14ac:dyDescent="0.2">
      <c r="A14" s="107" t="s">
        <v>7</v>
      </c>
      <c r="B14" s="107"/>
      <c r="C14" s="107"/>
      <c r="D14" s="107"/>
      <c r="E14" s="107"/>
      <c r="F14" s="107"/>
      <c r="G14" s="107"/>
      <c r="H14" s="107"/>
      <c r="I14" s="107"/>
      <c r="J14" s="107"/>
      <c r="K14" s="107"/>
      <c r="L14" s="107"/>
      <c r="M14" s="107"/>
      <c r="N14" s="107"/>
    </row>
    <row r="15" spans="1:14" ht="25.5" x14ac:dyDescent="0.2">
      <c r="A15" s="80"/>
      <c r="B15" s="80"/>
      <c r="C15" s="80"/>
      <c r="D15" s="80"/>
      <c r="E15" s="80"/>
      <c r="F15" s="80"/>
      <c r="G15" s="80"/>
      <c r="H15" s="80"/>
      <c r="I15" s="80"/>
      <c r="J15" s="80"/>
      <c r="K15" s="80"/>
      <c r="L15" s="80"/>
      <c r="M15" s="80"/>
      <c r="N15" s="80"/>
    </row>
    <row r="16" spans="1:14" ht="45.75" customHeight="1" x14ac:dyDescent="0.2">
      <c r="A16" s="107" t="s">
        <v>330</v>
      </c>
      <c r="B16" s="107"/>
      <c r="C16" s="107"/>
      <c r="D16" s="107"/>
      <c r="E16" s="107"/>
      <c r="F16" s="107"/>
      <c r="G16" s="107"/>
      <c r="H16" s="107"/>
      <c r="I16" s="107"/>
      <c r="J16" s="107"/>
      <c r="K16" s="107"/>
      <c r="L16" s="107"/>
      <c r="M16" s="107"/>
      <c r="N16" s="107"/>
    </row>
    <row r="17" spans="1:1" x14ac:dyDescent="0.2">
      <c r="A17" t="s">
        <v>19</v>
      </c>
    </row>
  </sheetData>
  <sheetProtection password="ECDD" sheet="1"/>
  <mergeCells count="11">
    <mergeCell ref="A16:N16"/>
    <mergeCell ref="A5:N5"/>
    <mergeCell ref="B7:N7"/>
    <mergeCell ref="B8:N8"/>
    <mergeCell ref="B9:N9"/>
    <mergeCell ref="A14:N14"/>
    <mergeCell ref="A1:N1"/>
    <mergeCell ref="A2:N2"/>
    <mergeCell ref="A3:N3"/>
    <mergeCell ref="A4:N4"/>
    <mergeCell ref="A12:N12"/>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43"/>
  <sheetViews>
    <sheetView workbookViewId="0">
      <selection activeCell="S21" sqref="S21"/>
    </sheetView>
  </sheetViews>
  <sheetFormatPr defaultRowHeight="12.75" x14ac:dyDescent="0.2"/>
  <sheetData>
    <row r="43" spans="4:4" x14ac:dyDescent="0.2">
      <c r="D43" t="s">
        <v>19</v>
      </c>
    </row>
  </sheetData>
  <sheetProtection password="ECDD" sheet="1"/>
  <phoneticPr fontId="21" type="noConversion"/>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2"/>
  <sheetViews>
    <sheetView tabSelected="1" zoomScale="85" zoomScaleNormal="85" workbookViewId="0">
      <selection activeCell="C13" sqref="C13"/>
    </sheetView>
  </sheetViews>
  <sheetFormatPr defaultRowHeight="15.75" x14ac:dyDescent="0.25"/>
  <cols>
    <col min="1" max="1" width="66.140625" style="52" customWidth="1"/>
    <col min="2" max="2" width="15" style="52" customWidth="1"/>
    <col min="3" max="3" width="13.42578125" style="58" customWidth="1"/>
    <col min="4" max="5" width="11.5703125" style="52" customWidth="1"/>
    <col min="6" max="16384" width="9.140625" style="52"/>
  </cols>
  <sheetData>
    <row r="1" spans="1:8" x14ac:dyDescent="0.25">
      <c r="A1" s="52" t="s">
        <v>339</v>
      </c>
    </row>
    <row r="2" spans="1:8" x14ac:dyDescent="0.25">
      <c r="A2" s="52" t="s">
        <v>338</v>
      </c>
      <c r="B2" s="53">
        <v>45723</v>
      </c>
      <c r="H2" s="100"/>
    </row>
    <row r="3" spans="1:8" x14ac:dyDescent="0.25">
      <c r="B3" s="53"/>
      <c r="H3" s="100"/>
    </row>
    <row r="4" spans="1:8" x14ac:dyDescent="0.25">
      <c r="A4" s="76" t="s">
        <v>328</v>
      </c>
      <c r="B4" s="77"/>
      <c r="C4" s="89"/>
      <c r="D4" s="76"/>
      <c r="E4" s="76"/>
      <c r="F4" s="76"/>
    </row>
    <row r="5" spans="1:8" x14ac:dyDescent="0.25">
      <c r="A5" s="76" t="s">
        <v>289</v>
      </c>
      <c r="B5" s="77"/>
      <c r="C5" s="89"/>
      <c r="D5" s="76"/>
      <c r="E5" s="76"/>
      <c r="F5" s="76"/>
    </row>
    <row r="6" spans="1:8" x14ac:dyDescent="0.25">
      <c r="A6" s="81" t="s">
        <v>331</v>
      </c>
      <c r="B6" s="82"/>
      <c r="C6" s="90"/>
      <c r="D6" s="81"/>
      <c r="E6" s="81"/>
      <c r="F6" s="81"/>
    </row>
    <row r="7" spans="1:8" x14ac:dyDescent="0.25">
      <c r="A7" s="83" t="s">
        <v>302</v>
      </c>
      <c r="B7" s="84"/>
      <c r="C7" s="91"/>
      <c r="D7" s="83"/>
      <c r="E7" s="83"/>
      <c r="F7" s="83"/>
    </row>
    <row r="8" spans="1:8" s="48" customFormat="1" x14ac:dyDescent="0.25">
      <c r="A8" s="83" t="s">
        <v>301</v>
      </c>
      <c r="B8" s="84"/>
      <c r="C8" s="91"/>
      <c r="D8" s="83"/>
      <c r="E8" s="83"/>
      <c r="F8" s="83"/>
    </row>
    <row r="9" spans="1:8" s="48" customFormat="1" x14ac:dyDescent="0.25">
      <c r="A9" s="83" t="s">
        <v>299</v>
      </c>
      <c r="B9" s="84"/>
      <c r="C9" s="91"/>
      <c r="D9" s="83"/>
      <c r="E9" s="83"/>
      <c r="F9" s="83"/>
    </row>
    <row r="10" spans="1:8" s="48" customFormat="1" x14ac:dyDescent="0.25">
      <c r="A10" s="83" t="s">
        <v>300</v>
      </c>
      <c r="B10" s="84"/>
      <c r="C10" s="91"/>
      <c r="D10" s="83"/>
      <c r="E10" s="83"/>
      <c r="F10" s="83"/>
    </row>
    <row r="11" spans="1:8" x14ac:dyDescent="0.25">
      <c r="A11" s="52" t="s">
        <v>8</v>
      </c>
    </row>
    <row r="12" spans="1:8" x14ac:dyDescent="0.25">
      <c r="A12" s="52" t="s">
        <v>9</v>
      </c>
      <c r="B12" s="52" t="s">
        <v>10</v>
      </c>
      <c r="C12" s="58" t="s">
        <v>12</v>
      </c>
      <c r="D12" s="52" t="s">
        <v>11</v>
      </c>
      <c r="E12" s="52" t="s">
        <v>16</v>
      </c>
    </row>
    <row r="13" spans="1:8" x14ac:dyDescent="0.25">
      <c r="A13" s="52" t="s">
        <v>13</v>
      </c>
      <c r="B13" s="49">
        <v>400</v>
      </c>
      <c r="C13" s="92">
        <v>600</v>
      </c>
      <c r="D13" s="49">
        <v>950</v>
      </c>
      <c r="E13" s="52" t="s">
        <v>17</v>
      </c>
      <c r="F13" s="85" t="str">
        <f>IF(VINMAX/VINMIN&gt;3,"Please Keep Input Voltage &lt; 3:1","")</f>
        <v/>
      </c>
    </row>
    <row r="14" spans="1:8" x14ac:dyDescent="0.25">
      <c r="A14" s="52" t="s">
        <v>14</v>
      </c>
      <c r="B14" s="49">
        <v>24</v>
      </c>
      <c r="C14" s="92">
        <v>27.2</v>
      </c>
      <c r="D14" s="49">
        <v>28</v>
      </c>
      <c r="E14" s="52" t="s">
        <v>17</v>
      </c>
      <c r="F14" s="79" t="str">
        <f>IF(VOUT&lt;1.5,"The Minimum Output Voltage &gt; 1.5 V","")</f>
        <v/>
      </c>
      <c r="G14" s="48"/>
      <c r="H14" s="48"/>
    </row>
    <row r="15" spans="1:8" ht="31.5" x14ac:dyDescent="0.25">
      <c r="A15" s="54" t="s">
        <v>15</v>
      </c>
      <c r="D15" s="49">
        <v>1.7</v>
      </c>
      <c r="E15" s="52" t="s">
        <v>17</v>
      </c>
      <c r="F15" s="79"/>
    </row>
    <row r="16" spans="1:8" ht="18.75" x14ac:dyDescent="0.35">
      <c r="A16" s="54" t="s">
        <v>21</v>
      </c>
      <c r="D16" s="49">
        <v>1100</v>
      </c>
      <c r="E16" s="52" t="s">
        <v>18</v>
      </c>
    </row>
    <row r="17" spans="1:6" x14ac:dyDescent="0.25">
      <c r="A17" s="52" t="s">
        <v>23</v>
      </c>
      <c r="B17" s="50">
        <v>0.92</v>
      </c>
      <c r="D17" s="52" t="s">
        <v>19</v>
      </c>
      <c r="F17" s="79" t="str">
        <f>IF(Eff&gt;96%,"Please be Realistic with Efficiency Goal","")</f>
        <v/>
      </c>
    </row>
    <row r="18" spans="1:6" ht="18.75" x14ac:dyDescent="0.35">
      <c r="A18" s="52" t="s">
        <v>22</v>
      </c>
      <c r="C18" s="92">
        <v>200</v>
      </c>
      <c r="E18" s="52" t="s">
        <v>20</v>
      </c>
      <c r="F18" s="78" t="str">
        <f>IF(fs&gt;1000,"UCC28950 Can Only Achieve 1MHz Switching Frequency","")</f>
        <v/>
      </c>
    </row>
    <row r="19" spans="1:6" x14ac:dyDescent="0.25">
      <c r="A19" s="55"/>
      <c r="B19" s="55"/>
      <c r="C19" s="93"/>
      <c r="D19" s="55"/>
      <c r="E19" s="55"/>
      <c r="F19" s="55"/>
    </row>
    <row r="20" spans="1:6" x14ac:dyDescent="0.25">
      <c r="A20" s="75" t="s">
        <v>174</v>
      </c>
      <c r="B20" s="75"/>
      <c r="C20" s="94"/>
      <c r="D20" s="75"/>
      <c r="E20" s="75"/>
      <c r="F20" s="75"/>
    </row>
    <row r="21" spans="1:6" x14ac:dyDescent="0.25">
      <c r="A21" s="52" t="s">
        <v>9</v>
      </c>
      <c r="B21" s="52" t="s">
        <v>27</v>
      </c>
      <c r="D21" s="52" t="s">
        <v>16</v>
      </c>
    </row>
    <row r="22" spans="1:6" ht="18.75" x14ac:dyDescent="0.35">
      <c r="A22" s="52" t="s">
        <v>113</v>
      </c>
      <c r="B22" s="57" t="s">
        <v>24</v>
      </c>
      <c r="C22" s="58">
        <f>pout*(1-Eff)/Eff</f>
        <v>95.652173913043427</v>
      </c>
      <c r="D22" s="52" t="s">
        <v>18</v>
      </c>
    </row>
    <row r="23" spans="1:6" ht="18.75" x14ac:dyDescent="0.35">
      <c r="A23" s="52" t="s">
        <v>114</v>
      </c>
      <c r="B23" s="52" t="s">
        <v>25</v>
      </c>
      <c r="C23" s="58">
        <v>0.3</v>
      </c>
      <c r="D23" s="52" t="s">
        <v>17</v>
      </c>
    </row>
    <row r="24" spans="1:6" ht="18.75" x14ac:dyDescent="0.35">
      <c r="A24" s="52" t="s">
        <v>29</v>
      </c>
      <c r="B24" s="52" t="s">
        <v>31</v>
      </c>
      <c r="C24" s="58">
        <v>0.66</v>
      </c>
    </row>
    <row r="25" spans="1:6" ht="18.75" x14ac:dyDescent="0.35">
      <c r="A25" s="52" t="s">
        <v>28</v>
      </c>
      <c r="B25" s="52" t="s">
        <v>26</v>
      </c>
      <c r="C25" s="58">
        <f>((VINMIN-2*vrdson)*dmax)/(VOUT+vrdson)</f>
        <v>9.5855999999999995</v>
      </c>
      <c r="D25" s="52" t="s">
        <v>19</v>
      </c>
      <c r="E25" s="52" t="s">
        <v>19</v>
      </c>
    </row>
    <row r="26" spans="1:6" x14ac:dyDescent="0.25">
      <c r="A26" s="52" t="s">
        <v>303</v>
      </c>
      <c r="B26" s="52" t="s">
        <v>26</v>
      </c>
      <c r="C26" s="102">
        <v>10</v>
      </c>
    </row>
    <row r="27" spans="1:6" s="58" customFormat="1" ht="18.75" x14ac:dyDescent="0.35">
      <c r="A27" s="58" t="s">
        <v>30</v>
      </c>
      <c r="B27" s="58" t="s">
        <v>32</v>
      </c>
      <c r="C27" s="58">
        <f>((VOUT+vrdson)*_taa1)/((vin-2*vrdson))</f>
        <v>0.45879212545879217</v>
      </c>
      <c r="D27" s="86" t="str">
        <f>IF(dtyp&gt;1,"Turns Ratio a1 in Error, Pleast Adjust","")</f>
        <v/>
      </c>
    </row>
    <row r="28" spans="1:6" ht="18.75" x14ac:dyDescent="0.35">
      <c r="A28" s="52" t="s">
        <v>33</v>
      </c>
      <c r="B28" s="69" t="s">
        <v>243</v>
      </c>
      <c r="C28" s="58">
        <f>pout*0.2/VOUT</f>
        <v>8.0882352941176467</v>
      </c>
      <c r="D28" s="52" t="s">
        <v>34</v>
      </c>
    </row>
    <row r="29" spans="1:6" ht="18.75" x14ac:dyDescent="0.35">
      <c r="A29" s="52" t="s">
        <v>262</v>
      </c>
      <c r="B29" s="52" t="s">
        <v>35</v>
      </c>
      <c r="C29" s="58">
        <f>(vin*(1-dtyp)*_taa1)/(dilout*0.5*fs)</f>
        <v>4.0147784147784149</v>
      </c>
      <c r="D29" s="52" t="s">
        <v>36</v>
      </c>
      <c r="E29" s="101"/>
    </row>
    <row r="30" spans="1:6" ht="18.75" x14ac:dyDescent="0.35">
      <c r="A30" s="52" t="s">
        <v>290</v>
      </c>
      <c r="B30" s="52" t="s">
        <v>37</v>
      </c>
      <c r="C30" s="58">
        <f>(pout/VOUT)+(dilout/2)</f>
        <v>44.485294117647065</v>
      </c>
      <c r="D30" s="52" t="s">
        <v>34</v>
      </c>
      <c r="E30" s="52" t="s">
        <v>19</v>
      </c>
    </row>
    <row r="31" spans="1:6" ht="18.75" x14ac:dyDescent="0.35">
      <c r="A31" s="52" t="s">
        <v>290</v>
      </c>
      <c r="B31" s="52" t="s">
        <v>38</v>
      </c>
      <c r="C31" s="58">
        <f>(pout/VOUT)-(dilout/2)</f>
        <v>36.397058823529413</v>
      </c>
      <c r="D31" s="52" t="s">
        <v>34</v>
      </c>
      <c r="E31" s="64"/>
    </row>
    <row r="32" spans="1:6" ht="18.75" x14ac:dyDescent="0.35">
      <c r="A32" s="52" t="s">
        <v>290</v>
      </c>
      <c r="B32" s="52" t="s">
        <v>40</v>
      </c>
      <c r="C32" s="58">
        <f>ips-(dilout/2)</f>
        <v>40.441176470588239</v>
      </c>
      <c r="D32" s="52" t="s">
        <v>34</v>
      </c>
      <c r="E32" s="58" t="s">
        <v>19</v>
      </c>
    </row>
    <row r="33" spans="1:5" ht="18.75" x14ac:dyDescent="0.35">
      <c r="A33" s="52" t="s">
        <v>244</v>
      </c>
      <c r="B33" s="52" t="s">
        <v>39</v>
      </c>
      <c r="C33" s="58">
        <f>((dmax/2)*(ips*ims+(((ips-ims)^2)/3)))^0.5</f>
        <v>23.270374439554978</v>
      </c>
      <c r="D33" s="52" t="s">
        <v>34</v>
      </c>
      <c r="E33" s="57" t="s">
        <v>19</v>
      </c>
    </row>
    <row r="34" spans="1:5" ht="18.75" x14ac:dyDescent="0.35">
      <c r="A34" s="52" t="s">
        <v>244</v>
      </c>
      <c r="B34" s="52" t="s">
        <v>41</v>
      </c>
      <c r="C34" s="58">
        <f>(((1-dmax)/2)*(ips*_ims2+(((ips-_ims2)^2)/3)))^0.5</f>
        <v>17.514655977769245</v>
      </c>
      <c r="D34" s="52" t="s">
        <v>34</v>
      </c>
      <c r="E34" s="52" t="s">
        <v>19</v>
      </c>
    </row>
    <row r="35" spans="1:5" ht="18.75" x14ac:dyDescent="0.35">
      <c r="A35" s="52" t="s">
        <v>244</v>
      </c>
      <c r="B35" s="52" t="s">
        <v>42</v>
      </c>
      <c r="C35" s="58">
        <f>(dilout/2)*((1-dmax)/6)^0.5</f>
        <v>0.96269255776925666</v>
      </c>
      <c r="D35" s="52" t="s">
        <v>34</v>
      </c>
      <c r="E35" s="52" t="s">
        <v>19</v>
      </c>
    </row>
    <row r="36" spans="1:5" ht="18.75" x14ac:dyDescent="0.35">
      <c r="A36" s="52" t="s">
        <v>263</v>
      </c>
      <c r="B36" s="52" t="s">
        <v>43</v>
      </c>
      <c r="C36" s="58">
        <f>(isrms1^2+isrms2^2+isrms3^2)^0.5</f>
        <v>29.141041119656069</v>
      </c>
      <c r="D36" s="52" t="s">
        <v>34</v>
      </c>
    </row>
    <row r="37" spans="1:5" ht="18.75" x14ac:dyDescent="0.35">
      <c r="A37" s="52" t="s">
        <v>291</v>
      </c>
      <c r="B37" s="69" t="s">
        <v>329</v>
      </c>
      <c r="C37" s="58">
        <f>(VINMIN*dmax)/(lmag*fs)</f>
        <v>0.32878526873141367</v>
      </c>
      <c r="D37" s="52" t="s">
        <v>34</v>
      </c>
    </row>
    <row r="38" spans="1:5" ht="18.75" x14ac:dyDescent="0.35">
      <c r="A38" s="52" t="s">
        <v>290</v>
      </c>
      <c r="B38" s="52" t="s">
        <v>45</v>
      </c>
      <c r="C38" s="58">
        <f>(((pout/(VOUT*Eff))+dilout/2)/_taa1)+dilmag</f>
        <v>5.1289770845881915</v>
      </c>
      <c r="D38" s="52" t="s">
        <v>34</v>
      </c>
    </row>
    <row r="39" spans="1:5" ht="18.75" x14ac:dyDescent="0.35">
      <c r="A39" s="52" t="s">
        <v>290</v>
      </c>
      <c r="B39" s="52" t="s">
        <v>46</v>
      </c>
      <c r="C39" s="58">
        <f>(((pout/(VOUT*Eff))-dilout/2)/_taa1)+dilmag</f>
        <v>4.3201535551764261</v>
      </c>
      <c r="D39" s="52" t="s">
        <v>34</v>
      </c>
    </row>
    <row r="40" spans="1:5" ht="18.75" x14ac:dyDescent="0.35">
      <c r="A40" s="52" t="s">
        <v>290</v>
      </c>
      <c r="B40" s="52" t="s">
        <v>47</v>
      </c>
      <c r="C40" s="58">
        <f>ipp-((dilout/2)/_ta1)</f>
        <v>4.7070819870399081</v>
      </c>
      <c r="D40" s="52" t="s">
        <v>34</v>
      </c>
    </row>
    <row r="41" spans="1:5" ht="18.75" x14ac:dyDescent="0.35">
      <c r="A41" s="52" t="s">
        <v>244</v>
      </c>
      <c r="B41" s="52" t="s">
        <v>48</v>
      </c>
      <c r="C41" s="58">
        <f>((dmax)*(ipp*imp+(((ipp-imp)^2)/3)))^0.5</f>
        <v>3.8429392757895622</v>
      </c>
      <c r="D41" s="52" t="s">
        <v>34</v>
      </c>
    </row>
    <row r="42" spans="1:5" ht="18.75" x14ac:dyDescent="0.35">
      <c r="A42" s="52" t="s">
        <v>244</v>
      </c>
      <c r="B42" s="52" t="s">
        <v>49</v>
      </c>
      <c r="C42" s="58">
        <f>(((1-dmax))*(ipp*_imp2+(((ipp-_imp2)^2)/3)))^0.5</f>
        <v>2.8685585474633792</v>
      </c>
      <c r="D42" s="52" t="s">
        <v>34</v>
      </c>
    </row>
    <row r="43" spans="1:5" ht="18.75" x14ac:dyDescent="0.35">
      <c r="A43" s="52" t="s">
        <v>292</v>
      </c>
      <c r="B43" s="52" t="s">
        <v>51</v>
      </c>
      <c r="C43" s="58">
        <f>((iprms1)^2+(iprms2)^2)^0.5</f>
        <v>4.7954989748337153</v>
      </c>
      <c r="D43" s="52" t="s">
        <v>34</v>
      </c>
    </row>
    <row r="44" spans="1:5" ht="18.75" x14ac:dyDescent="0.35">
      <c r="A44" s="52" t="s">
        <v>72</v>
      </c>
      <c r="B44" s="52" t="s">
        <v>35</v>
      </c>
      <c r="C44" s="87">
        <v>4.0199999999999996</v>
      </c>
      <c r="D44" s="52" t="s">
        <v>36</v>
      </c>
      <c r="E44" s="78" t="str">
        <f>IF(lmag2&lt;lmag,"Please make Lmag &gt; or = Calculated Lmag","")</f>
        <v/>
      </c>
    </row>
    <row r="45" spans="1:5" ht="18.75" x14ac:dyDescent="0.35">
      <c r="A45" s="52" t="s">
        <v>54</v>
      </c>
      <c r="B45" s="52" t="s">
        <v>50</v>
      </c>
      <c r="C45" s="87">
        <v>31</v>
      </c>
      <c r="D45" s="52" t="s">
        <v>205</v>
      </c>
    </row>
    <row r="46" spans="1:5" ht="18.75" x14ac:dyDescent="0.35">
      <c r="A46" s="52" t="s">
        <v>55</v>
      </c>
      <c r="B46" s="52" t="s">
        <v>52</v>
      </c>
      <c r="C46" s="87">
        <v>3.6</v>
      </c>
      <c r="D46" s="52" t="s">
        <v>205</v>
      </c>
    </row>
    <row r="47" spans="1:5" ht="18.75" x14ac:dyDescent="0.35">
      <c r="A47" s="52" t="s">
        <v>298</v>
      </c>
      <c r="B47" s="52" t="s">
        <v>297</v>
      </c>
      <c r="C47" s="87">
        <v>0.01</v>
      </c>
      <c r="D47" s="52" t="s">
        <v>74</v>
      </c>
    </row>
    <row r="48" spans="1:5" ht="18.75" x14ac:dyDescent="0.35">
      <c r="A48" s="59" t="s">
        <v>56</v>
      </c>
      <c r="B48" s="52" t="s">
        <v>53</v>
      </c>
      <c r="C48" s="58">
        <f>2*((iprms^2*(dcrp/1000))+2*(isrms^2*(dcrs/1000)))</f>
        <v>13.654286242432931</v>
      </c>
      <c r="D48" s="52" t="s">
        <v>18</v>
      </c>
    </row>
    <row r="49" spans="1:6" ht="18.75" x14ac:dyDescent="0.35">
      <c r="A49" s="52" t="s">
        <v>57</v>
      </c>
      <c r="B49" s="52" t="s">
        <v>24</v>
      </c>
      <c r="C49" s="58">
        <f>pbudget-C48</f>
        <v>81.997887670610496</v>
      </c>
      <c r="D49" s="52" t="s">
        <v>18</v>
      </c>
      <c r="E49" s="78" t="str">
        <f>IF(C49&lt;0,"PBudget Cannot be Made with Selected Components","")</f>
        <v/>
      </c>
    </row>
    <row r="50" spans="1:6" x14ac:dyDescent="0.25">
      <c r="A50" s="75" t="s">
        <v>58</v>
      </c>
      <c r="B50" s="75"/>
      <c r="C50" s="94" t="s">
        <v>19</v>
      </c>
      <c r="D50" s="75"/>
      <c r="E50" s="75"/>
      <c r="F50" s="75"/>
    </row>
    <row r="51" spans="1:6" ht="18.75" x14ac:dyDescent="0.35">
      <c r="A51" s="59" t="s">
        <v>279</v>
      </c>
      <c r="B51" s="52" t="s">
        <v>69</v>
      </c>
      <c r="C51" s="87">
        <v>18</v>
      </c>
      <c r="D51" s="52" t="s">
        <v>17</v>
      </c>
    </row>
    <row r="52" spans="1:6" ht="18.75" x14ac:dyDescent="0.35">
      <c r="A52" s="52" t="s">
        <v>60</v>
      </c>
      <c r="B52" s="52" t="s">
        <v>59</v>
      </c>
      <c r="C52" s="87">
        <v>75</v>
      </c>
      <c r="D52" s="52" t="s">
        <v>205</v>
      </c>
    </row>
    <row r="53" spans="1:6" ht="18.75" x14ac:dyDescent="0.35">
      <c r="A53" s="52" t="s">
        <v>61</v>
      </c>
      <c r="B53" s="52" t="s">
        <v>63</v>
      </c>
      <c r="C53" s="87">
        <v>120</v>
      </c>
      <c r="D53" s="52" t="s">
        <v>62</v>
      </c>
    </row>
    <row r="54" spans="1:6" ht="18.75" x14ac:dyDescent="0.35">
      <c r="A54" s="52" t="s">
        <v>115</v>
      </c>
      <c r="B54" s="52" t="s">
        <v>70</v>
      </c>
      <c r="C54" s="87">
        <v>53</v>
      </c>
      <c r="D54" s="52" t="s">
        <v>71</v>
      </c>
    </row>
    <row r="55" spans="1:6" ht="36" x14ac:dyDescent="0.35">
      <c r="A55" s="54" t="s">
        <v>116</v>
      </c>
      <c r="B55" s="52" t="s">
        <v>64</v>
      </c>
      <c r="C55" s="87">
        <v>800</v>
      </c>
      <c r="D55" s="52" t="s">
        <v>17</v>
      </c>
    </row>
    <row r="56" spans="1:6" ht="18.75" x14ac:dyDescent="0.35">
      <c r="A56" s="52" t="s">
        <v>65</v>
      </c>
      <c r="B56" s="52" t="s">
        <v>66</v>
      </c>
      <c r="C56" s="58">
        <f>C53*((C55/VINMAX)^0.5)</f>
        <v>110.11955225786966</v>
      </c>
      <c r="D56" s="52" t="s">
        <v>62</v>
      </c>
    </row>
    <row r="57" spans="1:6" ht="18.75" x14ac:dyDescent="0.35">
      <c r="A57" s="52" t="s">
        <v>68</v>
      </c>
      <c r="B57" s="52" t="s">
        <v>67</v>
      </c>
      <c r="C57" s="58">
        <f>((iprms^2)*(rdsonqa/1000))+(2*(QAg*0.000000001)*vg*(fs*1000/2))</f>
        <v>1.915560781322341</v>
      </c>
      <c r="D57" s="52" t="s">
        <v>18</v>
      </c>
    </row>
    <row r="58" spans="1:6" ht="18.75" x14ac:dyDescent="0.35">
      <c r="A58" s="52" t="s">
        <v>57</v>
      </c>
      <c r="B58" s="52" t="s">
        <v>24</v>
      </c>
      <c r="C58" s="58">
        <f>C49-4*C57</f>
        <v>74.335644545321131</v>
      </c>
      <c r="D58" s="52" t="s">
        <v>18</v>
      </c>
      <c r="E58" s="78" t="str">
        <f>IF(C58&lt;0,"PBudget Cannot be Made with Selected Components","")</f>
        <v/>
      </c>
    </row>
    <row r="59" spans="1:6" ht="18.75" x14ac:dyDescent="0.35">
      <c r="A59" s="75" t="s">
        <v>282</v>
      </c>
      <c r="B59" s="56"/>
      <c r="C59" s="95"/>
      <c r="D59" s="56"/>
      <c r="E59" s="75"/>
      <c r="F59" s="75"/>
    </row>
    <row r="60" spans="1:6" ht="18.75" x14ac:dyDescent="0.35">
      <c r="A60" s="52" t="s">
        <v>85</v>
      </c>
      <c r="B60" s="52" t="s">
        <v>73</v>
      </c>
      <c r="C60" s="58">
        <f>(((2*cossqaavg*0.000000000001)*((vin)^2)/((ipp/2)-(dilout/(2*_ta1)))^2)*1000000)-llk</f>
        <v>17.260996239639731</v>
      </c>
      <c r="D60" s="52" t="s">
        <v>74</v>
      </c>
      <c r="E60" s="78" t="str">
        <f>IF(C60&lt;0,"Calculated Ls is Negative and Ls Might Not be Needed, However, Leave a Place Holder for Ls Just in Case","")</f>
        <v/>
      </c>
    </row>
    <row r="61" spans="1:6" ht="18.75" x14ac:dyDescent="0.35">
      <c r="A61" s="52" t="s">
        <v>172</v>
      </c>
      <c r="B61" s="52" t="s">
        <v>73</v>
      </c>
      <c r="C61" s="87">
        <v>17.5</v>
      </c>
      <c r="D61" s="52" t="s">
        <v>74</v>
      </c>
    </row>
    <row r="62" spans="1:6" ht="18.75" x14ac:dyDescent="0.35">
      <c r="A62" s="52" t="s">
        <v>76</v>
      </c>
      <c r="B62" s="52" t="s">
        <v>75</v>
      </c>
      <c r="C62" s="87">
        <v>2.6</v>
      </c>
      <c r="D62" s="52" t="s">
        <v>205</v>
      </c>
    </row>
    <row r="63" spans="1:6" ht="18.75" x14ac:dyDescent="0.35">
      <c r="A63" s="52" t="s">
        <v>77</v>
      </c>
      <c r="B63" s="52" t="s">
        <v>78</v>
      </c>
      <c r="C63" s="58">
        <f>2*iprms^2*(C62*0.001)</f>
        <v>0.11958341417168232</v>
      </c>
      <c r="D63" s="52" t="s">
        <v>18</v>
      </c>
    </row>
    <row r="64" spans="1:6" ht="18.75" x14ac:dyDescent="0.35">
      <c r="A64" s="52" t="s">
        <v>57</v>
      </c>
      <c r="B64" s="52" t="s">
        <v>24</v>
      </c>
      <c r="C64" s="58">
        <f>C58-C63</f>
        <v>74.216061131149445</v>
      </c>
      <c r="D64" s="52" t="s">
        <v>18</v>
      </c>
      <c r="E64" s="78" t="str">
        <f>IF(C64&lt;0,"PBudget Cannot be Made with Selected Components","")</f>
        <v/>
      </c>
    </row>
    <row r="65" spans="1:6" ht="18.75" x14ac:dyDescent="0.35">
      <c r="A65" s="75" t="s">
        <v>283</v>
      </c>
      <c r="B65" s="56"/>
      <c r="C65" s="95"/>
      <c r="D65" s="56"/>
      <c r="E65" s="75"/>
      <c r="F65" s="75"/>
    </row>
    <row r="66" spans="1:6" ht="18.75" x14ac:dyDescent="0.35">
      <c r="A66" s="52" t="s">
        <v>86</v>
      </c>
      <c r="B66" s="52" t="s">
        <v>79</v>
      </c>
      <c r="C66" s="58">
        <f>((VOUT*(1-dtyp))/(dilout*fs))*1000</f>
        <v>9.100164406831075</v>
      </c>
      <c r="D66" s="52" t="s">
        <v>74</v>
      </c>
    </row>
    <row r="67" spans="1:6" ht="18.75" x14ac:dyDescent="0.35">
      <c r="A67" s="52" t="s">
        <v>83</v>
      </c>
      <c r="B67" s="52" t="s">
        <v>84</v>
      </c>
      <c r="C67" s="58">
        <f>((pout/VOUT)^2+(dilout/(3^0.5))^2)^0.5</f>
        <v>40.709891562734434</v>
      </c>
      <c r="D67" s="52" t="s">
        <v>34</v>
      </c>
    </row>
    <row r="68" spans="1:6" ht="18.75" x14ac:dyDescent="0.35">
      <c r="A68" s="52" t="s">
        <v>173</v>
      </c>
      <c r="B68" s="52" t="s">
        <v>79</v>
      </c>
      <c r="C68" s="87">
        <v>8.8000000000000007</v>
      </c>
      <c r="D68" s="52" t="s">
        <v>74</v>
      </c>
      <c r="E68" s="52" t="str">
        <f>IF(lout&lt;(C66*0.9),"Lout needs to be &gt; or = Lout Calculated","")</f>
        <v/>
      </c>
    </row>
    <row r="69" spans="1:6" ht="18.75" x14ac:dyDescent="0.35">
      <c r="A69" s="52" t="s">
        <v>264</v>
      </c>
      <c r="B69" s="52" t="s">
        <v>80</v>
      </c>
      <c r="C69" s="87">
        <v>0.54</v>
      </c>
      <c r="D69" s="52" t="s">
        <v>205</v>
      </c>
    </row>
    <row r="70" spans="1:6" ht="18.75" x14ac:dyDescent="0.35">
      <c r="A70" s="52" t="s">
        <v>81</v>
      </c>
      <c r="B70" s="52" t="s">
        <v>82</v>
      </c>
      <c r="C70" s="58">
        <f>2*iloutrms^2*dcrlout*0.001</f>
        <v>1.789878892733564</v>
      </c>
      <c r="D70" s="52" t="s">
        <v>18</v>
      </c>
    </row>
    <row r="71" spans="1:6" ht="18.75" x14ac:dyDescent="0.35">
      <c r="A71" s="52" t="s">
        <v>57</v>
      </c>
      <c r="B71" s="52" t="s">
        <v>24</v>
      </c>
      <c r="C71" s="58">
        <f>C64-C70</f>
        <v>72.426182238415876</v>
      </c>
      <c r="D71" s="52" t="s">
        <v>18</v>
      </c>
      <c r="E71" s="78" t="str">
        <f>IF(C71&lt;0,"PBudget Cannot be Made with Selected Components","")</f>
        <v/>
      </c>
    </row>
    <row r="72" spans="1:6" ht="18.75" x14ac:dyDescent="0.35">
      <c r="A72" s="75" t="s">
        <v>284</v>
      </c>
      <c r="B72" s="56"/>
      <c r="C72" s="95"/>
      <c r="D72" s="56"/>
      <c r="E72" s="75"/>
      <c r="F72" s="75"/>
    </row>
    <row r="73" spans="1:6" ht="18.75" x14ac:dyDescent="0.35">
      <c r="A73" s="52" t="s">
        <v>88</v>
      </c>
      <c r="B73" s="52" t="s">
        <v>87</v>
      </c>
      <c r="C73" s="58">
        <f>((lout*pout*0.9)/VOUT)/VOUT</f>
        <v>11.775519031141869</v>
      </c>
      <c r="D73" s="52" t="s">
        <v>89</v>
      </c>
    </row>
    <row r="74" spans="1:6" ht="18.75" x14ac:dyDescent="0.35">
      <c r="A74" s="52" t="s">
        <v>206</v>
      </c>
      <c r="B74" s="52" t="s">
        <v>90</v>
      </c>
      <c r="C74" s="58">
        <f>((VTRAN*0.9)/((pout*0.9)/VOUT))*10^3</f>
        <v>42.036363636363639</v>
      </c>
      <c r="D74" s="52" t="s">
        <v>205</v>
      </c>
    </row>
    <row r="75" spans="1:6" ht="18.75" x14ac:dyDescent="0.35">
      <c r="A75" s="52" t="s">
        <v>207</v>
      </c>
      <c r="B75" s="52" t="s">
        <v>91</v>
      </c>
      <c r="C75" s="58">
        <f>(pout*0.9*thu)/(VOUT*VTRAN*0.1)</f>
        <v>2521.1426991415337</v>
      </c>
      <c r="D75" s="52" t="s">
        <v>92</v>
      </c>
    </row>
    <row r="76" spans="1:6" ht="18.75" x14ac:dyDescent="0.35">
      <c r="A76" s="52" t="s">
        <v>98</v>
      </c>
      <c r="B76" s="52" t="s">
        <v>97</v>
      </c>
      <c r="C76" s="58">
        <f>dilout/(3^0.5)</f>
        <v>4.6697448243278554</v>
      </c>
      <c r="D76" s="52" t="s">
        <v>34</v>
      </c>
    </row>
    <row r="77" spans="1:6" x14ac:dyDescent="0.25">
      <c r="A77" s="52" t="s">
        <v>175</v>
      </c>
      <c r="B77" s="52" t="s">
        <v>93</v>
      </c>
      <c r="C77" s="87">
        <v>8</v>
      </c>
    </row>
    <row r="78" spans="1:6" x14ac:dyDescent="0.25">
      <c r="A78" s="52" t="s">
        <v>94</v>
      </c>
      <c r="C78" s="87">
        <v>1500</v>
      </c>
      <c r="D78" s="52" t="s">
        <v>92</v>
      </c>
    </row>
    <row r="79" spans="1:6" x14ac:dyDescent="0.25">
      <c r="A79" s="52" t="s">
        <v>95</v>
      </c>
      <c r="C79" s="87">
        <v>13</v>
      </c>
      <c r="D79" s="52" t="s">
        <v>205</v>
      </c>
    </row>
    <row r="80" spans="1:6" ht="18.75" x14ac:dyDescent="0.35">
      <c r="A80" s="52" t="s">
        <v>96</v>
      </c>
      <c r="B80" s="52" t="s">
        <v>91</v>
      </c>
      <c r="C80" s="58">
        <f>C77*C78</f>
        <v>12000</v>
      </c>
      <c r="D80" s="52" t="s">
        <v>92</v>
      </c>
    </row>
    <row r="81" spans="1:7" ht="18.75" x14ac:dyDescent="0.35">
      <c r="A81" s="52" t="s">
        <v>265</v>
      </c>
      <c r="B81" s="52" t="s">
        <v>90</v>
      </c>
      <c r="C81" s="58">
        <f>C79/C77</f>
        <v>1.625</v>
      </c>
      <c r="D81" s="52" t="s">
        <v>205</v>
      </c>
    </row>
    <row r="82" spans="1:7" ht="18.75" x14ac:dyDescent="0.35">
      <c r="A82" s="52" t="s">
        <v>99</v>
      </c>
      <c r="B82" s="52" t="s">
        <v>100</v>
      </c>
      <c r="C82" s="58">
        <f>(C76^2)*C81*0.001</f>
        <v>3.543558967704729E-2</v>
      </c>
      <c r="D82" s="52" t="s">
        <v>18</v>
      </c>
    </row>
    <row r="83" spans="1:7" ht="18.75" x14ac:dyDescent="0.35">
      <c r="A83" s="52" t="s">
        <v>57</v>
      </c>
      <c r="B83" s="52" t="s">
        <v>24</v>
      </c>
      <c r="C83" s="58">
        <f>C71-C82</f>
        <v>72.390746648738826</v>
      </c>
      <c r="D83" s="52" t="s">
        <v>18</v>
      </c>
      <c r="E83" s="78" t="str">
        <f>IF(C83&lt;0,"PBudget Cannot be Made with Selected Components","")</f>
        <v/>
      </c>
    </row>
    <row r="84" spans="1:7" x14ac:dyDescent="0.25">
      <c r="A84" s="75" t="s">
        <v>109</v>
      </c>
      <c r="B84" s="56"/>
      <c r="C84" s="95"/>
      <c r="D84" s="56"/>
      <c r="E84" s="75"/>
      <c r="F84" s="75"/>
    </row>
    <row r="85" spans="1:7" ht="18.75" x14ac:dyDescent="0.35">
      <c r="A85" s="52" t="s">
        <v>135</v>
      </c>
      <c r="B85" s="52" t="s">
        <v>117</v>
      </c>
      <c r="C85" s="88">
        <f>2*VINMAX/_taa1</f>
        <v>190</v>
      </c>
      <c r="D85" s="52" t="s">
        <v>17</v>
      </c>
      <c r="E85" s="99" t="s">
        <v>336</v>
      </c>
    </row>
    <row r="86" spans="1:7" ht="18.75" x14ac:dyDescent="0.35">
      <c r="A86" s="52" t="s">
        <v>112</v>
      </c>
      <c r="B86" s="52" t="s">
        <v>110</v>
      </c>
      <c r="C86" s="87">
        <v>99</v>
      </c>
      <c r="D86" s="52" t="s">
        <v>71</v>
      </c>
    </row>
    <row r="87" spans="1:7" ht="18.75" x14ac:dyDescent="0.35">
      <c r="A87" s="52" t="s">
        <v>266</v>
      </c>
      <c r="B87" s="52" t="s">
        <v>111</v>
      </c>
      <c r="C87" s="87">
        <v>7.5</v>
      </c>
      <c r="D87" s="52" t="s">
        <v>205</v>
      </c>
    </row>
    <row r="88" spans="1:7" ht="18.75" x14ac:dyDescent="0.35">
      <c r="A88" s="52" t="s">
        <v>119</v>
      </c>
      <c r="B88" s="52" t="s">
        <v>118</v>
      </c>
      <c r="C88" s="87">
        <v>400</v>
      </c>
      <c r="D88" s="52" t="s">
        <v>17</v>
      </c>
    </row>
    <row r="89" spans="1:7" ht="18.75" x14ac:dyDescent="0.35">
      <c r="A89" s="52" t="s">
        <v>121</v>
      </c>
      <c r="B89" s="52" t="s">
        <v>120</v>
      </c>
      <c r="C89" s="87">
        <v>260.18</v>
      </c>
      <c r="D89" s="52" t="s">
        <v>62</v>
      </c>
    </row>
    <row r="90" spans="1:7" ht="18.75" x14ac:dyDescent="0.35">
      <c r="A90" s="52" t="s">
        <v>123</v>
      </c>
      <c r="B90" s="52" t="s">
        <v>122</v>
      </c>
      <c r="C90" s="58">
        <f>C89*((C85/C88)^0.5)</f>
        <v>179.31669021594169</v>
      </c>
      <c r="D90" s="52" t="s">
        <v>62</v>
      </c>
    </row>
    <row r="91" spans="1:7" ht="18.75" x14ac:dyDescent="0.35">
      <c r="A91" s="52" t="s">
        <v>124</v>
      </c>
      <c r="B91" s="52" t="s">
        <v>125</v>
      </c>
      <c r="C91" s="58">
        <f>isrms</f>
        <v>29.141041119656069</v>
      </c>
      <c r="D91" s="52" t="s">
        <v>34</v>
      </c>
    </row>
    <row r="92" spans="1:7" ht="18.75" x14ac:dyDescent="0.35">
      <c r="A92" s="52" t="s">
        <v>128</v>
      </c>
      <c r="B92" s="52" t="s">
        <v>126</v>
      </c>
      <c r="C92" s="87">
        <v>63</v>
      </c>
      <c r="D92" s="52" t="s">
        <v>71</v>
      </c>
    </row>
    <row r="93" spans="1:7" ht="18.75" x14ac:dyDescent="0.35">
      <c r="A93" s="52" t="s">
        <v>267</v>
      </c>
      <c r="B93" s="52" t="s">
        <v>127</v>
      </c>
      <c r="C93" s="87">
        <v>29</v>
      </c>
      <c r="D93" s="52" t="s">
        <v>71</v>
      </c>
    </row>
    <row r="94" spans="1:7" ht="18.75" x14ac:dyDescent="0.35">
      <c r="A94" s="52" t="s">
        <v>129</v>
      </c>
      <c r="B94" s="52" t="s">
        <v>130</v>
      </c>
      <c r="C94" s="87">
        <v>4</v>
      </c>
      <c r="D94" s="52" t="s">
        <v>34</v>
      </c>
    </row>
    <row r="95" spans="1:7" ht="18.75" x14ac:dyDescent="0.35">
      <c r="A95" s="52" t="s">
        <v>268</v>
      </c>
      <c r="B95" s="52" t="s">
        <v>131</v>
      </c>
      <c r="C95" s="58">
        <f>(C92-C93)/(C94/2)</f>
        <v>17</v>
      </c>
      <c r="D95" s="52" t="s">
        <v>132</v>
      </c>
    </row>
    <row r="96" spans="1:7" ht="18.75" x14ac:dyDescent="0.35">
      <c r="A96" s="52" t="s">
        <v>133</v>
      </c>
      <c r="B96" s="52" t="s">
        <v>134</v>
      </c>
      <c r="C96" s="58">
        <f>((isrms^2)*(rdsonqe*0.001))+(pout/VOUT)*vdsqe*(2*tr*0.000000001)*((fs*1000)/2)+(2*(cossqeavg*0.000000000001)*(vdsqe^2)*((fs*1000)/2))+(2*(qeg*0.000000001)*vg*((fs*1000)/2))</f>
        <v>34.145068584890247</v>
      </c>
      <c r="D96" s="52" t="s">
        <v>18</v>
      </c>
      <c r="G96" s="52">
        <v>7.66</v>
      </c>
    </row>
    <row r="97" spans="1:6" ht="18.75" x14ac:dyDescent="0.35">
      <c r="A97" s="54" t="s">
        <v>57</v>
      </c>
      <c r="B97" s="52" t="s">
        <v>24</v>
      </c>
      <c r="C97" s="58">
        <f>C83-2*C96</f>
        <v>4.1006094789583329</v>
      </c>
      <c r="D97" s="52" t="s">
        <v>18</v>
      </c>
      <c r="E97" s="78" t="str">
        <f>IF(C97&lt;0,"PBudget Cannot be Made with Selected Components","")</f>
        <v/>
      </c>
    </row>
    <row r="98" spans="1:6" ht="18.75" x14ac:dyDescent="0.35">
      <c r="A98" s="75" t="s">
        <v>285</v>
      </c>
      <c r="B98" s="56"/>
      <c r="C98" s="95"/>
      <c r="D98" s="56"/>
      <c r="E98" s="75"/>
      <c r="F98" s="75"/>
    </row>
    <row r="99" spans="1:6" hidden="1" x14ac:dyDescent="0.25">
      <c r="A99" s="54" t="s">
        <v>166</v>
      </c>
      <c r="B99" s="52" t="s">
        <v>165</v>
      </c>
      <c r="C99" s="58">
        <f>1/(2*PI()*(ls*0.000001*2*cossqaavg*0.000000000001)^0.5)</f>
        <v>2563621.416457159</v>
      </c>
      <c r="D99" s="52" t="s">
        <v>19</v>
      </c>
    </row>
    <row r="100" spans="1:6" ht="18.75" x14ac:dyDescent="0.35">
      <c r="A100" s="54" t="s">
        <v>167</v>
      </c>
      <c r="B100" s="52" t="s">
        <v>164</v>
      </c>
      <c r="C100" s="58">
        <f>2.2*1000000000/(C99*4)</f>
        <v>214.54025796058531</v>
      </c>
      <c r="D100" s="52" t="s">
        <v>132</v>
      </c>
    </row>
    <row r="101" spans="1:6" hidden="1" x14ac:dyDescent="0.25">
      <c r="A101" s="54" t="s">
        <v>170</v>
      </c>
      <c r="B101" s="52" t="s">
        <v>171</v>
      </c>
      <c r="C101" s="58">
        <f>1/(fs*1000)</f>
        <v>5.0000000000000004E-6</v>
      </c>
      <c r="E101" s="52" t="s">
        <v>19</v>
      </c>
    </row>
    <row r="102" spans="1:6" ht="18.75" x14ac:dyDescent="0.35">
      <c r="A102" s="54" t="s">
        <v>169</v>
      </c>
      <c r="B102" s="52" t="s">
        <v>168</v>
      </c>
      <c r="C102" s="58">
        <f>(C101-C100*0.000000001)/C101</f>
        <v>0.95709194840788292</v>
      </c>
    </row>
    <row r="103" spans="1:6" ht="18.75" x14ac:dyDescent="0.35">
      <c r="A103" s="52" t="s">
        <v>102</v>
      </c>
      <c r="B103" s="52" t="s">
        <v>101</v>
      </c>
      <c r="C103" s="58">
        <f>((2*dclamp*vrdson)+(_taa1*(VOUT+vrdson)))/dclamp</f>
        <v>287.92871534178187</v>
      </c>
      <c r="D103" s="52" t="s">
        <v>17</v>
      </c>
    </row>
    <row r="104" spans="1:6" ht="18.75" x14ac:dyDescent="0.35">
      <c r="A104" s="52" t="s">
        <v>104</v>
      </c>
      <c r="B104" s="52" t="s">
        <v>103</v>
      </c>
      <c r="C104" s="58">
        <f>((2*pout*(1/60))/(vin^2-C103^2))*1000000</f>
        <v>132.32427418735915</v>
      </c>
      <c r="D104" s="52" t="s">
        <v>92</v>
      </c>
      <c r="E104" s="78" t="str">
        <f>IF(VINMIN&lt;200,"Non-PFC Cin Capacitance Cannot Be Calculated, Use Other Method","")</f>
        <v/>
      </c>
    </row>
    <row r="105" spans="1:6" ht="18.75" x14ac:dyDescent="0.35">
      <c r="A105" s="52" t="s">
        <v>105</v>
      </c>
      <c r="B105" s="52" t="s">
        <v>106</v>
      </c>
      <c r="C105" s="58">
        <f>(    (iprms1^2)    -(        ( pout/(VINMIN*Eff)       )   ^2)           )^0.5</f>
        <v>2.4152187315566964</v>
      </c>
      <c r="D105" s="52" t="s">
        <v>34</v>
      </c>
    </row>
    <row r="106" spans="1:6" ht="18.75" x14ac:dyDescent="0.35">
      <c r="A106" s="52" t="s">
        <v>176</v>
      </c>
      <c r="B106" s="52" t="s">
        <v>103</v>
      </c>
      <c r="C106" s="87">
        <v>770</v>
      </c>
      <c r="D106" s="52" t="s">
        <v>92</v>
      </c>
    </row>
    <row r="107" spans="1:6" ht="18.75" x14ac:dyDescent="0.35">
      <c r="A107" s="52" t="s">
        <v>269</v>
      </c>
      <c r="B107" s="52" t="s">
        <v>107</v>
      </c>
      <c r="C107" s="87">
        <v>100</v>
      </c>
      <c r="D107" s="52" t="s">
        <v>205</v>
      </c>
    </row>
    <row r="108" spans="1:6" ht="18.75" x14ac:dyDescent="0.35">
      <c r="A108" s="52" t="s">
        <v>270</v>
      </c>
      <c r="B108" s="52" t="s">
        <v>108</v>
      </c>
      <c r="C108" s="58">
        <f>(C105^2)*(C107*0.001)</f>
        <v>0.58332815212623379</v>
      </c>
      <c r="D108" s="52" t="s">
        <v>18</v>
      </c>
    </row>
    <row r="109" spans="1:6" ht="54.75" customHeight="1" x14ac:dyDescent="0.35">
      <c r="A109" s="54" t="s">
        <v>286</v>
      </c>
      <c r="B109" s="52" t="s">
        <v>24</v>
      </c>
      <c r="C109" s="58">
        <f>C97-C108</f>
        <v>3.5172813268320993</v>
      </c>
      <c r="D109" s="52" t="s">
        <v>18</v>
      </c>
      <c r="E109" s="78" t="str">
        <f>IF(C109&lt;0,"PBudget Cannot be Made with Selected Components","")</f>
        <v/>
      </c>
    </row>
    <row r="110" spans="1:6" ht="18.75" x14ac:dyDescent="0.35">
      <c r="A110" s="75" t="s">
        <v>293</v>
      </c>
      <c r="B110" s="75"/>
      <c r="C110" s="94" t="s">
        <v>19</v>
      </c>
      <c r="D110" s="75" t="s">
        <v>19</v>
      </c>
      <c r="E110" s="75" t="s">
        <v>19</v>
      </c>
      <c r="F110" s="75"/>
    </row>
    <row r="111" spans="1:6" ht="18.75" x14ac:dyDescent="0.35">
      <c r="A111" s="52" t="s">
        <v>137</v>
      </c>
      <c r="B111" s="52" t="s">
        <v>136</v>
      </c>
      <c r="C111" s="87">
        <v>100</v>
      </c>
    </row>
    <row r="112" spans="1:6" ht="18.75" x14ac:dyDescent="0.35">
      <c r="A112" s="52" t="s">
        <v>158</v>
      </c>
      <c r="B112" s="52" t="s">
        <v>157</v>
      </c>
      <c r="C112" s="88">
        <f>((pout/(VOUT)+(dilout/2))/(Eff*_taa1))+((VINMIN*dmax)/(lmag2*fs))</f>
        <v>5.1637162652212094</v>
      </c>
      <c r="D112" s="52" t="s">
        <v>34</v>
      </c>
      <c r="E112" s="52" t="s">
        <v>19</v>
      </c>
    </row>
    <row r="113" spans="1:6" ht="18.75" x14ac:dyDescent="0.35">
      <c r="A113" s="52" t="s">
        <v>155</v>
      </c>
      <c r="B113" s="52" t="s">
        <v>154</v>
      </c>
      <c r="C113" s="58">
        <f>(2-0.2)/((_ipp1/_ta2)*1.1)</f>
        <v>31.689650482636186</v>
      </c>
      <c r="D113" s="52" t="s">
        <v>156</v>
      </c>
    </row>
    <row r="114" spans="1:6" ht="18.75" x14ac:dyDescent="0.35">
      <c r="A114" s="52" t="s">
        <v>295</v>
      </c>
      <c r="B114" s="52" t="s">
        <v>154</v>
      </c>
      <c r="C114" s="58">
        <f>(IF((10^(LOG(C113)-INT(LOG(C113)))*100)-VLOOKUP((10^(LOG(C113)-INT(LOG(C113)))*100),E48_s:E48_f,1)&lt;VLOOKUP((10^(LOG(C113)-INT(LOG(C113)))*100),E48_s:E48_f,2)-(10^(LOG(C113)-INT(LOG(C113)))*100),VLOOKUP((10^(LOG(C113)-INT(LOG(C113)))*100),E48_s:E48_f,1),VLOOKUP((10^(LOG(C113)-INT(LOG(C113)))*100),E48_s:E48_f,2)))*10^INT(LOG(C113))/100</f>
        <v>31.6</v>
      </c>
      <c r="D114" s="52" t="s">
        <v>156</v>
      </c>
    </row>
    <row r="115" spans="1:6" ht="18.75" x14ac:dyDescent="0.35">
      <c r="A115" s="52" t="s">
        <v>159</v>
      </c>
      <c r="B115" s="52" t="s">
        <v>154</v>
      </c>
      <c r="C115" s="87">
        <v>41</v>
      </c>
      <c r="D115" s="52" t="s">
        <v>156</v>
      </c>
      <c r="E115" s="52" t="s">
        <v>19</v>
      </c>
    </row>
    <row r="116" spans="1:6" ht="18.75" x14ac:dyDescent="0.35">
      <c r="A116" s="52" t="s">
        <v>160</v>
      </c>
      <c r="B116" s="52" t="s">
        <v>161</v>
      </c>
      <c r="C116" s="58">
        <f>((iprms1/_ta2)^2)*C115</f>
        <v>6.0549547337364618E-2</v>
      </c>
      <c r="D116" s="52" t="s">
        <v>18</v>
      </c>
    </row>
    <row r="117" spans="1:6" ht="18.75" x14ac:dyDescent="0.35">
      <c r="A117" s="52" t="s">
        <v>163</v>
      </c>
      <c r="B117" s="52" t="s">
        <v>162</v>
      </c>
      <c r="C117" s="58">
        <f>(2*(dclamp))/(1-dclamp)</f>
        <v>44.611298481039235</v>
      </c>
      <c r="D117" s="52" t="s">
        <v>17</v>
      </c>
    </row>
    <row r="118" spans="1:6" ht="18.75" x14ac:dyDescent="0.35">
      <c r="A118" s="52" t="s">
        <v>177</v>
      </c>
      <c r="B118" s="52" t="s">
        <v>178</v>
      </c>
      <c r="C118" s="58">
        <f>(pout*0.6)/(VINMIN*Eff*_ta2)</f>
        <v>1.7934782608695653E-2</v>
      </c>
      <c r="D118" s="52" t="s">
        <v>18</v>
      </c>
    </row>
    <row r="119" spans="1:6" ht="18.75" x14ac:dyDescent="0.35">
      <c r="A119" s="75" t="s">
        <v>287</v>
      </c>
      <c r="B119" s="56"/>
      <c r="C119" s="95"/>
      <c r="D119" s="56"/>
      <c r="E119" s="75" t="s">
        <v>19</v>
      </c>
      <c r="F119" s="75"/>
    </row>
    <row r="120" spans="1:6" x14ac:dyDescent="0.25">
      <c r="A120" s="52" t="s">
        <v>271</v>
      </c>
      <c r="B120" s="52" t="s">
        <v>179</v>
      </c>
      <c r="C120" s="87">
        <v>2.5</v>
      </c>
      <c r="D120" s="52" t="s">
        <v>17</v>
      </c>
      <c r="E120" s="78" t="str">
        <f>IF(_va1&gt;VOUT,"V1 Needs to be &lt; VOUT",IF(_va1=VOUT,"V1 Needs to be &lt; VOUT",""))</f>
        <v/>
      </c>
      <c r="F120" s="78"/>
    </row>
    <row r="121" spans="1:6" ht="18.75" x14ac:dyDescent="0.35">
      <c r="A121" s="52" t="s">
        <v>181</v>
      </c>
      <c r="B121" s="52" t="s">
        <v>180</v>
      </c>
      <c r="C121" s="87">
        <v>2.37</v>
      </c>
      <c r="D121" s="52" t="s">
        <v>208</v>
      </c>
      <c r="E121" s="78" t="str">
        <f>IF(_va1&lt;0.5,"V1 Needs to be Greater than 0.5","")</f>
        <v/>
      </c>
    </row>
    <row r="122" spans="1:6" ht="18.75" x14ac:dyDescent="0.35">
      <c r="A122" s="52" t="s">
        <v>183</v>
      </c>
      <c r="B122" s="52" t="s">
        <v>182</v>
      </c>
      <c r="C122" s="58">
        <f>C121*(5-C120)/C120</f>
        <v>2.37</v>
      </c>
      <c r="D122" s="52" t="s">
        <v>208</v>
      </c>
    </row>
    <row r="123" spans="1:6" ht="18.75" x14ac:dyDescent="0.35">
      <c r="A123" s="52" t="s">
        <v>295</v>
      </c>
      <c r="B123" s="52" t="s">
        <v>182</v>
      </c>
      <c r="C123" s="58">
        <f>(IF((10^(LOG(C122)-INT(LOG(C122)))*100)-VLOOKUP((10^(LOG(C122)-INT(LOG(C122)))*100),E48_s:E48_f,1)&lt;VLOOKUP((10^(LOG(C122)-INT(LOG(C122)))*100),E48_s:E48_f,2)-(10^(LOG(C122)-INT(LOG(C122)))*100),VLOOKUP((10^(LOG(C122)-INT(LOG(C122)))*100),E48_s:E48_f,1),VLOOKUP((10^(LOG(C122)-INT(LOG(C122)))*100),E48_s:E48_f,2)))*10^INT(LOG(C122))/100</f>
        <v>2.37</v>
      </c>
      <c r="D123" s="52" t="s">
        <v>208</v>
      </c>
    </row>
    <row r="124" spans="1:6" ht="18.75" x14ac:dyDescent="0.35">
      <c r="A124" s="52" t="s">
        <v>323</v>
      </c>
      <c r="B124" s="52" t="s">
        <v>182</v>
      </c>
      <c r="C124" s="87">
        <v>2.37</v>
      </c>
      <c r="D124" s="52" t="s">
        <v>208</v>
      </c>
    </row>
    <row r="125" spans="1:6" ht="18.75" x14ac:dyDescent="0.35">
      <c r="A125" s="52" t="s">
        <v>181</v>
      </c>
      <c r="B125" s="52" t="s">
        <v>184</v>
      </c>
      <c r="C125" s="87">
        <v>2.37</v>
      </c>
      <c r="D125" s="52" t="s">
        <v>208</v>
      </c>
    </row>
    <row r="126" spans="1:6" ht="18.75" x14ac:dyDescent="0.35">
      <c r="A126" s="52" t="s">
        <v>183</v>
      </c>
      <c r="B126" s="52" t="s">
        <v>185</v>
      </c>
      <c r="C126" s="58">
        <f>C125*(VOUT-_va1)/_va1</f>
        <v>23.415600000000001</v>
      </c>
      <c r="D126" s="52" t="s">
        <v>208</v>
      </c>
    </row>
    <row r="127" spans="1:6" ht="18.75" x14ac:dyDescent="0.35">
      <c r="A127" s="52" t="s">
        <v>295</v>
      </c>
      <c r="B127" s="52" t="s">
        <v>185</v>
      </c>
      <c r="C127" s="58">
        <f>(IF((10^(LOG(C126)-INT(LOG(C126)))*100)-VLOOKUP((10^(LOG(C126)-INT(LOG(C126)))*100),E48_s:E48_f,1)&lt;VLOOKUP((10^(LOG(C126)-INT(LOG(C126)))*100),E48_s:E48_f,2)-(10^(LOG(C126)-INT(LOG(C126)))*100),VLOOKUP((10^(LOG(C126)-INT(LOG(C126)))*100),E48_s:E48_f,1),VLOOKUP((10^(LOG(C126)-INT(LOG(C126)))*100),E48_s:E48_f,2)))*10^INT(LOG(C126))/100</f>
        <v>23.7</v>
      </c>
      <c r="D127" s="52" t="s">
        <v>208</v>
      </c>
    </row>
    <row r="128" spans="1:6" ht="18.75" x14ac:dyDescent="0.35">
      <c r="A128" s="52" t="s">
        <v>323</v>
      </c>
      <c r="B128" s="52" t="s">
        <v>185</v>
      </c>
      <c r="C128" s="87">
        <v>23.7</v>
      </c>
      <c r="D128" s="52" t="s">
        <v>208</v>
      </c>
    </row>
    <row r="129" spans="1:5" ht="18.75" x14ac:dyDescent="0.35">
      <c r="A129" s="52" t="s">
        <v>280</v>
      </c>
      <c r="B129" s="52" t="s">
        <v>281</v>
      </c>
      <c r="C129" s="58">
        <f>fs/4</f>
        <v>50</v>
      </c>
      <c r="D129" s="52" t="s">
        <v>20</v>
      </c>
    </row>
    <row r="130" spans="1:5" ht="18.75" x14ac:dyDescent="0.35">
      <c r="A130" s="52" t="s">
        <v>187</v>
      </c>
      <c r="B130" s="52" t="s">
        <v>186</v>
      </c>
      <c r="C130" s="58">
        <f>fs/40</f>
        <v>5</v>
      </c>
      <c r="D130" s="52" t="s">
        <v>20</v>
      </c>
    </row>
    <row r="131" spans="1:5" ht="18.75" x14ac:dyDescent="0.35">
      <c r="A131" s="52" t="s">
        <v>272</v>
      </c>
      <c r="B131" s="52" t="s">
        <v>188</v>
      </c>
      <c r="C131" s="58">
        <f>(VOUT^2)/(pout*0.1)</f>
        <v>6.7258181818181813</v>
      </c>
      <c r="D131" s="52" t="s">
        <v>156</v>
      </c>
    </row>
    <row r="132" spans="1:5" hidden="1" x14ac:dyDescent="0.25">
      <c r="A132" s="51" t="s">
        <v>189</v>
      </c>
      <c r="B132" s="51" t="s">
        <v>190</v>
      </c>
      <c r="C132" s="96">
        <f>_ta1*_ta2*(rload/RS)</f>
        <v>157.24634820399112</v>
      </c>
      <c r="D132" s="52" t="s">
        <v>19</v>
      </c>
    </row>
    <row r="133" spans="1:5" hidden="1" x14ac:dyDescent="0.25">
      <c r="A133" s="51" t="s">
        <v>197</v>
      </c>
      <c r="B133" s="51"/>
      <c r="C133" s="96" t="str">
        <f>(COMPLEX(1,2*PI()*fc*1000*esrcout*0.001*cout*0.000001))</f>
        <v>1+0.61261056745001i</v>
      </c>
    </row>
    <row r="134" spans="1:5" hidden="1" x14ac:dyDescent="0.25">
      <c r="A134" s="51" t="s">
        <v>191</v>
      </c>
      <c r="B134" s="51" t="s">
        <v>192</v>
      </c>
      <c r="C134" s="96" t="str">
        <f>IMDIV((COMPLEX(1,2*PI()*fc*1000*esrcout*0.001*cout*0.000001)),(COMPLEX(1,2*PI()*fc*1000*rload*cout*0.000001)))</f>
        <v>0.000241761797590393-0.0003942927120671i</v>
      </c>
    </row>
    <row r="135" spans="1:5" hidden="1" x14ac:dyDescent="0.25">
      <c r="A135" s="51" t="s">
        <v>193</v>
      </c>
      <c r="B135" s="51" t="s">
        <v>193</v>
      </c>
      <c r="C135" s="96" t="str">
        <f>IMDIV(1,(COMPLEX((1-(fc/fpp)^2),(fc/fpp))))</f>
        <v>0.999899000101-0.100999899000101i</v>
      </c>
    </row>
    <row r="136" spans="1:5" hidden="1" x14ac:dyDescent="0.25">
      <c r="A136" s="51" t="s">
        <v>194</v>
      </c>
      <c r="C136" s="96" t="str">
        <f>IMPRODUCT(n1divd1,d2a)</f>
        <v>0.000201913855578001-0.000418670805681717i</v>
      </c>
      <c r="E136" s="51"/>
    </row>
    <row r="137" spans="1:5" hidden="1" x14ac:dyDescent="0.25">
      <c r="A137" s="51" t="s">
        <v>195</v>
      </c>
      <c r="C137" s="96" t="str">
        <f>IMPRODUCT(constant,C136)</f>
        <v>0.0317502164414287-0.0658344552930728i</v>
      </c>
    </row>
    <row r="138" spans="1:5" hidden="1" x14ac:dyDescent="0.25">
      <c r="A138" s="51" t="s">
        <v>196</v>
      </c>
      <c r="B138" s="51" t="s">
        <v>198</v>
      </c>
      <c r="C138" s="96">
        <f>IMABS(C137)</f>
        <v>7.3090709038927573E-2</v>
      </c>
    </row>
    <row r="139" spans="1:5" ht="18.75" x14ac:dyDescent="0.35">
      <c r="A139" s="52" t="s">
        <v>200</v>
      </c>
      <c r="B139" s="52" t="s">
        <v>199</v>
      </c>
      <c r="C139" s="58">
        <f>RII/C138</f>
        <v>324.25461883777257</v>
      </c>
      <c r="D139" s="52" t="s">
        <v>208</v>
      </c>
    </row>
    <row r="140" spans="1:5" ht="18.75" x14ac:dyDescent="0.35">
      <c r="A140" s="52" t="s">
        <v>295</v>
      </c>
      <c r="B140" s="52" t="s">
        <v>199</v>
      </c>
      <c r="C140" s="58">
        <f>(IF((10^(LOG(C139)-INT(LOG(C139)))*100)-VLOOKUP((10^(LOG(C139)-INT(LOG(C139)))*100),E48_s:E48_f,1)&lt;VLOOKUP((10^(LOG(C139)-INT(LOG(C139)))*100),E48_s:E48_f,2)-(10^(LOG(C139)-INT(LOG(C139)))*100),VLOOKUP((10^(LOG(C139)-INT(LOG(C139)))*100),E48_s:E48_f,1),VLOOKUP((10^(LOG(C139)-INT(LOG(C139)))*100),E48_s:E48_f,2)))*10^INT(LOG(C139))/100</f>
        <v>332</v>
      </c>
      <c r="D140" s="52" t="s">
        <v>208</v>
      </c>
    </row>
    <row r="141" spans="1:5" ht="18.75" x14ac:dyDescent="0.35">
      <c r="A141" s="52" t="s">
        <v>323</v>
      </c>
      <c r="B141" s="52" t="s">
        <v>199</v>
      </c>
      <c r="C141" s="87">
        <v>50</v>
      </c>
      <c r="D141" s="52" t="s">
        <v>208</v>
      </c>
    </row>
    <row r="142" spans="1:5" ht="18.75" x14ac:dyDescent="0.35">
      <c r="A142" s="52" t="s">
        <v>204</v>
      </c>
      <c r="B142" s="52" t="s">
        <v>201</v>
      </c>
      <c r="C142" s="58">
        <f>(1/(2*PI()*C141*(fc/5)))*10^3</f>
        <v>3.1830988618379066</v>
      </c>
      <c r="D142" s="52" t="s">
        <v>202</v>
      </c>
      <c r="E142" s="57"/>
    </row>
    <row r="143" spans="1:5" ht="18" customHeight="1" x14ac:dyDescent="0.25">
      <c r="A143" s="52" t="s">
        <v>294</v>
      </c>
      <c r="B143" s="52" t="s">
        <v>210</v>
      </c>
      <c r="C143" s="97">
        <f>IF(C142&lt;10000,C144*10^INT(LOG(C142)),C145*10^INT(LOG(C142)))</f>
        <v>3.3</v>
      </c>
      <c r="D143" s="52" t="s">
        <v>202</v>
      </c>
    </row>
    <row r="144" spans="1:5" ht="18" hidden="1" customHeight="1" x14ac:dyDescent="0.25">
      <c r="A144" s="51" t="s">
        <v>211</v>
      </c>
      <c r="C144" s="98">
        <f>IF((10^(LOG(C142)-INT(LOG(C142))))-VLOOKUP((10^(LOG(C142)-INT(LOG(C142)))),c_s1:C_f1,1)&lt;VLOOKUP((10^(LOG(C142)-INT(LOG(C142)))),c_s1:C_f1,2)-(10^(LOG(C142)-INT(LOG(C142)))),VLOOKUP((10^(LOG(C142)-INT(LOG(C142)))),c_s1:C_f1,1),VLOOKUP((10^(LOG(C142)-INT(LOG(C142)))),c_s1:C_f1,2))</f>
        <v>3.3</v>
      </c>
    </row>
    <row r="145" spans="1:5" ht="18" hidden="1" customHeight="1" x14ac:dyDescent="0.25">
      <c r="A145" s="51" t="s">
        <v>212</v>
      </c>
      <c r="C145" s="98">
        <f>IF((10^(LOG(C142)-INT(LOG(C142))))-VLOOKUP((10^(LOG(C142)-INT(LOG(C142)))),C_s2:C_f2,1)&lt;VLOOKUP((10^(LOG(C142)-INT(LOG(C142)))),C_s2:C_f2,2)-(10^(LOG(C142)-INT(LOG(C142)))),VLOOKUP((10^(LOG(C142)-INT(LOG(C142)))),C_s2:C_f2,1),VLOOKUP((10^(LOG(C142)-INT(LOG(C142)))),C_s2:C_f2,2))</f>
        <v>3.3</v>
      </c>
    </row>
    <row r="146" spans="1:5" ht="18.75" x14ac:dyDescent="0.35">
      <c r="A146" s="52" t="s">
        <v>325</v>
      </c>
      <c r="B146" s="52" t="s">
        <v>201</v>
      </c>
      <c r="C146" s="87">
        <v>10</v>
      </c>
      <c r="D146" s="52" t="s">
        <v>202</v>
      </c>
    </row>
    <row r="147" spans="1:5" ht="18.75" x14ac:dyDescent="0.35">
      <c r="A147" s="61" t="s">
        <v>203</v>
      </c>
      <c r="B147" s="61" t="s">
        <v>209</v>
      </c>
      <c r="C147" s="88">
        <f>1000000/(2*PI()*rf*fc*2)</f>
        <v>318.30988618379064</v>
      </c>
      <c r="D147" s="52" t="s">
        <v>62</v>
      </c>
      <c r="E147" s="62" t="s">
        <v>19</v>
      </c>
    </row>
    <row r="148" spans="1:5" ht="18.75" x14ac:dyDescent="0.35">
      <c r="A148" s="52" t="s">
        <v>294</v>
      </c>
      <c r="B148" s="61" t="s">
        <v>209</v>
      </c>
      <c r="C148" s="97">
        <f>IF(C147&lt;10000,C149*10^INT(LOG(C147)),C150*10^INT(LOG(C147)))</f>
        <v>330</v>
      </c>
      <c r="D148" s="52" t="s">
        <v>62</v>
      </c>
      <c r="E148" s="60"/>
    </row>
    <row r="149" spans="1:5" hidden="1" x14ac:dyDescent="0.25">
      <c r="A149" s="51" t="s">
        <v>211</v>
      </c>
      <c r="B149" s="63"/>
      <c r="C149" s="98">
        <f>IF((10^(LOG(C147)-INT(LOG(C147))))-VLOOKUP((10^(LOG(C147)-INT(LOG(C147)))),c_s1:C_f1,1)&lt;VLOOKUP((10^(LOG(C147)-INT(LOG(C147)))),c_s1:C_f1,2)-(10^(LOG(C147)-INT(LOG(C147)))),VLOOKUP((10^(LOG(C147)-INT(LOG(C147)))),c_s1:C_f1,1),VLOOKUP((10^(LOG(C147)-INT(LOG(C147)))),c_s1:C_f1,2))</f>
        <v>3.3</v>
      </c>
    </row>
    <row r="150" spans="1:5" hidden="1" x14ac:dyDescent="0.25">
      <c r="A150" s="51" t="s">
        <v>212</v>
      </c>
      <c r="B150" s="63"/>
      <c r="C150" s="98">
        <f>IF((10^(LOG(C147)-INT(LOG(C147))))-VLOOKUP((10^(LOG(C147)-INT(LOG(C147)))),C_s2:C_f2,1)&lt;VLOOKUP((10^(LOG(C147)-INT(LOG(C147)))),C_s2:C_f2,2)-(10^(LOG(C147)-INT(LOG(C147)))),VLOOKUP((10^(LOG(C147)-INT(LOG(C147)))),C_s2:C_f2,1),VLOOKUP((10^(LOG(C147)-INT(LOG(C147)))),C_s2:C_f2,2))</f>
        <v>3.3</v>
      </c>
    </row>
    <row r="151" spans="1:5" ht="18.75" x14ac:dyDescent="0.35">
      <c r="A151" s="52" t="s">
        <v>325</v>
      </c>
      <c r="B151" s="52" t="s">
        <v>209</v>
      </c>
      <c r="C151" s="87">
        <v>330</v>
      </c>
      <c r="D151" s="52" t="s">
        <v>62</v>
      </c>
    </row>
    <row r="152" spans="1:5" x14ac:dyDescent="0.25">
      <c r="C152" s="87"/>
    </row>
    <row r="153" spans="1:5" x14ac:dyDescent="0.25">
      <c r="C153" s="87"/>
    </row>
    <row r="154" spans="1:5" x14ac:dyDescent="0.25">
      <c r="C154" s="87"/>
    </row>
    <row r="155" spans="1:5" x14ac:dyDescent="0.25">
      <c r="C155" s="87"/>
    </row>
    <row r="156" spans="1:5" x14ac:dyDescent="0.25">
      <c r="C156" s="87"/>
    </row>
    <row r="157" spans="1:5" x14ac:dyDescent="0.25">
      <c r="C157" s="87"/>
    </row>
    <row r="158" spans="1:5" x14ac:dyDescent="0.25">
      <c r="C158" s="87"/>
    </row>
    <row r="159" spans="1:5" x14ac:dyDescent="0.25">
      <c r="C159" s="87"/>
    </row>
    <row r="160" spans="1:5" x14ac:dyDescent="0.25">
      <c r="C160" s="87"/>
    </row>
    <row r="161" spans="1:6" x14ac:dyDescent="0.25">
      <c r="C161" s="87"/>
    </row>
    <row r="162" spans="1:6" x14ac:dyDescent="0.25">
      <c r="C162" s="87"/>
    </row>
    <row r="163" spans="1:6" x14ac:dyDescent="0.25">
      <c r="C163" s="87"/>
    </row>
    <row r="164" spans="1:6" x14ac:dyDescent="0.25">
      <c r="C164" s="87"/>
    </row>
    <row r="165" spans="1:6" x14ac:dyDescent="0.25">
      <c r="C165" s="87"/>
    </row>
    <row r="166" spans="1:6" x14ac:dyDescent="0.25">
      <c r="C166" s="87"/>
    </row>
    <row r="167" spans="1:6" x14ac:dyDescent="0.25">
      <c r="C167" s="87"/>
    </row>
    <row r="168" spans="1:6" x14ac:dyDescent="0.25">
      <c r="C168" s="87"/>
    </row>
    <row r="169" spans="1:6" x14ac:dyDescent="0.25">
      <c r="C169" s="87"/>
    </row>
    <row r="170" spans="1:6" x14ac:dyDescent="0.25">
      <c r="C170" s="87"/>
    </row>
    <row r="171" spans="1:6" x14ac:dyDescent="0.25">
      <c r="C171" s="87"/>
    </row>
    <row r="172" spans="1:6" x14ac:dyDescent="0.25">
      <c r="C172" s="87"/>
    </row>
    <row r="173" spans="1:6" ht="18.75" x14ac:dyDescent="0.35">
      <c r="A173" s="75" t="s">
        <v>288</v>
      </c>
      <c r="B173" s="56"/>
      <c r="C173" s="95"/>
      <c r="D173" s="56"/>
      <c r="E173" s="75" t="s">
        <v>19</v>
      </c>
      <c r="F173" s="75"/>
    </row>
    <row r="174" spans="1:6" ht="18.75" x14ac:dyDescent="0.35">
      <c r="A174" s="61" t="s">
        <v>214</v>
      </c>
      <c r="B174" s="61" t="s">
        <v>213</v>
      </c>
      <c r="C174" s="87">
        <v>57</v>
      </c>
      <c r="D174" s="52" t="s">
        <v>215</v>
      </c>
    </row>
    <row r="175" spans="1:6" ht="18.75" x14ac:dyDescent="0.35">
      <c r="A175" s="61" t="s">
        <v>273</v>
      </c>
      <c r="B175" s="61" t="s">
        <v>216</v>
      </c>
      <c r="C175" s="88">
        <f>(C174)*(25)/(_va1+0.55)</f>
        <v>467.2131147540984</v>
      </c>
      <c r="D175" s="52" t="s">
        <v>202</v>
      </c>
    </row>
    <row r="176" spans="1:6" ht="18.75" x14ac:dyDescent="0.35">
      <c r="A176" s="52" t="s">
        <v>294</v>
      </c>
      <c r="B176" s="61" t="s">
        <v>216</v>
      </c>
      <c r="C176" s="97">
        <f>IF(C175&lt;10000,C177*10^INT(LOG(C175)),C178*10^INT(LOG(C175)))</f>
        <v>470</v>
      </c>
      <c r="D176" s="52" t="s">
        <v>202</v>
      </c>
    </row>
    <row r="177" spans="1:6" hidden="1" x14ac:dyDescent="0.25">
      <c r="A177" s="51" t="s">
        <v>211</v>
      </c>
      <c r="B177" s="63"/>
      <c r="C177" s="98">
        <f>IF((10^(LOG(C175)-INT(LOG(C175))))-VLOOKUP((10^(LOG(C175)-INT(LOG(C175)))),c_s1:C_f1,1)&lt;VLOOKUP((10^(LOG(C175)-INT(LOG(C175)))),c_s1:C_f1,2)-(10^(LOG(C175)-INT(LOG(C175)))),VLOOKUP((10^(LOG(C175)-INT(LOG(C175)))),c_s1:C_f1,1),VLOOKUP((10^(LOG(C175)-INT(LOG(C175)))),c_s1:C_f1,2))</f>
        <v>4.7</v>
      </c>
    </row>
    <row r="178" spans="1:6" hidden="1" x14ac:dyDescent="0.25">
      <c r="A178" s="51" t="s">
        <v>217</v>
      </c>
      <c r="B178" s="63"/>
      <c r="C178" s="98">
        <f>IF((10^(LOG(C175)-INT(LOG(C175))))-VLOOKUP((10^(LOG(C175)-INT(LOG(C175)))),C_s2:C_f2,1)&lt;VLOOKUP((10^(LOG(C175)-INT(LOG(C175)))),C_s2:C_f2,2)-(10^(LOG(C175)-INT(LOG(C175)))),VLOOKUP((10^(LOG(C175)-INT(LOG(C175)))),C_s2:C_f2,1),VLOOKUP((10^(LOG(C175)-INT(LOG(C175)))),C_s2:C_f2,2))</f>
        <v>4.7</v>
      </c>
    </row>
    <row r="179" spans="1:6" ht="18.75" x14ac:dyDescent="0.35">
      <c r="A179" s="52" t="s">
        <v>325</v>
      </c>
      <c r="B179" s="52" t="s">
        <v>216</v>
      </c>
      <c r="C179" s="87">
        <v>470</v>
      </c>
      <c r="D179" s="52" t="s">
        <v>202</v>
      </c>
    </row>
    <row r="180" spans="1:6" ht="18.75" x14ac:dyDescent="0.35">
      <c r="A180" s="75" t="s">
        <v>313</v>
      </c>
      <c r="B180" s="56"/>
      <c r="C180" s="95"/>
      <c r="D180" s="56"/>
      <c r="E180" s="75" t="s">
        <v>19</v>
      </c>
      <c r="F180" s="75"/>
    </row>
    <row r="181" spans="1:6" ht="18.75" x14ac:dyDescent="0.35">
      <c r="A181" s="61" t="s">
        <v>274</v>
      </c>
      <c r="B181" s="61" t="s">
        <v>218</v>
      </c>
      <c r="C181" s="88">
        <f>tdelay</f>
        <v>214.54025796058531</v>
      </c>
      <c r="D181" s="52" t="s">
        <v>132</v>
      </c>
    </row>
    <row r="182" spans="1:6" ht="18.75" x14ac:dyDescent="0.35">
      <c r="A182" s="61" t="s">
        <v>312</v>
      </c>
      <c r="B182" s="61" t="s">
        <v>218</v>
      </c>
      <c r="C182" s="87">
        <v>200</v>
      </c>
      <c r="D182" s="52" t="s">
        <v>132</v>
      </c>
    </row>
    <row r="183" spans="1:6" ht="18.75" x14ac:dyDescent="0.35">
      <c r="A183" s="61" t="s">
        <v>307</v>
      </c>
      <c r="B183" s="61" t="s">
        <v>304</v>
      </c>
      <c r="C183" s="87">
        <v>8.25</v>
      </c>
      <c r="D183" s="52" t="s">
        <v>208</v>
      </c>
    </row>
    <row r="184" spans="1:6" ht="18.75" x14ac:dyDescent="0.35">
      <c r="A184" s="61" t="s">
        <v>306</v>
      </c>
      <c r="B184" s="61" t="s">
        <v>305</v>
      </c>
      <c r="C184" s="88">
        <f>IF(tabset&gt;155, 0.2, 1.8)</f>
        <v>0.2</v>
      </c>
      <c r="D184" s="52" t="s">
        <v>17</v>
      </c>
    </row>
    <row r="185" spans="1:6" ht="18.75" x14ac:dyDescent="0.35">
      <c r="A185" s="61" t="s">
        <v>308</v>
      </c>
      <c r="B185" s="61" t="s">
        <v>309</v>
      </c>
      <c r="C185" s="88">
        <f>C183*C184/(5-C184)</f>
        <v>0.34375000000000006</v>
      </c>
      <c r="D185" s="52" t="s">
        <v>208</v>
      </c>
    </row>
    <row r="186" spans="1:6" ht="18.75" x14ac:dyDescent="0.35">
      <c r="A186" s="52" t="s">
        <v>295</v>
      </c>
      <c r="B186" s="61" t="s">
        <v>309</v>
      </c>
      <c r="C186" s="58">
        <f>(IF((10^(LOG(C185)-INT(LOG(C185)))*100)-VLOOKUP((10^(LOG(C185)-INT(LOG(C185)))*100),E48_s:E48_f,1)&lt;VLOOKUP((10^(LOG(C185)-INT(LOG(C185)))*100),E48_s:E48_f,2)-(10^(LOG(C185)-INT(LOG(C185)))*100),VLOOKUP((10^(LOG(C185)-INT(LOG(C185)))*100),E48_s:E48_f,1),VLOOKUP((10^(LOG(C185)-INT(LOG(C185)))*100),E48_s:E48_f,2)))*10^INT(LOG(C185))/100</f>
        <v>0.34800000000000003</v>
      </c>
      <c r="D186" s="52" t="s">
        <v>208</v>
      </c>
    </row>
    <row r="187" spans="1:6" ht="18.75" x14ac:dyDescent="0.35">
      <c r="A187" s="61" t="s">
        <v>310</v>
      </c>
      <c r="B187" s="61" t="s">
        <v>309</v>
      </c>
      <c r="C187" s="87">
        <v>0.34799999999999998</v>
      </c>
      <c r="D187" s="52" t="s">
        <v>208</v>
      </c>
    </row>
    <row r="188" spans="1:6" ht="18.75" x14ac:dyDescent="0.35">
      <c r="A188" s="61" t="s">
        <v>311</v>
      </c>
      <c r="B188" s="61" t="s">
        <v>305</v>
      </c>
      <c r="C188" s="88">
        <f>5*C187/(C183+C187)</f>
        <v>0.2023726448011165</v>
      </c>
      <c r="D188" s="52" t="s">
        <v>17</v>
      </c>
    </row>
    <row r="189" spans="1:6" ht="18.75" x14ac:dyDescent="0.35">
      <c r="A189" s="52" t="s">
        <v>275</v>
      </c>
      <c r="B189" s="61" t="s">
        <v>219</v>
      </c>
      <c r="C189" s="88">
        <f>(tabset-5)*(0.15+(C188*1.46))/5</f>
        <v>17.373098394975571</v>
      </c>
      <c r="D189" s="52" t="s">
        <v>208</v>
      </c>
    </row>
    <row r="190" spans="1:6" ht="18.75" x14ac:dyDescent="0.35">
      <c r="A190" s="52" t="s">
        <v>295</v>
      </c>
      <c r="B190" s="61" t="s">
        <v>219</v>
      </c>
      <c r="C190" s="58">
        <f>(IF((10^(LOG(C189)-INT(LOG(C189)))*100)-VLOOKUP((10^(LOG(C189)-INT(LOG(C189)))*100),E48_s:E48_f,1)&lt;VLOOKUP((10^(LOG(C189)-INT(LOG(C189)))*100),E48_s:E48_f,2)-(10^(LOG(C189)-INT(LOG(C189)))*100),VLOOKUP((10^(LOG(C189)-INT(LOG(C189)))*100),E48_s:E48_f,1),VLOOKUP((10^(LOG(C189)-INT(LOG(C189)))*100),E48_s:E48_f,2)))*10^INT(LOG(C189))/100</f>
        <v>17.8</v>
      </c>
      <c r="D190" s="52" t="s">
        <v>208</v>
      </c>
    </row>
    <row r="191" spans="1:6" ht="18.75" x14ac:dyDescent="0.35">
      <c r="A191" s="52" t="s">
        <v>326</v>
      </c>
      <c r="B191" s="61" t="s">
        <v>219</v>
      </c>
      <c r="C191" s="87">
        <v>16</v>
      </c>
      <c r="D191" s="52" t="s">
        <v>208</v>
      </c>
    </row>
    <row r="192" spans="1:6" ht="18.75" x14ac:dyDescent="0.35">
      <c r="A192" s="75" t="s">
        <v>314</v>
      </c>
      <c r="B192" s="56"/>
      <c r="C192" s="95"/>
      <c r="D192" s="56"/>
      <c r="E192" s="75" t="s">
        <v>19</v>
      </c>
      <c r="F192" s="75"/>
    </row>
    <row r="193" spans="1:6" ht="18.75" x14ac:dyDescent="0.35">
      <c r="A193" s="52" t="s">
        <v>276</v>
      </c>
      <c r="B193" s="61" t="s">
        <v>221</v>
      </c>
      <c r="C193" s="88">
        <f>tdelay</f>
        <v>214.54025796058531</v>
      </c>
      <c r="D193" s="52" t="s">
        <v>132</v>
      </c>
    </row>
    <row r="194" spans="1:6" ht="18.75" x14ac:dyDescent="0.35">
      <c r="A194" s="61" t="s">
        <v>312</v>
      </c>
      <c r="B194" s="61" t="s">
        <v>221</v>
      </c>
      <c r="C194" s="87">
        <v>200</v>
      </c>
      <c r="D194" s="52" t="s">
        <v>132</v>
      </c>
    </row>
    <row r="195" spans="1:6" ht="18.75" x14ac:dyDescent="0.35">
      <c r="A195" s="52" t="s">
        <v>275</v>
      </c>
      <c r="B195" s="61" t="s">
        <v>220</v>
      </c>
      <c r="C195" s="88">
        <f>(tcdset-5)*(0.15+(vadel*1.46))/5</f>
        <v>17.373098394975571</v>
      </c>
      <c r="D195" s="52" t="s">
        <v>208</v>
      </c>
    </row>
    <row r="196" spans="1:6" ht="18.75" x14ac:dyDescent="0.35">
      <c r="A196" s="52" t="s">
        <v>295</v>
      </c>
      <c r="B196" s="61" t="s">
        <v>220</v>
      </c>
      <c r="C196" s="58">
        <f>(IF((10^(LOG(C195)-INT(LOG(C195)))*100)-VLOOKUP((10^(LOG(C195)-INT(LOG(C195)))*100),E48_s:E48_f,1)&lt;VLOOKUP((10^(LOG(C195)-INT(LOG(C195)))*100),E48_s:E48_f,2)-(10^(LOG(C195)-INT(LOG(C195)))*100),VLOOKUP((10^(LOG(C195)-INT(LOG(C195)))*100),E48_s:E48_f,1),VLOOKUP((10^(LOG(C195)-INT(LOG(C195)))*100),E48_s:E48_f,2)))*10^INT(LOG(C195))/100</f>
        <v>17.8</v>
      </c>
      <c r="D196" s="52" t="s">
        <v>208</v>
      </c>
    </row>
    <row r="197" spans="1:6" ht="18.75" x14ac:dyDescent="0.35">
      <c r="A197" s="52" t="s">
        <v>326</v>
      </c>
      <c r="B197" s="61" t="s">
        <v>220</v>
      </c>
      <c r="C197" s="87">
        <v>16</v>
      </c>
      <c r="D197" s="52" t="s">
        <v>208</v>
      </c>
    </row>
    <row r="198" spans="1:6" ht="18.75" x14ac:dyDescent="0.35">
      <c r="A198" s="75" t="s">
        <v>324</v>
      </c>
      <c r="B198" s="56"/>
      <c r="C198" s="95"/>
      <c r="D198" s="56"/>
      <c r="E198" s="75" t="s">
        <v>19</v>
      </c>
      <c r="F198" s="75"/>
    </row>
    <row r="199" spans="1:6" ht="18.75" x14ac:dyDescent="0.35">
      <c r="A199" s="52" t="s">
        <v>222</v>
      </c>
      <c r="B199" s="52" t="s">
        <v>321</v>
      </c>
      <c r="C199" s="58">
        <f>C182/2</f>
        <v>100</v>
      </c>
      <c r="D199" s="52" t="s">
        <v>132</v>
      </c>
    </row>
    <row r="200" spans="1:6" ht="18.75" x14ac:dyDescent="0.35">
      <c r="A200" s="52" t="s">
        <v>322</v>
      </c>
      <c r="B200" s="52" t="s">
        <v>321</v>
      </c>
      <c r="C200" s="87">
        <v>89</v>
      </c>
      <c r="D200" s="52" t="s">
        <v>132</v>
      </c>
    </row>
    <row r="201" spans="1:6" ht="18.75" x14ac:dyDescent="0.35">
      <c r="A201" s="61" t="s">
        <v>316</v>
      </c>
      <c r="B201" s="52" t="s">
        <v>315</v>
      </c>
      <c r="C201" s="87">
        <v>0.72</v>
      </c>
      <c r="D201" s="52" t="s">
        <v>208</v>
      </c>
    </row>
    <row r="202" spans="1:6" ht="18.75" x14ac:dyDescent="0.35">
      <c r="A202" s="61" t="s">
        <v>319</v>
      </c>
      <c r="B202" s="52" t="s">
        <v>320</v>
      </c>
      <c r="C202" s="88">
        <f>IF(tafset&lt;170, 0.2,1.7)</f>
        <v>0.2</v>
      </c>
      <c r="D202" s="52" t="s">
        <v>17</v>
      </c>
    </row>
    <row r="203" spans="1:6" ht="18.75" x14ac:dyDescent="0.35">
      <c r="A203" s="61" t="s">
        <v>317</v>
      </c>
      <c r="B203" s="52" t="s">
        <v>318</v>
      </c>
      <c r="C203" s="88">
        <f>C202*C201/(5-C202)</f>
        <v>0.03</v>
      </c>
      <c r="D203" s="52" t="s">
        <v>208</v>
      </c>
    </row>
    <row r="204" spans="1:6" ht="18.75" x14ac:dyDescent="0.35">
      <c r="A204" s="52" t="s">
        <v>295</v>
      </c>
      <c r="B204" s="52" t="s">
        <v>318</v>
      </c>
      <c r="C204" s="58">
        <f>(IF((10^(LOG(C203)-INT(LOG(C203)))*100)-VLOOKUP((10^(LOG(C203)-INT(LOG(C203)))*100),E48_s:E48_f,1)&lt;VLOOKUP((10^(LOG(C203)-INT(LOG(C203)))*100),E48_s:E48_f,2)-(10^(LOG(C203)-INT(LOG(C203)))*100),VLOOKUP((10^(LOG(C203)-INT(LOG(C203)))*100),E48_s:E48_f,1),VLOOKUP((10^(LOG(C203)-INT(LOG(C203)))*100),E48_s:E48_f,2)))*10^INT(LOG(C203))/100</f>
        <v>3.0100000000000002E-2</v>
      </c>
      <c r="D204" s="52" t="s">
        <v>208</v>
      </c>
    </row>
    <row r="205" spans="1:6" ht="18.75" x14ac:dyDescent="0.35">
      <c r="A205" s="52" t="s">
        <v>323</v>
      </c>
      <c r="B205" s="52" t="s">
        <v>318</v>
      </c>
      <c r="C205" s="87">
        <v>0.43</v>
      </c>
      <c r="D205" s="52" t="s">
        <v>208</v>
      </c>
    </row>
    <row r="206" spans="1:6" ht="18.75" x14ac:dyDescent="0.35">
      <c r="A206" s="61" t="s">
        <v>319</v>
      </c>
      <c r="B206" s="52" t="s">
        <v>320</v>
      </c>
      <c r="C206" s="58">
        <f>5*C205/(C205+C201)</f>
        <v>1.8695652173913044</v>
      </c>
      <c r="D206" s="52" t="s">
        <v>17</v>
      </c>
    </row>
    <row r="207" spans="1:6" ht="18.75" x14ac:dyDescent="0.35">
      <c r="A207" s="52" t="s">
        <v>275</v>
      </c>
      <c r="B207" s="61" t="s">
        <v>223</v>
      </c>
      <c r="C207" s="88">
        <f>(tafset-4)*(2.65-(C206*1.32))/5</f>
        <v>3.0969565217391235</v>
      </c>
      <c r="D207" s="52" t="s">
        <v>208</v>
      </c>
    </row>
    <row r="208" spans="1:6" ht="18.75" x14ac:dyDescent="0.35">
      <c r="A208" s="52" t="s">
        <v>295</v>
      </c>
      <c r="B208" s="61" t="s">
        <v>223</v>
      </c>
      <c r="C208" s="58">
        <f>(IF((10^(LOG(C207)-INT(LOG(C207)))*100)-VLOOKUP((10^(LOG(C207)-INT(LOG(C207)))*100),E48_s:E48_f,1)&lt;VLOOKUP((10^(LOG(C207)-INT(LOG(C207)))*100),E48_s:E48_f,2)-(10^(LOG(C207)-INT(LOG(C207)))*100),VLOOKUP((10^(LOG(C207)-INT(LOG(C207)))*100),E48_s:E48_f,1),VLOOKUP((10^(LOG(C207)-INT(LOG(C207)))*100),E48_s:E48_f,2)))*10^INT(LOG(C207))/100</f>
        <v>3.16</v>
      </c>
      <c r="D208" s="52" t="s">
        <v>208</v>
      </c>
    </row>
    <row r="209" spans="1:6" ht="18.75" x14ac:dyDescent="0.35">
      <c r="A209" s="52" t="s">
        <v>327</v>
      </c>
      <c r="B209" s="61" t="s">
        <v>223</v>
      </c>
      <c r="C209" s="87">
        <v>3.3</v>
      </c>
      <c r="D209" s="52" t="s">
        <v>208</v>
      </c>
    </row>
    <row r="210" spans="1:6" x14ac:dyDescent="0.25">
      <c r="A210" s="75" t="s">
        <v>224</v>
      </c>
      <c r="B210" s="65"/>
      <c r="C210" s="95"/>
      <c r="D210" s="56"/>
      <c r="E210" s="75" t="s">
        <v>19</v>
      </c>
      <c r="F210" s="75"/>
    </row>
    <row r="211" spans="1:6" ht="18.75" x14ac:dyDescent="0.35">
      <c r="A211" s="52" t="s">
        <v>225</v>
      </c>
      <c r="B211" s="52" t="s">
        <v>226</v>
      </c>
      <c r="C211" s="87">
        <v>100</v>
      </c>
      <c r="D211" s="52" t="s">
        <v>132</v>
      </c>
    </row>
    <row r="212" spans="1:6" ht="18.75" x14ac:dyDescent="0.35">
      <c r="A212" s="52" t="s">
        <v>228</v>
      </c>
      <c r="B212" s="52" t="s">
        <v>227</v>
      </c>
      <c r="C212" s="58">
        <f>(C211-15)/6.6</f>
        <v>12.878787878787879</v>
      </c>
      <c r="D212" s="52" t="s">
        <v>208</v>
      </c>
    </row>
    <row r="213" spans="1:6" ht="18.75" x14ac:dyDescent="0.35">
      <c r="A213" s="52" t="s">
        <v>295</v>
      </c>
      <c r="B213" s="52" t="s">
        <v>227</v>
      </c>
      <c r="C213" s="58">
        <f>(IF((10^(LOG(C212)-INT(LOG(C212)))*100)-VLOOKUP((10^(LOG(C212)-INT(LOG(C212)))*100),E48_s:E48_f,1)&lt;VLOOKUP((10^(LOG(C212)-INT(LOG(C212)))*100),E48_s:E48_f,2)-(10^(LOG(C212)-INT(LOG(C212)))*100),VLOOKUP((10^(LOG(C212)-INT(LOG(C212)))*100),E48_s:E48_f,1),VLOOKUP((10^(LOG(C212)-INT(LOG(C212)))*100),E48_s:E48_f,2)))*10^INT(LOG(C212))/100</f>
        <v>12.7</v>
      </c>
      <c r="D213" s="52" t="s">
        <v>208</v>
      </c>
    </row>
    <row r="214" spans="1:6" ht="18.75" x14ac:dyDescent="0.35">
      <c r="A214" s="52" t="s">
        <v>323</v>
      </c>
      <c r="B214" s="52" t="s">
        <v>227</v>
      </c>
      <c r="C214" s="87">
        <v>13</v>
      </c>
      <c r="D214" s="52" t="s">
        <v>208</v>
      </c>
    </row>
    <row r="215" spans="1:6" x14ac:dyDescent="0.25">
      <c r="A215" s="75" t="s">
        <v>229</v>
      </c>
      <c r="B215" s="65"/>
      <c r="C215" s="95"/>
      <c r="D215" s="56"/>
      <c r="E215" s="75" t="s">
        <v>19</v>
      </c>
      <c r="F215" s="75"/>
    </row>
    <row r="216" spans="1:6" ht="18.75" x14ac:dyDescent="0.35">
      <c r="A216" s="52" t="s">
        <v>230</v>
      </c>
      <c r="B216" s="52" t="s">
        <v>231</v>
      </c>
      <c r="C216" s="58">
        <f>(((2.5*10^3)/(fs/2))-1)*2.5</f>
        <v>60</v>
      </c>
      <c r="D216" s="52" t="s">
        <v>208</v>
      </c>
      <c r="E216" s="52" t="s">
        <v>19</v>
      </c>
    </row>
    <row r="217" spans="1:6" ht="18.75" x14ac:dyDescent="0.35">
      <c r="A217" s="52" t="s">
        <v>295</v>
      </c>
      <c r="B217" s="52" t="s">
        <v>231</v>
      </c>
      <c r="C217" s="58">
        <f>(IF((10^(LOG(C216)-INT(LOG(C216)))*100)-VLOOKUP((10^(LOG(C216)-INT(LOG(C216)))*100),E48_s:E48_f,1)&lt;VLOOKUP((10^(LOG(C216)-INT(LOG(C216)))*100),E48_s:E48_f,2)-(10^(LOG(C216)-INT(LOG(C216)))*100),VLOOKUP((10^(LOG(C216)-INT(LOG(C216)))*100),E48_s:E48_f,1),VLOOKUP((10^(LOG(C216)-INT(LOG(C216)))*100),E48_s:E48_f,2)))*10^INT(LOG(C216))/100</f>
        <v>59</v>
      </c>
      <c r="D217" s="52" t="s">
        <v>208</v>
      </c>
    </row>
    <row r="218" spans="1:6" ht="18.75" x14ac:dyDescent="0.35">
      <c r="A218" s="52" t="s">
        <v>323</v>
      </c>
      <c r="B218" s="52" t="s">
        <v>231</v>
      </c>
      <c r="C218" s="87">
        <v>61.9</v>
      </c>
      <c r="D218" s="52" t="s">
        <v>208</v>
      </c>
    </row>
    <row r="219" spans="1:6" x14ac:dyDescent="0.25">
      <c r="A219" s="75" t="s">
        <v>232</v>
      </c>
      <c r="B219" s="65"/>
      <c r="C219" s="95"/>
      <c r="D219" s="56"/>
      <c r="E219" s="75" t="s">
        <v>19</v>
      </c>
      <c r="F219" s="75"/>
    </row>
    <row r="220" spans="1:6" ht="18.75" x14ac:dyDescent="0.35">
      <c r="A220" s="52" t="s">
        <v>277</v>
      </c>
      <c r="B220" s="52" t="s">
        <v>44</v>
      </c>
      <c r="C220" s="58">
        <f>(vin*(1-dtyp))/(lmag2*fs)</f>
        <v>0.40388647353821494</v>
      </c>
      <c r="D220" s="52" t="s">
        <v>34</v>
      </c>
    </row>
    <row r="221" spans="1:6" ht="18.75" x14ac:dyDescent="0.35">
      <c r="A221" s="52" t="s">
        <v>334</v>
      </c>
      <c r="B221" s="52" t="s">
        <v>332</v>
      </c>
      <c r="C221" s="58">
        <f>fs*0.2*0.001</f>
        <v>0.04</v>
      </c>
      <c r="D221" s="52" t="s">
        <v>233</v>
      </c>
    </row>
    <row r="222" spans="1:6" ht="18.75" x14ac:dyDescent="0.35">
      <c r="A222" s="52" t="s">
        <v>335</v>
      </c>
      <c r="B222" s="52" t="s">
        <v>333</v>
      </c>
      <c r="C222" s="58">
        <f>((((dilout/(_taa1*2))-C220)*RS*(1-dtyp)*fs)/_ta2)*0.001</f>
        <v>2.3311920742221345E-5</v>
      </c>
      <c r="D222" s="52" t="s">
        <v>233</v>
      </c>
      <c r="E222" s="52" t="s">
        <v>19</v>
      </c>
    </row>
    <row r="223" spans="1:6" ht="18.75" x14ac:dyDescent="0.35">
      <c r="A223" s="52" t="s">
        <v>234</v>
      </c>
      <c r="B223" s="52" t="s">
        <v>235</v>
      </c>
      <c r="C223" s="88">
        <f>IF(Vslope1&gt;Vslope2, Vslope1, Vslope2)</f>
        <v>0.04</v>
      </c>
      <c r="D223" s="52" t="s">
        <v>233</v>
      </c>
      <c r="E223" s="52" t="s">
        <v>19</v>
      </c>
    </row>
    <row r="224" spans="1:6" ht="18.75" x14ac:dyDescent="0.35">
      <c r="A224" s="52" t="s">
        <v>236</v>
      </c>
      <c r="B224" s="52" t="s">
        <v>237</v>
      </c>
      <c r="C224" s="58">
        <f>2.5/(C223*0.5)</f>
        <v>125</v>
      </c>
      <c r="D224" s="52" t="s">
        <v>208</v>
      </c>
      <c r="E224" s="57"/>
    </row>
    <row r="225" spans="1:6" ht="18.75" x14ac:dyDescent="0.35">
      <c r="A225" s="52" t="s">
        <v>295</v>
      </c>
      <c r="B225" s="52" t="s">
        <v>237</v>
      </c>
      <c r="C225" s="58">
        <f>(IF((10^(LOG(C224)-INT(LOG(C224)))*100)-VLOOKUP((10^(LOG(C224)-INT(LOG(C224)))*100),E48_s:E48_f,1)&lt;VLOOKUP((10^(LOG(C224)-INT(LOG(C224)))*100),E48_s:E48_f,2)-(10^(LOG(C224)-INT(LOG(C224)))*100),VLOOKUP((10^(LOG(C224)-INT(LOG(C224)))*100),E48_s:E48_f,1),VLOOKUP((10^(LOG(C224)-INT(LOG(C224)))*100),E48_s:E48_f,2)))*10^INT(LOG(C224))/100</f>
        <v>127</v>
      </c>
      <c r="D225" s="52" t="s">
        <v>208</v>
      </c>
    </row>
    <row r="226" spans="1:6" ht="18.75" x14ac:dyDescent="0.35">
      <c r="A226" s="52" t="s">
        <v>323</v>
      </c>
      <c r="B226" s="52" t="s">
        <v>237</v>
      </c>
      <c r="C226" s="87">
        <v>100</v>
      </c>
      <c r="D226" s="52" t="s">
        <v>208</v>
      </c>
    </row>
    <row r="227" spans="1:6" x14ac:dyDescent="0.25">
      <c r="A227" s="75" t="s">
        <v>278</v>
      </c>
      <c r="B227" s="65"/>
      <c r="C227" s="95"/>
      <c r="D227" s="56"/>
      <c r="E227" s="75" t="s">
        <v>19</v>
      </c>
      <c r="F227" s="75"/>
    </row>
    <row r="228" spans="1:6" ht="18.75" x14ac:dyDescent="0.35">
      <c r="A228" s="52" t="s">
        <v>238</v>
      </c>
      <c r="B228" s="52" t="s">
        <v>239</v>
      </c>
      <c r="C228" s="58">
        <f>(((pout*0.15/VOUT)+(dilout/2))*RS)/(_ta1*_ta2)</f>
        <v>0.43244247498699029</v>
      </c>
      <c r="D228" s="52" t="s">
        <v>17</v>
      </c>
    </row>
    <row r="229" spans="1:6" ht="18.75" x14ac:dyDescent="0.35">
      <c r="A229" s="52" t="s">
        <v>181</v>
      </c>
      <c r="B229" s="52" t="s">
        <v>240</v>
      </c>
      <c r="C229" s="87">
        <v>1.7</v>
      </c>
      <c r="D229" s="52" t="s">
        <v>208</v>
      </c>
    </row>
    <row r="230" spans="1:6" ht="18.75" x14ac:dyDescent="0.35">
      <c r="A230" s="52" t="s">
        <v>242</v>
      </c>
      <c r="B230" s="52" t="s">
        <v>241</v>
      </c>
      <c r="C230" s="58">
        <f>(C229*(5-C228)/C228)</f>
        <v>17.955793525498891</v>
      </c>
      <c r="D230" s="52" t="s">
        <v>208</v>
      </c>
    </row>
    <row r="231" spans="1:6" ht="18.75" x14ac:dyDescent="0.35">
      <c r="A231" s="52" t="s">
        <v>295</v>
      </c>
      <c r="B231" s="52" t="s">
        <v>241</v>
      </c>
      <c r="C231" s="58">
        <f>(IF((10^(LOG(C230)-INT(LOG(C230)))*100)-VLOOKUP((10^(LOG(C230)-INT(LOG(C230)))*100),E48_s:E48_f,1)&lt;VLOOKUP((10^(LOG(C230)-INT(LOG(C230)))*100),E48_s:E48_f,2)-(10^(LOG(C230)-INT(LOG(C230)))*100),VLOOKUP((10^(LOG(C230)-INT(LOG(C230)))*100),E48_s:E48_f,1),VLOOKUP((10^(LOG(C230)-INT(LOG(C230)))*100),E48_s:E48_f,2)))*10^INT(LOG(C230))/100</f>
        <v>17.8</v>
      </c>
      <c r="D231" s="52" t="s">
        <v>208</v>
      </c>
    </row>
    <row r="232" spans="1:6" ht="18.75" x14ac:dyDescent="0.35">
      <c r="A232" s="52" t="s">
        <v>323</v>
      </c>
      <c r="B232" s="52" t="s">
        <v>241</v>
      </c>
      <c r="C232" s="87">
        <v>19.600000000000001</v>
      </c>
      <c r="D232" s="52" t="s">
        <v>208</v>
      </c>
    </row>
  </sheetData>
  <sheetProtection password="ECDD" sheet="1" formatColumns="0" formatRows="0" selectLockedCells="1"/>
  <phoneticPr fontId="0"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L30"/>
  <sheetViews>
    <sheetView topLeftCell="A7" workbookViewId="0">
      <selection activeCell="K19" sqref="K19"/>
    </sheetView>
  </sheetViews>
  <sheetFormatPr defaultRowHeight="12.75" x14ac:dyDescent="0.2"/>
  <sheetData>
    <row r="30" spans="12:12" x14ac:dyDescent="0.2">
      <c r="L30" t="s">
        <v>19</v>
      </c>
    </row>
  </sheetData>
  <sheetProtection password="ECDD" sheet="1"/>
  <phoneticPr fontId="21"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Visio.Drawing.6" shapeId="5125" r:id="rId4">
          <objectPr defaultSize="0" autoPict="0" r:id="rId5">
            <anchor moveWithCells="1">
              <from>
                <xdr:col>0</xdr:col>
                <xdr:colOff>38100</xdr:colOff>
                <xdr:row>5</xdr:row>
                <xdr:rowOff>47625</xdr:rowOff>
              </from>
              <to>
                <xdr:col>8</xdr:col>
                <xdr:colOff>428625</xdr:colOff>
                <xdr:row>46</xdr:row>
                <xdr:rowOff>47625</xdr:rowOff>
              </to>
            </anchor>
          </objectPr>
        </oleObject>
      </mc:Choice>
      <mc:Fallback>
        <oleObject progId="Visio.Drawing.6" shapeId="5125"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I22" sqref="I22"/>
    </sheetView>
  </sheetViews>
  <sheetFormatPr defaultRowHeight="12.75" x14ac:dyDescent="0.2"/>
  <sheetData/>
  <sheetProtection password="ECDD" sheet="1"/>
  <phoneticPr fontId="21"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G31"/>
  <sheetViews>
    <sheetView workbookViewId="0">
      <selection activeCell="I3" sqref="I3"/>
    </sheetView>
  </sheetViews>
  <sheetFormatPr defaultRowHeight="12.75" x14ac:dyDescent="0.2"/>
  <sheetData>
    <row r="31" spans="7:7" x14ac:dyDescent="0.2">
      <c r="G31" t="s">
        <v>19</v>
      </c>
    </row>
  </sheetData>
  <sheetProtection password="ECDD" sheet="1"/>
  <phoneticPr fontId="21" type="noConversion"/>
  <pageMargins left="0.75" right="0.75" top="1" bottom="1" header="0.5" footer="0.5"/>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3"/>
  <sheetViews>
    <sheetView workbookViewId="0">
      <selection activeCell="A3" sqref="A3:U3"/>
    </sheetView>
  </sheetViews>
  <sheetFormatPr defaultRowHeight="12.75" x14ac:dyDescent="0.2"/>
  <sheetData>
    <row r="1" spans="1:21" x14ac:dyDescent="0.2">
      <c r="A1" s="108" t="s">
        <v>340</v>
      </c>
      <c r="B1" s="108"/>
      <c r="C1" s="108"/>
      <c r="D1" s="108"/>
      <c r="E1" s="108"/>
      <c r="F1" s="108"/>
      <c r="G1" s="108"/>
      <c r="H1" s="108"/>
      <c r="I1" s="108"/>
      <c r="J1" s="108"/>
      <c r="K1" s="108"/>
      <c r="L1" s="108"/>
      <c r="M1" s="108"/>
      <c r="N1" s="108"/>
      <c r="O1" s="108"/>
      <c r="P1" s="108"/>
      <c r="Q1" s="108"/>
      <c r="R1" s="108"/>
      <c r="S1" s="108"/>
      <c r="T1" s="108"/>
      <c r="U1" s="108"/>
    </row>
    <row r="2" spans="1:21" x14ac:dyDescent="0.2">
      <c r="A2" s="108"/>
      <c r="B2" s="108"/>
      <c r="C2" s="108"/>
      <c r="D2" s="108"/>
      <c r="E2" s="108"/>
      <c r="F2" s="108"/>
      <c r="G2" s="108"/>
      <c r="H2" s="108"/>
      <c r="I2" s="108"/>
      <c r="J2" s="108"/>
      <c r="K2" s="108"/>
      <c r="L2" s="108"/>
      <c r="M2" s="108"/>
      <c r="N2" s="108"/>
      <c r="O2" s="108"/>
      <c r="P2" s="108"/>
      <c r="Q2" s="108"/>
      <c r="R2" s="108"/>
      <c r="S2" s="108"/>
      <c r="T2" s="108"/>
      <c r="U2" s="108"/>
    </row>
    <row r="3" spans="1:21" ht="387" customHeight="1" x14ac:dyDescent="0.2">
      <c r="A3" s="109" t="s">
        <v>341</v>
      </c>
      <c r="B3" s="109"/>
      <c r="C3" s="109"/>
      <c r="D3" s="109"/>
      <c r="E3" s="109"/>
      <c r="F3" s="109"/>
      <c r="G3" s="109"/>
      <c r="H3" s="109"/>
      <c r="I3" s="109"/>
      <c r="J3" s="109"/>
      <c r="K3" s="109"/>
      <c r="L3" s="109"/>
      <c r="M3" s="109"/>
      <c r="N3" s="109"/>
      <c r="O3" s="109"/>
      <c r="P3" s="109"/>
      <c r="Q3" s="109"/>
      <c r="R3" s="109"/>
      <c r="S3" s="109"/>
      <c r="T3" s="109"/>
      <c r="U3" s="109"/>
    </row>
  </sheetData>
  <sheetProtection algorithmName="SHA-512" hashValue="+PcoHR4I2iULuSXVLYlvHInwmbIr8mvl29gW/turBkgZWMMUOwL6rLVWXa7SRfRK/NPJDZ//14B7PXso5Ci7sA==" saltValue="2yqKKuZ4bA/xqIUehV6iRQ==" spinCount="100000" sheet="1" formatCells="0" formatRows="0" insertColumns="0" insertRows="0" insertHyperlinks="0" deleteColumns="0" deleteRows="0" sort="0" autoFilter="0" pivotTables="0"/>
  <mergeCells count="2">
    <mergeCell ref="A1:U2"/>
    <mergeCell ref="A3:U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101"/>
  <sheetViews>
    <sheetView workbookViewId="0">
      <selection sqref="A1:IV65536"/>
    </sheetView>
  </sheetViews>
  <sheetFormatPr defaultRowHeight="12.75" x14ac:dyDescent="0.2"/>
  <cols>
    <col min="1" max="1" width="9.140625" style="70"/>
    <col min="2" max="2" width="10.140625" style="70" customWidth="1"/>
    <col min="3" max="3" width="9.140625" style="70"/>
    <col min="4" max="4" width="12.42578125" style="70" customWidth="1"/>
    <col min="5" max="5" width="21.5703125" style="70" customWidth="1"/>
    <col min="6" max="6" width="15.42578125" style="70" customWidth="1"/>
    <col min="7" max="7" width="21.140625" style="70" customWidth="1"/>
    <col min="8" max="8" width="9.140625" style="70"/>
    <col min="9" max="9" width="14.28515625" style="70" customWidth="1"/>
    <col min="10" max="10" width="17.140625" style="70" customWidth="1"/>
    <col min="11" max="11" width="11.85546875" style="70" customWidth="1"/>
    <col min="12" max="12" width="13.5703125" style="70" customWidth="1"/>
    <col min="13" max="16384" width="9.140625" style="70"/>
  </cols>
  <sheetData>
    <row r="1" spans="1:18" ht="42.75" x14ac:dyDescent="0.3">
      <c r="A1" s="70" t="s">
        <v>245</v>
      </c>
      <c r="B1" s="70" t="s">
        <v>260</v>
      </c>
      <c r="C1" s="70" t="s">
        <v>190</v>
      </c>
      <c r="D1" s="70" t="s">
        <v>246</v>
      </c>
      <c r="E1" s="51" t="s">
        <v>247</v>
      </c>
      <c r="F1" s="70" t="s">
        <v>248</v>
      </c>
      <c r="G1" s="70" t="s">
        <v>249</v>
      </c>
      <c r="H1" s="70" t="s">
        <v>250</v>
      </c>
      <c r="I1" s="70" t="s">
        <v>251</v>
      </c>
      <c r="J1" s="70" t="s">
        <v>252</v>
      </c>
      <c r="K1" s="70" t="s">
        <v>253</v>
      </c>
      <c r="L1" s="70" t="s">
        <v>254</v>
      </c>
      <c r="M1" s="70" t="s">
        <v>255</v>
      </c>
      <c r="N1" s="70" t="s">
        <v>256</v>
      </c>
      <c r="O1" s="70" t="s">
        <v>261</v>
      </c>
      <c r="P1" s="74" t="s">
        <v>258</v>
      </c>
      <c r="Q1" s="74" t="s">
        <v>259</v>
      </c>
      <c r="R1" s="70" t="s">
        <v>257</v>
      </c>
    </row>
    <row r="2" spans="1:18" ht="15" x14ac:dyDescent="0.2">
      <c r="A2" s="71">
        <f>1</f>
        <v>1</v>
      </c>
      <c r="B2" s="70">
        <v>100</v>
      </c>
      <c r="C2" s="70">
        <f t="shared" ref="C2:C33" si="0">_ta1*_ta2*(rload/RS)</f>
        <v>157.24634820399112</v>
      </c>
      <c r="D2" s="51" t="str">
        <f t="shared" ref="D2:D33" si="1">IMDIV((COMPLEX(1,2*PI()*(B2)*(esrcout*0.001)*(cout*0.000001))),(COMPLEX(1,2*PI()*(B2)*rload*(cout*0.000001))))</f>
        <v>0.0006302160854106-0.0197069755167057i</v>
      </c>
      <c r="E2" s="51" t="str">
        <f t="shared" ref="E2:E33" si="2">IMDIV(1,(COMPLEX((1-(B2/(fpp*1000))^2),(B2/(fpp*1000)))))</f>
        <v>0.999999999984-0.002000008i</v>
      </c>
      <c r="F2" s="70" t="str">
        <f t="shared" ref="F2:F33" si="3">IMPRODUCT(D2,E2)</f>
        <v>0.000590801976711301-0.0197082359536029i</v>
      </c>
      <c r="G2" s="70" t="str">
        <f t="shared" ref="G2:G33" si="4">IMPRODUCT(C2,F2)</f>
        <v>0.0929014533495515-3.09904813324666i</v>
      </c>
      <c r="H2" s="72">
        <f t="shared" ref="H2:H33" si="5">IMABS(G2)</f>
        <v>3.1004402932832082</v>
      </c>
      <c r="I2" s="51" t="str">
        <f t="shared" ref="I2:I33" si="6">IMDIV((COMPLEX(1,(2*PI()*B2*(rf*1000)*(Cz*0.000000001)))),(COMPLEX(0,2*PI()*B2*((Cz*0.000000001)+(Cp*0.000000000001))*(RII*1000))))</f>
        <v>2.04230846210088-6.50086974123526i</v>
      </c>
      <c r="J2" s="73" t="str">
        <f t="shared" ref="J2:J33" si="7">IMDIV(1,(COMPLEX(1,2*PI()*B2*(((Cz*0.000000001)*(Cp*0.000000000001))/((Cz*0.000000001)+(Cp*0.000000000001)))*(rf*1000))))</f>
        <v>0.99989928753145-0.0100350548353601i</v>
      </c>
      <c r="K2" s="73" t="str">
        <f t="shared" ref="K2:K33" si="8">IMPRODUCT(I2,J2)</f>
        <v>1.97686619184329-6.5207097000038i</v>
      </c>
      <c r="L2" s="73" t="str">
        <f t="shared" ref="L2:L33" si="9">IMPRODUCT(G2,K2)</f>
        <v>-20.0243394809403-6.73218688951125i</v>
      </c>
      <c r="M2" s="70">
        <f t="shared" ref="M2:M33" si="10">20*LOG(IMABS(L2))</f>
        <v>26.496234926190816</v>
      </c>
      <c r="N2" s="70">
        <f t="shared" ref="N2:N33" si="11">(180/PI())*IMARGUMENT(L2)+180</f>
        <v>18.582654758160459</v>
      </c>
      <c r="O2" s="70">
        <f t="shared" ref="O2:O55" si="12">IF(N2&gt;180,-(360-N2),N2)</f>
        <v>18.582654758160459</v>
      </c>
      <c r="P2" s="70">
        <v>48.311999999999998</v>
      </c>
      <c r="Q2" s="70">
        <v>11.617000000000001</v>
      </c>
      <c r="R2" s="70">
        <f>B2</f>
        <v>100</v>
      </c>
    </row>
    <row r="3" spans="1:18" ht="15" x14ac:dyDescent="0.2">
      <c r="A3" s="71">
        <f>1+A2</f>
        <v>2</v>
      </c>
      <c r="B3" s="70">
        <v>1000</v>
      </c>
      <c r="C3" s="70">
        <f t="shared" si="0"/>
        <v>157.24634820399112</v>
      </c>
      <c r="D3" s="51" t="str">
        <f t="shared" si="1"/>
        <v>0.00024549388718512-0.00197145620087762i</v>
      </c>
      <c r="E3" s="51" t="str">
        <f t="shared" si="2"/>
        <v>0.999999839936-0.0200079999987195i</v>
      </c>
      <c r="F3" s="70" t="str">
        <f t="shared" si="3"/>
        <v>0.000206048952225751-0.00197636772701294i</v>
      </c>
      <c r="G3" s="70" t="str">
        <f t="shared" si="4"/>
        <v>0.032400445288758-0.310776607781007i</v>
      </c>
      <c r="H3" s="72">
        <f t="shared" si="5"/>
        <v>0.31246101964689882</v>
      </c>
      <c r="I3" s="51" t="str">
        <f t="shared" si="6"/>
        <v>2.04230846210088-0.650086974123526i</v>
      </c>
      <c r="J3" s="73" t="str">
        <f t="shared" si="7"/>
        <v>0.990028177543696-0.0993598772805415i</v>
      </c>
      <c r="K3" s="73" t="str">
        <f t="shared" si="8"/>
        <v>1.95735036274521-0.846527940399765i</v>
      </c>
      <c r="L3" s="73" t="str">
        <f t="shared" si="9"/>
        <v>-0.199662058370225-0.635726588191208i</v>
      </c>
      <c r="M3" s="70">
        <f t="shared" si="10"/>
        <v>-3.5260408684492783</v>
      </c>
      <c r="N3" s="70">
        <f t="shared" si="11"/>
        <v>72.5641092151659</v>
      </c>
      <c r="O3" s="70">
        <f t="shared" si="12"/>
        <v>72.5641092151659</v>
      </c>
    </row>
    <row r="4" spans="1:18" ht="15" x14ac:dyDescent="0.2">
      <c r="A4" s="71">
        <f t="shared" ref="A4:A67" si="13">1+A3</f>
        <v>3</v>
      </c>
      <c r="B4" s="70">
        <f t="shared" ref="B4:B35" si="14">(fs*1000/2)*(A4/100)</f>
        <v>3000</v>
      </c>
      <c r="C4" s="70">
        <f t="shared" si="0"/>
        <v>157.24634820399112</v>
      </c>
      <c r="D4" s="51" t="str">
        <f t="shared" si="1"/>
        <v>0.000242038249627033-0.000657154338396194i</v>
      </c>
      <c r="E4" s="51" t="str">
        <f t="shared" si="2"/>
        <v>0.999986993344607-0.0602159971905624i</v>
      </c>
      <c r="F4" s="70" t="str">
        <f t="shared" si="3"/>
        <v>0.000202463897724297-0.000671720365575724i</v>
      </c>
      <c r="G4" s="70" t="str">
        <f t="shared" si="4"/>
        <v>0.0318367085602921-0.105625574501033i</v>
      </c>
      <c r="H4" s="72">
        <f t="shared" si="5"/>
        <v>0.11031925489517344</v>
      </c>
      <c r="I4" s="51" t="str">
        <f t="shared" si="6"/>
        <v>2.04230846210088-0.216695658041175i</v>
      </c>
      <c r="J4" s="73" t="str">
        <f t="shared" si="7"/>
        <v>0.916884131375094-0.276057278490595i</v>
      </c>
      <c r="K4" s="73" t="str">
        <f t="shared" si="8"/>
        <v>1.81273980665379-0.762478926081719i</v>
      </c>
      <c r="L4" s="73" t="str">
        <f t="shared" si="9"/>
        <v>-0.0228256056922353-0.215746502851726i</v>
      </c>
      <c r="M4" s="70">
        <f t="shared" si="10"/>
        <v>-13.272782987859063</v>
      </c>
      <c r="N4" s="70">
        <f t="shared" si="11"/>
        <v>83.960672346212149</v>
      </c>
      <c r="O4" s="70">
        <f t="shared" si="12"/>
        <v>83.960672346212149</v>
      </c>
    </row>
    <row r="5" spans="1:18" ht="15" x14ac:dyDescent="0.2">
      <c r="A5" s="71">
        <f t="shared" si="13"/>
        <v>4</v>
      </c>
      <c r="B5" s="70">
        <f t="shared" si="14"/>
        <v>4000</v>
      </c>
      <c r="C5" s="70">
        <f t="shared" si="0"/>
        <v>157.24634820399112</v>
      </c>
      <c r="D5" s="51" t="str">
        <f t="shared" si="1"/>
        <v>0.000241849268759146-0.000492865846961895i</v>
      </c>
      <c r="E5" s="51" t="str">
        <f t="shared" si="2"/>
        <v>0.999958777866806-0.0805119788942678i</v>
      </c>
      <c r="F5" s="70" t="str">
        <f t="shared" si="3"/>
        <v>0.000202157694548075-0.000512317293202235i</v>
      </c>
      <c r="G5" s="70" t="str">
        <f t="shared" si="4"/>
        <v>0.0317885592290227-0.0805600234778049i</v>
      </c>
      <c r="H5" s="72">
        <f t="shared" si="5"/>
        <v>8.6605022259690925E-2</v>
      </c>
      <c r="I5" s="51" t="str">
        <f t="shared" si="6"/>
        <v>2.04230846210089-0.162521743530881i</v>
      </c>
      <c r="J5" s="73" t="str">
        <f t="shared" si="7"/>
        <v>0.86121059089525-0.345726639160341i</v>
      </c>
      <c r="K5" s="73" t="str">
        <f t="shared" si="8"/>
        <v>1.70266958125487-0.846045887510422i</v>
      </c>
      <c r="L5" s="73" t="str">
        <f t="shared" si="9"/>
        <v>-0.0140320637299642-0.164061681246433i</v>
      </c>
      <c r="M5" s="70">
        <f t="shared" si="10"/>
        <v>-15.668202784774738</v>
      </c>
      <c r="N5" s="70">
        <f t="shared" si="11"/>
        <v>85.111435212986549</v>
      </c>
      <c r="O5" s="70">
        <f t="shared" si="12"/>
        <v>85.111435212986549</v>
      </c>
    </row>
    <row r="6" spans="1:18" ht="15" x14ac:dyDescent="0.2">
      <c r="A6" s="71">
        <f t="shared" si="13"/>
        <v>5</v>
      </c>
      <c r="B6" s="70">
        <f t="shared" si="14"/>
        <v>5000</v>
      </c>
      <c r="C6" s="70">
        <f t="shared" si="0"/>
        <v>157.24634820399112</v>
      </c>
      <c r="D6" s="51" t="str">
        <f t="shared" si="1"/>
        <v>0.000241761797590393-0.0003942927120671i</v>
      </c>
      <c r="E6" s="51" t="str">
        <f t="shared" si="2"/>
        <v>0.999899000101-0.100999899000101i</v>
      </c>
      <c r="F6" s="70" t="str">
        <f t="shared" si="3"/>
        <v>0.000201913855578001-0.000418670805681717i</v>
      </c>
      <c r="G6" s="70" t="str">
        <f t="shared" si="4"/>
        <v>0.0317502164414287-0.0658344552930728i</v>
      </c>
      <c r="H6" s="72">
        <f t="shared" si="5"/>
        <v>7.3090709038927573E-2</v>
      </c>
      <c r="I6" s="51" t="str">
        <f t="shared" si="6"/>
        <v>2.04230846210089-0.130017394824705i</v>
      </c>
      <c r="J6" s="73" t="str">
        <f t="shared" si="7"/>
        <v>0.798845488412448-0.400863285991029i</v>
      </c>
      <c r="K6" s="73" t="str">
        <f t="shared" si="8"/>
        <v>1.57936970077044-0.922550290395903i</v>
      </c>
      <c r="L6" s="73" t="str">
        <f t="shared" si="9"/>
        <v>-0.0105902660081845-0.133268115354778i</v>
      </c>
      <c r="M6" s="70">
        <f t="shared" si="10"/>
        <v>-17.478136176857689</v>
      </c>
      <c r="N6" s="70">
        <f t="shared" si="11"/>
        <v>85.456489115294247</v>
      </c>
      <c r="O6" s="70">
        <f t="shared" si="12"/>
        <v>85.456489115294247</v>
      </c>
    </row>
    <row r="7" spans="1:18" ht="15" x14ac:dyDescent="0.2">
      <c r="A7" s="71">
        <f t="shared" si="13"/>
        <v>6</v>
      </c>
      <c r="B7" s="70">
        <f t="shared" si="14"/>
        <v>6000</v>
      </c>
      <c r="C7" s="70">
        <f t="shared" si="0"/>
        <v>157.24634820399112</v>
      </c>
      <c r="D7" s="51" t="str">
        <f t="shared" si="1"/>
        <v>0.000241714282381199-0.00032857727567211i</v>
      </c>
      <c r="E7" s="51" t="str">
        <f t="shared" si="2"/>
        <v>0.999789654644088-0.121727636523225i</v>
      </c>
      <c r="F7" s="70" t="str">
        <f t="shared" si="3"/>
        <v>0.000201666503721636-0.000357931469276285i</v>
      </c>
      <c r="G7" s="70" t="str">
        <f t="shared" si="4"/>
        <v>0.0317113212652938-0.0562834164509849i</v>
      </c>
      <c r="H7" s="72">
        <f t="shared" si="5"/>
        <v>6.4602096434912021E-2</v>
      </c>
      <c r="I7" s="51" t="str">
        <f t="shared" si="6"/>
        <v>2.04230846210089-0.108347829020587i</v>
      </c>
      <c r="J7" s="73" t="str">
        <f t="shared" si="7"/>
        <v>0.733890333693917-0.441922291590443i</v>
      </c>
      <c r="K7" s="73" t="str">
        <f t="shared" si="8"/>
        <v>1.45094911786751-0.982057060101109i</v>
      </c>
      <c r="L7" s="73" t="str">
        <f t="shared" si="9"/>
        <v>-0.00926201287600938-0.112806700383842i</v>
      </c>
      <c r="M7" s="70">
        <f t="shared" si="10"/>
        <v>-18.924123403137049</v>
      </c>
      <c r="N7" s="70">
        <f t="shared" si="11"/>
        <v>85.306248873415754</v>
      </c>
      <c r="O7" s="70">
        <f t="shared" si="12"/>
        <v>85.306248873415754</v>
      </c>
    </row>
    <row r="8" spans="1:18" ht="15" x14ac:dyDescent="0.2">
      <c r="A8" s="71">
        <f t="shared" si="13"/>
        <v>7</v>
      </c>
      <c r="B8" s="70">
        <f t="shared" si="14"/>
        <v>7000.0000000000009</v>
      </c>
      <c r="C8" s="70">
        <f t="shared" si="0"/>
        <v>157.24634820399112</v>
      </c>
      <c r="D8" s="51" t="str">
        <f t="shared" si="1"/>
        <v>0.000241685632206496-0.000281637672932727i</v>
      </c>
      <c r="E8" s="51" t="str">
        <f t="shared" si="2"/>
        <v>0.999608313413218-0.142742925212006i</v>
      </c>
      <c r="F8" s="70" t="str">
        <f t="shared" si="3"/>
        <v>0.000201389181901823-0.000316026273356775i</v>
      </c>
      <c r="G8" s="70" t="str">
        <f t="shared" si="4"/>
        <v>0.031667713421851-0.0496939774218691i</v>
      </c>
      <c r="H8" s="72">
        <f t="shared" si="5"/>
        <v>5.8926525991048528E-2</v>
      </c>
      <c r="I8" s="51" t="str">
        <f t="shared" si="6"/>
        <v>2.04230846210089-0.092869567731932i</v>
      </c>
      <c r="J8" s="73" t="str">
        <f t="shared" si="7"/>
        <v>0.669549836819797-0.470375225574626i</v>
      </c>
      <c r="K8" s="73" t="str">
        <f t="shared" si="8"/>
        <v>1.32374375366442-1.02283210747411i</v>
      </c>
      <c r="L8" s="73" t="str">
        <f t="shared" si="9"/>
        <v>-0.00890865782017104-0.098172846265098i</v>
      </c>
      <c r="M8" s="70">
        <f t="shared" si="10"/>
        <v>-20.124556438118265</v>
      </c>
      <c r="N8" s="70">
        <f t="shared" si="11"/>
        <v>84.81491736714807</v>
      </c>
      <c r="O8" s="70">
        <f t="shared" si="12"/>
        <v>84.81491736714807</v>
      </c>
    </row>
    <row r="9" spans="1:18" ht="15" x14ac:dyDescent="0.2">
      <c r="A9" s="71">
        <f t="shared" si="13"/>
        <v>8</v>
      </c>
      <c r="B9" s="70">
        <f t="shared" si="14"/>
        <v>8000</v>
      </c>
      <c r="C9" s="70">
        <f t="shared" si="0"/>
        <v>157.24634820399112</v>
      </c>
      <c r="D9" s="51" t="str">
        <f t="shared" si="1"/>
        <v>0.000241667037140305-0.000246432968399681i</v>
      </c>
      <c r="E9" s="51" t="str">
        <f t="shared" si="2"/>
        <v>0.999327874060402-0.164093246972151i</v>
      </c>
      <c r="F9" s="70" t="str">
        <f t="shared" si="3"/>
        <v>0.000201066620510208-0.00028592326321974i</v>
      </c>
      <c r="G9" s="70" t="str">
        <f t="shared" si="4"/>
        <v>0.0316169918209479-0.0449603890078726i</v>
      </c>
      <c r="H9" s="72">
        <f t="shared" si="5"/>
        <v>5.4964267952417212E-2</v>
      </c>
      <c r="I9" s="51" t="str">
        <f t="shared" si="6"/>
        <v>2.04230846210088-0.0812608717654406i</v>
      </c>
      <c r="J9" s="73" t="str">
        <f t="shared" si="7"/>
        <v>0.608041450158973-0.488187510130632i</v>
      </c>
      <c r="K9" s="73" t="str">
        <f t="shared" si="8"/>
        <v>1.20213765630955-1.04643946134119i</v>
      </c>
      <c r="L9" s="73" t="str">
        <f t="shared" si="9"/>
        <v>-0.00904034880789605-0.0871338445590312i</v>
      </c>
      <c r="M9" s="70">
        <f t="shared" si="10"/>
        <v>-21.149762371664373</v>
      </c>
      <c r="N9" s="70">
        <f t="shared" si="11"/>
        <v>84.076616738424747</v>
      </c>
      <c r="O9" s="70">
        <f t="shared" si="12"/>
        <v>84.076616738424747</v>
      </c>
    </row>
    <row r="10" spans="1:18" ht="15" x14ac:dyDescent="0.2">
      <c r="A10" s="71">
        <f t="shared" si="13"/>
        <v>9</v>
      </c>
      <c r="B10" s="70">
        <f t="shared" si="14"/>
        <v>9000</v>
      </c>
      <c r="C10" s="70">
        <f t="shared" si="0"/>
        <v>157.24634820399112</v>
      </c>
      <c r="D10" s="51" t="str">
        <f t="shared" si="1"/>
        <v>0.000241654288423744-0.000219051530259684i</v>
      </c>
      <c r="E10" s="51" t="str">
        <f t="shared" si="2"/>
        <v>0.99891626463625-0.185825679655359i</v>
      </c>
      <c r="F10" s="70" t="str">
        <f t="shared" si="3"/>
        <v>0.000200686999635525-0.000263719708757832i</v>
      </c>
      <c r="G10" s="70" t="str">
        <f t="shared" si="4"/>
        <v>0.031557297824702-0.0414689611515892i</v>
      </c>
      <c r="H10" s="72">
        <f t="shared" si="5"/>
        <v>5.2110822148465054E-2</v>
      </c>
      <c r="I10" s="51" t="str">
        <f t="shared" si="6"/>
        <v>2.04230846210088-0.072231886013725i</v>
      </c>
      <c r="J10" s="73" t="str">
        <f t="shared" si="7"/>
        <v>0.550705321891877-0.497422325928221i</v>
      </c>
      <c r="K10" s="73" t="str">
        <f t="shared" si="8"/>
        <v>1.08878038627664-1.05566830951915i</v>
      </c>
      <c r="L10" s="73" t="str">
        <f t="shared" si="9"/>
        <v>-0.00941850120098745-0.0784646307887138i</v>
      </c>
      <c r="M10" s="70">
        <f t="shared" si="10"/>
        <v>-22.044392925804605</v>
      </c>
      <c r="N10" s="70">
        <f t="shared" si="11"/>
        <v>83.155250254426605</v>
      </c>
      <c r="O10" s="70">
        <f t="shared" si="12"/>
        <v>83.155250254426605</v>
      </c>
    </row>
    <row r="11" spans="1:18" ht="15" x14ac:dyDescent="0.2">
      <c r="A11" s="71">
        <f t="shared" si="13"/>
        <v>10</v>
      </c>
      <c r="B11" s="70">
        <f t="shared" si="14"/>
        <v>10000</v>
      </c>
      <c r="C11" s="70">
        <f t="shared" si="0"/>
        <v>157.24634820399112</v>
      </c>
      <c r="D11" s="51" t="str">
        <f t="shared" si="1"/>
        <v>0.00024164516934158-0.000197146379031944i</v>
      </c>
      <c r="E11" s="51" t="str">
        <f t="shared" si="2"/>
        <v>0.998336106489185-0.207986688851913i</v>
      </c>
      <c r="F11" s="70" t="str">
        <f t="shared" si="3"/>
        <v>0.000200239274918395-0.000247077327099607i</v>
      </c>
      <c r="G11" s="70" t="str">
        <f t="shared" si="4"/>
        <v>0.0314868947479326-0.0388520074104162i</v>
      </c>
      <c r="H11" s="72">
        <f t="shared" si="5"/>
        <v>5.0009029391565089E-2</v>
      </c>
      <c r="I11" s="51" t="str">
        <f t="shared" si="6"/>
        <v>2.04230846210088-0.0650086974123526i</v>
      </c>
      <c r="J11" s="73" t="str">
        <f t="shared" si="7"/>
        <v>0.498199972181277-0.499996759889354i</v>
      </c>
      <c r="K11" s="73" t="str">
        <f t="shared" si="8"/>
        <v>0.984973880933441-1.05353494498742i</v>
      </c>
      <c r="L11" s="73" t="str">
        <f t="shared" si="9"/>
        <v>-0.00991817857136972-0.0714407564471803i</v>
      </c>
      <c r="M11" s="70">
        <f t="shared" si="10"/>
        <v>-22.838169667924014</v>
      </c>
      <c r="N11" s="70">
        <f t="shared" si="11"/>
        <v>82.096101638615337</v>
      </c>
      <c r="O11" s="70">
        <f t="shared" si="12"/>
        <v>82.096101638615337</v>
      </c>
    </row>
    <row r="12" spans="1:18" ht="15" x14ac:dyDescent="0.2">
      <c r="A12" s="71">
        <f t="shared" si="13"/>
        <v>11</v>
      </c>
      <c r="B12" s="70">
        <f t="shared" si="14"/>
        <v>11000</v>
      </c>
      <c r="C12" s="70">
        <f t="shared" si="0"/>
        <v>157.24634820399112</v>
      </c>
      <c r="D12" s="51" t="str">
        <f t="shared" si="1"/>
        <v>0.000241638422251973-0.000179223982147664i</v>
      </c>
      <c r="E12" s="51" t="str">
        <f t="shared" si="2"/>
        <v>0.997544338518663-0.230621852116547i</v>
      </c>
      <c r="F12" s="70" t="str">
        <f t="shared" si="3"/>
        <v>0.000199712073379441-0.000234510969200442i</v>
      </c>
      <c r="G12" s="70" t="str">
        <f t="shared" si="4"/>
        <v>0.0314039942311646-0.0368759935205481i</v>
      </c>
      <c r="H12" s="72">
        <f t="shared" si="5"/>
        <v>4.8436037738429062E-2</v>
      </c>
      <c r="I12" s="51" t="str">
        <f t="shared" si="6"/>
        <v>2.04230846210089-0.0590988158294115i</v>
      </c>
      <c r="J12" s="73" t="str">
        <f t="shared" si="7"/>
        <v>0.450705522950781-0.497564121026068i</v>
      </c>
      <c r="K12" s="73" t="str">
        <f t="shared" si="8"/>
        <v>0.891074253086144-1.0428155775035i</v>
      </c>
      <c r="L12" s="73" t="str">
        <f t="shared" si="9"/>
        <v>-0.0104715697756891-0.0656078227632204i</v>
      </c>
      <c r="M12" s="70">
        <f t="shared" si="10"/>
        <v>-23.551637177452175</v>
      </c>
      <c r="N12" s="70">
        <f t="shared" si="11"/>
        <v>80.931592741560138</v>
      </c>
      <c r="O12" s="70">
        <f t="shared" si="12"/>
        <v>80.931592741560138</v>
      </c>
    </row>
    <row r="13" spans="1:18" ht="15" x14ac:dyDescent="0.2">
      <c r="A13" s="71">
        <f t="shared" si="13"/>
        <v>12</v>
      </c>
      <c r="B13" s="70">
        <f t="shared" si="14"/>
        <v>12000</v>
      </c>
      <c r="C13" s="70">
        <f t="shared" si="0"/>
        <v>157.24634820399112</v>
      </c>
      <c r="D13" s="51" t="str">
        <f t="shared" si="1"/>
        <v>0.000241633290536932-0.000164288651145311i</v>
      </c>
      <c r="E13" s="51" t="str">
        <f t="shared" si="2"/>
        <v>0.996491807450037-0.253775502746189i</v>
      </c>
      <c r="F13" s="70" t="str">
        <f t="shared" si="3"/>
        <v>0.000199093159387353-0.000225032904709545i</v>
      </c>
      <c r="G13" s="70" t="str">
        <f t="shared" si="4"/>
        <v>0.0313066722660564-0.0353856024913127i</v>
      </c>
      <c r="H13" s="72">
        <f t="shared" si="5"/>
        <v>4.7246678105952178E-2</v>
      </c>
      <c r="I13" s="51" t="str">
        <f t="shared" si="6"/>
        <v>2.04230846210088-0.0541739145102936i</v>
      </c>
      <c r="J13" s="73" t="str">
        <f t="shared" si="7"/>
        <v>0.408095701139988-0.491481026949209i</v>
      </c>
      <c r="K13" s="73" t="str">
        <f t="shared" si="8"/>
        <v>0.806831852647811-1.02586400192598i</v>
      </c>
      <c r="L13" s="73" t="str">
        <f t="shared" si="9"/>
        <v>-0.0110415953976398-0.0606666193129665i</v>
      </c>
      <c r="M13" s="70">
        <f t="shared" si="10"/>
        <v>-24.199472781758825</v>
      </c>
      <c r="N13" s="70">
        <f t="shared" si="11"/>
        <v>79.684822350779967</v>
      </c>
      <c r="O13" s="70">
        <f t="shared" si="12"/>
        <v>79.684822350779967</v>
      </c>
    </row>
    <row r="14" spans="1:18" ht="15" x14ac:dyDescent="0.2">
      <c r="A14" s="71">
        <f t="shared" si="13"/>
        <v>13</v>
      </c>
      <c r="B14" s="70">
        <f t="shared" si="14"/>
        <v>13000</v>
      </c>
      <c r="C14" s="70">
        <f t="shared" si="0"/>
        <v>157.24634820399112</v>
      </c>
      <c r="D14" s="51" t="str">
        <f t="shared" si="1"/>
        <v>0.00024162929685591-0.000151651063201464i</v>
      </c>
      <c r="E14" s="51" t="str">
        <f t="shared" si="2"/>
        <v>0.99512283085849-0.277490278875169i</v>
      </c>
      <c r="F14" s="70" t="str">
        <f t="shared" si="3"/>
        <v>0.000198369134086109-0.000217961216284698i</v>
      </c>
      <c r="G14" s="70" t="str">
        <f t="shared" si="4"/>
        <v>0.0311928219314285-0.034273605310869i</v>
      </c>
      <c r="H14" s="72">
        <f t="shared" si="5"/>
        <v>4.634298394634332E-2</v>
      </c>
      <c r="I14" s="51" t="str">
        <f t="shared" si="6"/>
        <v>2.04230846210088-0.0500066903171941i</v>
      </c>
      <c r="J14" s="73" t="str">
        <f t="shared" si="7"/>
        <v>0.37006716851641-0.482822388982385i</v>
      </c>
      <c r="K14" s="73" t="str">
        <f t="shared" si="8"/>
        <v>0.731646960122726-1.00457808500305i</v>
      </c>
      <c r="L14" s="73" t="str">
        <f t="shared" si="9"/>
        <v>-0.011608379445564-0.056411804459859i</v>
      </c>
      <c r="M14" s="70">
        <f t="shared" si="10"/>
        <v>-24.792484853522193</v>
      </c>
      <c r="N14" s="70">
        <f t="shared" si="11"/>
        <v>78.372032646920331</v>
      </c>
      <c r="O14" s="70">
        <f t="shared" si="12"/>
        <v>78.372032646920331</v>
      </c>
    </row>
    <row r="15" spans="1:18" ht="15" x14ac:dyDescent="0.2">
      <c r="A15" s="71">
        <f t="shared" si="13"/>
        <v>14</v>
      </c>
      <c r="B15" s="70">
        <f t="shared" si="14"/>
        <v>14000.000000000002</v>
      </c>
      <c r="C15" s="70">
        <f t="shared" si="0"/>
        <v>157.24634820399112</v>
      </c>
      <c r="D15" s="51" t="str">
        <f t="shared" si="1"/>
        <v>0.000241626127992251-0.000140818844847703i</v>
      </c>
      <c r="E15" s="51" t="str">
        <f t="shared" si="2"/>
        <v>0.993374742343426-0.301806562343923i</v>
      </c>
      <c r="F15" s="70" t="str">
        <f t="shared" si="3"/>
        <v>0.000197525241161014-0.0002128102347795i</v>
      </c>
      <c r="G15" s="70" t="str">
        <f t="shared" si="4"/>
        <v>0.0310601228506821-0.0334636322795104i</v>
      </c>
      <c r="H15" s="72">
        <f t="shared" si="5"/>
        <v>4.5656827713253953E-2</v>
      </c>
      <c r="I15" s="51" t="str">
        <f t="shared" si="6"/>
        <v>2.04230846210088-0.046434783865966i</v>
      </c>
      <c r="J15" s="73" t="str">
        <f t="shared" si="7"/>
        <v>0.336229026651283-0.472418319171065i</v>
      </c>
      <c r="K15" s="73" t="str">
        <f t="shared" si="8"/>
        <v>0.664746743788826-0.980436653076557i</v>
      </c>
      <c r="L15" s="73" t="str">
        <f t="shared" si="9"/>
        <v>-0.012161856105236-0.0526973234850206i</v>
      </c>
      <c r="M15" s="70">
        <f t="shared" si="10"/>
        <v>-25.338862088661912</v>
      </c>
      <c r="N15" s="70">
        <f t="shared" si="11"/>
        <v>77.004417712065575</v>
      </c>
      <c r="O15" s="70">
        <f t="shared" si="12"/>
        <v>77.004417712065575</v>
      </c>
    </row>
    <row r="16" spans="1:18" ht="15" x14ac:dyDescent="0.2">
      <c r="A16" s="71">
        <f t="shared" si="13"/>
        <v>15</v>
      </c>
      <c r="B16" s="70">
        <f t="shared" si="14"/>
        <v>15000</v>
      </c>
      <c r="C16" s="70">
        <f t="shared" si="0"/>
        <v>157.24634820399112</v>
      </c>
      <c r="D16" s="51" t="str">
        <f t="shared" si="1"/>
        <v>0.000241623571514739-0.000131430922193938i</v>
      </c>
      <c r="E16" s="51" t="str">
        <f t="shared" si="2"/>
        <v>0.991177431652325-0.326761790654613i</v>
      </c>
      <c r="F16" s="70" t="str">
        <f t="shared" si="3"/>
        <v>0.000196545227557163-0.000209224714792403i</v>
      </c>
      <c r="G16" s="70" t="str">
        <f t="shared" si="4"/>
        <v>0.0309060192902863-0.0328998223551269i</v>
      </c>
      <c r="H16" s="72">
        <f t="shared" si="5"/>
        <v>4.5139565121636437E-2</v>
      </c>
      <c r="I16" s="51" t="str">
        <f t="shared" si="6"/>
        <v>2.04230846210088-0.043339131608235i</v>
      </c>
      <c r="J16" s="73" t="str">
        <f t="shared" si="7"/>
        <v>0.306160676930422-0.460897295318521i</v>
      </c>
      <c r="K16" s="73" t="str">
        <f t="shared" si="8"/>
        <v>0.605299652717845-0.954563184259178i</v>
      </c>
      <c r="L16" s="73" t="str">
        <f t="shared" si="9"/>
        <v>-0.0126975564455699-0.0494159992325484i</v>
      </c>
      <c r="M16" s="70">
        <f t="shared" si="10"/>
        <v>-25.844976495726712</v>
      </c>
      <c r="N16" s="70">
        <f t="shared" si="11"/>
        <v>75.589466363107235</v>
      </c>
      <c r="O16" s="70">
        <f t="shared" si="12"/>
        <v>75.589466363107235</v>
      </c>
    </row>
    <row r="17" spans="1:18" ht="15" x14ac:dyDescent="0.2">
      <c r="A17" s="71">
        <f t="shared" si="13"/>
        <v>16</v>
      </c>
      <c r="B17" s="70">
        <f t="shared" si="14"/>
        <v>16000</v>
      </c>
      <c r="C17" s="70">
        <f t="shared" si="0"/>
        <v>157.24634820399112</v>
      </c>
      <c r="D17" s="51" t="str">
        <f t="shared" si="1"/>
        <v>0.000241621479225215-0.000123216489814684i</v>
      </c>
      <c r="E17" s="51" t="str">
        <f t="shared" si="2"/>
        <v>0.98845289678367-0.352389624521807i</v>
      </c>
      <c r="F17" s="70" t="str">
        <f t="shared" si="3"/>
        <v>0.000195411238484628-0.000206938598629417i</v>
      </c>
      <c r="G17" s="70" t="str">
        <f t="shared" si="4"/>
        <v>0.030727703649727-0.0325403389369273i</v>
      </c>
      <c r="H17" s="72">
        <f t="shared" si="5"/>
        <v>4.4755618973661322E-2</v>
      </c>
      <c r="I17" s="51" t="str">
        <f t="shared" si="6"/>
        <v>2.04230846210088-0.0406304358827203i</v>
      </c>
      <c r="J17" s="73" t="str">
        <f t="shared" si="7"/>
        <v>0.279446782858316-0.448727398771741i</v>
      </c>
      <c r="K17" s="73" t="str">
        <f t="shared" si="8"/>
        <v>0.552484539533791-0.9277938082816i</v>
      </c>
      <c r="L17" s="73" t="str">
        <f t="shared" si="9"/>
        <v>-0.0132141437832156-0.0464870073627704i</v>
      </c>
      <c r="M17" s="70">
        <f t="shared" si="10"/>
        <v>-26.315912229596741</v>
      </c>
      <c r="N17" s="70">
        <f t="shared" si="11"/>
        <v>74.131957887316858</v>
      </c>
      <c r="O17" s="70">
        <f t="shared" si="12"/>
        <v>74.131957887316858</v>
      </c>
    </row>
    <row r="18" spans="1:18" ht="15" x14ac:dyDescent="0.2">
      <c r="A18" s="71">
        <f t="shared" si="13"/>
        <v>17</v>
      </c>
      <c r="B18" s="70">
        <f t="shared" si="14"/>
        <v>17000</v>
      </c>
      <c r="C18" s="70">
        <f t="shared" si="0"/>
        <v>157.24634820399112</v>
      </c>
      <c r="D18" s="51" t="str">
        <f t="shared" si="1"/>
        <v>0.000241619745186842-0.000115968461203198i</v>
      </c>
      <c r="E18" s="51" t="str">
        <f t="shared" si="2"/>
        <v>0.985114830259947-0.378718953288537i</v>
      </c>
      <c r="F18" s="70" t="str">
        <f t="shared" si="3"/>
        <v>0.00019410374002583-0.000205748227964699i</v>
      </c>
      <c r="G18" s="70" t="str">
        <f t="shared" si="4"/>
        <v>0.0305221042917986-0.0323531574968912i</v>
      </c>
      <c r="H18" s="72">
        <f t="shared" si="5"/>
        <v>4.447837283914597E-2</v>
      </c>
      <c r="I18" s="51" t="str">
        <f t="shared" si="6"/>
        <v>2.04230846210088-0.0382404102425603i</v>
      </c>
      <c r="J18" s="73" t="str">
        <f t="shared" si="7"/>
        <v>0.255696698493131-0.436252102427993i</v>
      </c>
      <c r="K18" s="73" t="str">
        <f t="shared" si="8"/>
        <v>0.505529071697753-0.900739307046036i</v>
      </c>
      <c r="L18" s="73" t="str">
        <f t="shared" si="9"/>
        <v>-0.0137119496156061-0.0438479207452761i</v>
      </c>
      <c r="M18" s="70">
        <f t="shared" si="10"/>
        <v>-26.755821902494795</v>
      </c>
      <c r="N18" s="70">
        <f t="shared" si="11"/>
        <v>72.634697379673341</v>
      </c>
      <c r="O18" s="70">
        <f t="shared" si="12"/>
        <v>72.634697379673341</v>
      </c>
    </row>
    <row r="19" spans="1:18" ht="15" x14ac:dyDescent="0.2">
      <c r="A19" s="71">
        <f t="shared" si="13"/>
        <v>18</v>
      </c>
      <c r="B19" s="70">
        <f t="shared" si="14"/>
        <v>18000</v>
      </c>
      <c r="C19" s="70">
        <f t="shared" si="0"/>
        <v>157.24634820399112</v>
      </c>
      <c r="D19" s="51" t="str">
        <f t="shared" si="1"/>
        <v>0.000241618292045815-0.000109525769073326i</v>
      </c>
      <c r="E19" s="51" t="str">
        <f t="shared" si="2"/>
        <v>0.981068267923973-0.405772721108261i</v>
      </c>
      <c r="F19" s="70" t="str">
        <f t="shared" si="3"/>
        <v>0.000192601469927778-0.00020549436839077i</v>
      </c>
      <c r="G19" s="70" t="str">
        <f t="shared" si="4"/>
        <v>0.0302858778048639-0.0323132390059342i</v>
      </c>
      <c r="H19" s="72">
        <f t="shared" si="5"/>
        <v>4.4287467860172083E-2</v>
      </c>
      <c r="I19" s="51" t="str">
        <f t="shared" si="6"/>
        <v>2.04230846210089-0.0361159430068625i</v>
      </c>
      <c r="J19" s="73" t="str">
        <f t="shared" si="7"/>
        <v>0.234553885047543-0.423719671547884i</v>
      </c>
      <c r="K19" s="73" t="str">
        <f t="shared" si="8"/>
        <v>0.463728348742727-0.873837405505268i</v>
      </c>
      <c r="L19" s="73" t="str">
        <f t="shared" si="9"/>
        <v>-0.0141920968317436-0.0414494978512028i</v>
      </c>
      <c r="M19" s="70">
        <f t="shared" si="10"/>
        <v>-27.168172040319575</v>
      </c>
      <c r="N19" s="70">
        <f t="shared" si="11"/>
        <v>71.099057498297597</v>
      </c>
      <c r="O19" s="70">
        <f t="shared" si="12"/>
        <v>71.099057498297597</v>
      </c>
    </row>
    <row r="20" spans="1:18" ht="15" x14ac:dyDescent="0.2">
      <c r="A20" s="71">
        <f t="shared" si="13"/>
        <v>19</v>
      </c>
      <c r="B20" s="70">
        <f t="shared" si="14"/>
        <v>19000</v>
      </c>
      <c r="C20" s="70">
        <f t="shared" si="0"/>
        <v>157.24634820399112</v>
      </c>
      <c r="D20" s="51" t="str">
        <f t="shared" si="1"/>
        <v>0.000241617062252617-0.000103761255039208i</v>
      </c>
      <c r="E20" s="51" t="str">
        <f t="shared" si="2"/>
        <v>0.976209335792462-0.433566558673604i</v>
      </c>
      <c r="F20" s="70" t="str">
        <f t="shared" si="3"/>
        <v>0.00019088142158675-0.000206049784060511i</v>
      </c>
      <c r="G20" s="70" t="str">
        <f t="shared" si="4"/>
        <v>0.0300154064845029-0.0324005760917363i</v>
      </c>
      <c r="H20" s="72">
        <f t="shared" si="5"/>
        <v>4.4166978134193569E-2</v>
      </c>
      <c r="I20" s="51" t="str">
        <f t="shared" si="6"/>
        <v>2.04230846210088-0.0342151039012381i</v>
      </c>
      <c r="J20" s="73" t="str">
        <f t="shared" si="7"/>
        <v>0.215699176481096-0.411306505840198i</v>
      </c>
      <c r="K20" s="73" t="str">
        <f t="shared" si="8"/>
        <v>0.426451358562956-0.847394927129294i</v>
      </c>
      <c r="L20" s="73" t="str">
        <f t="shared" si="9"/>
        <v>-0.0146559729430684-0.0392521728832348i</v>
      </c>
      <c r="M20" s="70">
        <f t="shared" si="10"/>
        <v>-27.555915914160384</v>
      </c>
      <c r="N20" s="70">
        <f t="shared" si="11"/>
        <v>69.525378108802499</v>
      </c>
      <c r="O20" s="70">
        <f t="shared" si="12"/>
        <v>69.525378108802499</v>
      </c>
    </row>
    <row r="21" spans="1:18" ht="15" x14ac:dyDescent="0.2">
      <c r="A21" s="71">
        <f t="shared" si="13"/>
        <v>20</v>
      </c>
      <c r="B21" s="70">
        <f t="shared" si="14"/>
        <v>20000</v>
      </c>
      <c r="C21" s="70">
        <f t="shared" si="0"/>
        <v>157.24634820399112</v>
      </c>
      <c r="D21" s="51" t="str">
        <f t="shared" si="1"/>
        <v>0.000241616012275125-0.000098573192390772i</v>
      </c>
      <c r="E21" s="51" t="str">
        <f t="shared" si="2"/>
        <v>0.970425138632163-0.462107208872458i</v>
      </c>
      <c r="F21" s="70" t="str">
        <f t="shared" si="3"/>
        <v>0.000188918869402491-0.000207310404942581i</v>
      </c>
      <c r="G21" s="70" t="str">
        <f t="shared" si="4"/>
        <v>0.0297068023203684-0.0325988041219115i</v>
      </c>
      <c r="H21" s="72">
        <f t="shared" si="5"/>
        <v>4.4104150986955859E-2</v>
      </c>
      <c r="I21" s="51" t="str">
        <f t="shared" si="6"/>
        <v>2.04230846210088-0.0325043487061762i</v>
      </c>
      <c r="J21" s="73" t="str">
        <f t="shared" si="7"/>
        <v>0.198850465229496-0.399135262420535i</v>
      </c>
      <c r="K21" s="73" t="str">
        <f t="shared" si="8"/>
        <v>0.393140356080248-0.821620828826519i</v>
      </c>
      <c r="L21" s="73" t="str">
        <f t="shared" si="9"/>
        <v>-0.0151049136191631-0.0372236330045252i</v>
      </c>
      <c r="M21" s="70">
        <f t="shared" si="10"/>
        <v>-27.921617883532615</v>
      </c>
      <c r="N21" s="70">
        <f t="shared" si="11"/>
        <v>67.9132628871197</v>
      </c>
      <c r="O21" s="70">
        <f t="shared" si="12"/>
        <v>67.9132628871197</v>
      </c>
    </row>
    <row r="22" spans="1:18" ht="15" x14ac:dyDescent="0.2">
      <c r="A22" s="71">
        <f t="shared" si="13"/>
        <v>21</v>
      </c>
      <c r="B22" s="70">
        <f t="shared" si="14"/>
        <v>21000</v>
      </c>
      <c r="C22" s="70">
        <f t="shared" si="0"/>
        <v>157.24634820399112</v>
      </c>
      <c r="D22" s="51" t="str">
        <f t="shared" si="1"/>
        <v>0.000241615108692538-0.0000938792309332019i</v>
      </c>
      <c r="E22" s="51" t="str">
        <f t="shared" si="2"/>
        <v>0.963593842808501-0.491390740625996i</v>
      </c>
      <c r="F22" s="70" t="str">
        <f t="shared" si="3"/>
        <v>0.000186687446247971-0.000209188876101687i</v>
      </c>
      <c r="G22" s="70" t="str">
        <f t="shared" si="4"/>
        <v>0.0293559191780223-0.0328941868518874i</v>
      </c>
      <c r="H22" s="72">
        <f t="shared" si="5"/>
        <v>4.4088519134049618E-2</v>
      </c>
      <c r="I22" s="51" t="str">
        <f t="shared" si="6"/>
        <v>2.04230846210088-0.0309565225773107i</v>
      </c>
      <c r="J22" s="73" t="str">
        <f t="shared" si="7"/>
        <v>0.183760455848953-0.387288717515936i</v>
      </c>
      <c r="K22" s="73" t="str">
        <f t="shared" si="8"/>
        <v>0.363306422052112-0.796651609759298i</v>
      </c>
      <c r="L22" s="73" t="str">
        <f t="shared" si="9"/>
        <v>-0.015540012944661-0.0353371096006082i</v>
      </c>
      <c r="M22" s="70">
        <f t="shared" si="10"/>
        <v>-28.267544741823819</v>
      </c>
      <c r="N22" s="70">
        <f t="shared" si="11"/>
        <v>66.26180209603514</v>
      </c>
      <c r="O22" s="70">
        <f t="shared" si="12"/>
        <v>66.26180209603514</v>
      </c>
    </row>
    <row r="23" spans="1:18" ht="15" x14ac:dyDescent="0.2">
      <c r="A23" s="71">
        <f t="shared" si="13"/>
        <v>22</v>
      </c>
      <c r="B23" s="70">
        <f t="shared" si="14"/>
        <v>22000</v>
      </c>
      <c r="C23" s="70">
        <f t="shared" si="0"/>
        <v>157.24634820399112</v>
      </c>
      <c r="D23" s="51" t="str">
        <f t="shared" si="1"/>
        <v>0.000241614325502633-0.0000896119932337113i</v>
      </c>
      <c r="E23" s="51" t="str">
        <f t="shared" si="2"/>
        <v>0.95558501521352-0.521400553935948i</v>
      </c>
      <c r="F23" s="70" t="str">
        <f t="shared" si="3"/>
        <v>0.000184159285999876-0.000211609721073483i</v>
      </c>
      <c r="G23" s="70" t="str">
        <f t="shared" si="4"/>
        <v>0.0289583752113349-0.0332748558832703i</v>
      </c>
      <c r="H23" s="72">
        <f t="shared" si="5"/>
        <v>4.4111263062089526E-2</v>
      </c>
      <c r="I23" s="51" t="str">
        <f t="shared" si="6"/>
        <v>2.04230846210088-0.0295494079147056i</v>
      </c>
      <c r="J23" s="73" t="str">
        <f t="shared" si="7"/>
        <v>0.170213506247679-0.375820260947372i</v>
      </c>
      <c r="K23" s="73" t="str">
        <f t="shared" si="8"/>
        <v>0.336523217980151-0.772570607490484i</v>
      </c>
      <c r="L23" s="73" t="str">
        <f t="shared" si="9"/>
        <v>-0.0159620100103014-0.0335701511086223i</v>
      </c>
      <c r="M23" s="70">
        <f t="shared" si="10"/>
        <v>-28.595734155488888</v>
      </c>
      <c r="N23" s="70">
        <f t="shared" si="11"/>
        <v>64.569743131447169</v>
      </c>
      <c r="O23" s="70">
        <f t="shared" si="12"/>
        <v>64.569743131447169</v>
      </c>
    </row>
    <row r="24" spans="1:18" ht="15" x14ac:dyDescent="0.2">
      <c r="A24" s="71">
        <f t="shared" si="13"/>
        <v>23</v>
      </c>
      <c r="B24" s="70">
        <f t="shared" si="14"/>
        <v>23000</v>
      </c>
      <c r="C24" s="70">
        <f t="shared" si="0"/>
        <v>157.24634820399112</v>
      </c>
      <c r="D24" s="51" t="str">
        <f t="shared" si="1"/>
        <v>0.000241613642229952-0.000085715819673436i</v>
      </c>
      <c r="E24" s="51" t="str">
        <f t="shared" si="2"/>
        <v>0.946260289080358-0.552105191497926i</v>
      </c>
      <c r="F24" s="70" t="str">
        <f t="shared" si="3"/>
        <v>0.000181305245907068-0.000214505622514824i</v>
      </c>
      <c r="G24" s="70" t="str">
        <f t="shared" si="4"/>
        <v>0.028509587829113-0.0337302258096799i</v>
      </c>
      <c r="H24" s="72">
        <f t="shared" si="5"/>
        <v>4.4164745344651361E-2</v>
      </c>
      <c r="I24" s="51" t="str">
        <f t="shared" si="6"/>
        <v>2.04230846210088-0.0282646510488489i</v>
      </c>
      <c r="J24" s="73" t="str">
        <f t="shared" si="7"/>
        <v>0.158022164124381-0.364761784963595i</v>
      </c>
      <c r="K24" s="73" t="str">
        <f t="shared" si="8"/>
        <v>0.312420138422766-0.749422521409131i</v>
      </c>
      <c r="L24" s="73" t="str">
        <f t="shared" si="9"/>
        <v>-0.0163712214980422-0.0319037290117203i</v>
      </c>
      <c r="M24" s="70">
        <f t="shared" si="10"/>
        <v>-28.908046859992666</v>
      </c>
      <c r="N24" s="70">
        <f t="shared" si="11"/>
        <v>62.835624673992314</v>
      </c>
      <c r="O24" s="70">
        <f t="shared" si="12"/>
        <v>62.835624673992314</v>
      </c>
    </row>
    <row r="25" spans="1:18" ht="15" x14ac:dyDescent="0.2">
      <c r="A25" s="71">
        <f t="shared" si="13"/>
        <v>24</v>
      </c>
      <c r="B25" s="70">
        <f t="shared" si="14"/>
        <v>24000</v>
      </c>
      <c r="C25" s="70">
        <f t="shared" si="0"/>
        <v>157.24634820399112</v>
      </c>
      <c r="D25" s="51" t="str">
        <f t="shared" si="1"/>
        <v>0.000241613042573816-0.0000821443272363127i</v>
      </c>
      <c r="E25" s="51" t="str">
        <f t="shared" si="2"/>
        <v>0.935474435292397-0.583455988747857i</v>
      </c>
      <c r="F25" s="70" t="str">
        <f t="shared" si="3"/>
        <v>0.000178095224893328-0.000217814494783147i</v>
      </c>
      <c r="G25" s="70" t="str">
        <f t="shared" si="4"/>
        <v>0.0280048237470444-0.0342505338905471i</v>
      </c>
      <c r="H25" s="72">
        <f t="shared" si="5"/>
        <v>4.4242165689425031E-2</v>
      </c>
      <c r="I25" s="51" t="str">
        <f t="shared" si="6"/>
        <v>2.04230846210088-0.0270869572551469i</v>
      </c>
      <c r="J25" s="73" t="str">
        <f t="shared" si="7"/>
        <v>0.147023743573337-0.354129584190616i</v>
      </c>
      <c r="K25" s="73" t="str">
        <f t="shared" si="8"/>
        <v>0.290675542719822-0.727224272330424i</v>
      </c>
      <c r="L25" s="73" t="str">
        <f t="shared" si="9"/>
        <v>-0.0167675022440366-0.0303215800982646i</v>
      </c>
      <c r="M25" s="70">
        <f t="shared" si="10"/>
        <v>-29.206207061262166</v>
      </c>
      <c r="N25" s="70">
        <f t="shared" si="11"/>
        <v>61.057885987408397</v>
      </c>
      <c r="O25" s="70">
        <f t="shared" si="12"/>
        <v>61.057885987408397</v>
      </c>
      <c r="P25" s="70">
        <v>-9.1029999999999998</v>
      </c>
      <c r="Q25" s="70">
        <v>72.905000000000001</v>
      </c>
      <c r="R25" s="70">
        <f>B25</f>
        <v>24000</v>
      </c>
    </row>
    <row r="26" spans="1:18" ht="15" x14ac:dyDescent="0.2">
      <c r="A26" s="71">
        <f t="shared" si="13"/>
        <v>25</v>
      </c>
      <c r="B26" s="70">
        <f t="shared" si="14"/>
        <v>25000</v>
      </c>
      <c r="C26" s="70">
        <f t="shared" si="0"/>
        <v>157.24634820399112</v>
      </c>
      <c r="D26" s="51" t="str">
        <f t="shared" si="1"/>
        <v>0.000241612513427036-0.0000788585541885982i</v>
      </c>
      <c r="E26" s="51" t="str">
        <f t="shared" si="2"/>
        <v>0.923076923076923-0.615384615384615i</v>
      </c>
      <c r="F26" s="70" t="str">
        <f t="shared" si="3"/>
        <v>0.000174498594431973-0.000221477135206113i</v>
      </c>
      <c r="G26" s="70" t="str">
        <f t="shared" si="4"/>
        <v>0.0274392667411571-0.0348264707218429i</v>
      </c>
      <c r="H26" s="72">
        <f t="shared" si="5"/>
        <v>4.4337302829916832E-2</v>
      </c>
      <c r="I26" s="51" t="str">
        <f t="shared" si="6"/>
        <v>2.04230846210088-0.026003478964941i</v>
      </c>
      <c r="J26" s="73" t="str">
        <f t="shared" si="7"/>
        <v>0.137077123680721-0.343928751115898i</v>
      </c>
      <c r="K26" s="73" t="str">
        <f t="shared" si="8"/>
        <v>0.271010425608505-0.705973080865992i</v>
      </c>
      <c r="L26" s="73" t="str">
        <f t="shared" si="9"/>
        <v>-0.0171502234732824-0.0288097203307272i</v>
      </c>
      <c r="M26" s="70">
        <f t="shared" si="10"/>
        <v>-29.491834036544219</v>
      </c>
      <c r="N26" s="70">
        <f t="shared" si="11"/>
        <v>59.234959718382896</v>
      </c>
      <c r="O26" s="70">
        <f t="shared" si="12"/>
        <v>59.234959718382896</v>
      </c>
    </row>
    <row r="27" spans="1:18" ht="15" x14ac:dyDescent="0.2">
      <c r="A27" s="71">
        <f t="shared" si="13"/>
        <v>26</v>
      </c>
      <c r="B27" s="70">
        <f t="shared" si="14"/>
        <v>26000</v>
      </c>
      <c r="C27" s="70">
        <f t="shared" si="0"/>
        <v>157.24634820399112</v>
      </c>
      <c r="D27" s="51" t="str">
        <f t="shared" si="1"/>
        <v>0.000241612044153524-0.0000758255329092439i</v>
      </c>
      <c r="E27" s="51" t="str">
        <f t="shared" si="2"/>
        <v>0.908914055000462-0.647800587445505i</v>
      </c>
      <c r="F27" s="70" t="str">
        <f t="shared" si="3"/>
        <v>0.000170484758026554-0.000225435316725674i</v>
      </c>
      <c r="G27" s="70" t="str">
        <f t="shared" si="4"/>
        <v>0.0268081056241167-0.0354488803113224i</v>
      </c>
      <c r="H27" s="72">
        <f t="shared" si="5"/>
        <v>4.4444320699952855E-2</v>
      </c>
      <c r="I27" s="51" t="str">
        <f t="shared" si="6"/>
        <v>2.04230846210088-0.0250033451585971i</v>
      </c>
      <c r="J27" s="73" t="str">
        <f t="shared" si="7"/>
        <v>0.128059852348543-0.334156440256675i</v>
      </c>
      <c r="K27" s="73" t="str">
        <f t="shared" si="8"/>
        <v>0.253182691294113-0.685652450290944i</v>
      </c>
      <c r="L27" s="73" t="str">
        <f t="shared" si="9"/>
        <v>-0.0175182633151179-0.0273560862294176i</v>
      </c>
      <c r="M27" s="70">
        <f t="shared" si="10"/>
        <v>-29.766466955718954</v>
      </c>
      <c r="N27" s="70">
        <f t="shared" si="11"/>
        <v>57.365354173993694</v>
      </c>
      <c r="O27" s="70">
        <f t="shared" si="12"/>
        <v>57.365354173993694</v>
      </c>
    </row>
    <row r="28" spans="1:18" ht="15" x14ac:dyDescent="0.2">
      <c r="A28" s="71">
        <f t="shared" si="13"/>
        <v>27</v>
      </c>
      <c r="B28" s="70">
        <f t="shared" si="14"/>
        <v>27000</v>
      </c>
      <c r="C28" s="70">
        <f t="shared" si="0"/>
        <v>157.24634820399112</v>
      </c>
      <c r="D28" s="51" t="str">
        <f t="shared" si="1"/>
        <v>0.000241611626049616-0.0000730171798690669i</v>
      </c>
      <c r="E28" s="51" t="str">
        <f t="shared" si="2"/>
        <v>0.89283175581238-0.680588859597241i</v>
      </c>
      <c r="F28" s="70" t="str">
        <f t="shared" si="3"/>
        <v>0.000166023853132468-0.000229630237945511i</v>
      </c>
      <c r="G28" s="70" t="str">
        <f t="shared" si="4"/>
        <v>0.0261066446198363-0.0361085163541452i</v>
      </c>
      <c r="H28" s="72">
        <f t="shared" si="5"/>
        <v>4.4557623888668019E-2</v>
      </c>
      <c r="I28" s="51" t="str">
        <f t="shared" si="6"/>
        <v>2.04230846210088-0.0240772953379083i</v>
      </c>
      <c r="J28" s="73" t="str">
        <f t="shared" si="7"/>
        <v>0.119865580964907-0.324804284862211i</v>
      </c>
      <c r="K28" s="73" t="str">
        <f t="shared" si="8"/>
        <v>0.236982081625622-0.66623657849446i</v>
      </c>
      <c r="L28" s="73" t="str">
        <f t="shared" si="9"/>
        <v>-0.0178700074040278-0.0259502729575087i</v>
      </c>
      <c r="M28" s="70">
        <f t="shared" si="10"/>
        <v>-30.031584282518658</v>
      </c>
      <c r="N28" s="70">
        <f t="shared" si="11"/>
        <v>55.447729245011047</v>
      </c>
      <c r="O28" s="70">
        <f t="shared" si="12"/>
        <v>55.447729245011047</v>
      </c>
    </row>
    <row r="29" spans="1:18" ht="15" x14ac:dyDescent="0.2">
      <c r="A29" s="71">
        <f t="shared" si="13"/>
        <v>28</v>
      </c>
      <c r="B29" s="70">
        <f t="shared" si="14"/>
        <v>28000.000000000004</v>
      </c>
      <c r="C29" s="70">
        <f t="shared" si="0"/>
        <v>157.24634820399112</v>
      </c>
      <c r="D29" s="51" t="str">
        <f t="shared" si="1"/>
        <v>0.000241611251937583-0.0000704094234715193i</v>
      </c>
      <c r="E29" s="51" t="str">
        <f t="shared" si="2"/>
        <v>0.874679080449271-0.713607641392179i</v>
      </c>
      <c r="F29" s="70" t="str">
        <f t="shared" si="3"/>
        <v>0.000161087605055668-0.000234001285406022i</v>
      </c>
      <c r="G29" s="70" t="str">
        <f t="shared" si="4"/>
        <v>0.0253304376359306-0.0367958476051368i</v>
      </c>
      <c r="H29" s="72">
        <f t="shared" si="5"/>
        <v>4.4671752504331197E-2</v>
      </c>
      <c r="I29" s="51" t="str">
        <f t="shared" si="6"/>
        <v>2.04230846210088-0.023217391932983i</v>
      </c>
      <c r="J29" s="73" t="str">
        <f t="shared" si="7"/>
        <v>0.112401823426115-0.315860180327625i</v>
      </c>
      <c r="K29" s="73" t="str">
        <f t="shared" si="8"/>
        <v>0.222225745536034-0.647693596312284i</v>
      </c>
      <c r="L29" s="73" t="str">
        <f t="shared" si="9"/>
        <v>-0.0182033594763311-0.0245833469152617i</v>
      </c>
      <c r="M29" s="70">
        <f t="shared" si="10"/>
        <v>-30.288618658902937</v>
      </c>
      <c r="N29" s="70">
        <f t="shared" si="11"/>
        <v>53.480968725930055</v>
      </c>
      <c r="O29" s="70">
        <f t="shared" si="12"/>
        <v>53.480968725930055</v>
      </c>
    </row>
    <row r="30" spans="1:18" ht="15" x14ac:dyDescent="0.2">
      <c r="A30" s="71">
        <f t="shared" si="13"/>
        <v>29</v>
      </c>
      <c r="B30" s="70">
        <f t="shared" si="14"/>
        <v>28999.999999999996</v>
      </c>
      <c r="C30" s="70">
        <f t="shared" si="0"/>
        <v>157.24634820399112</v>
      </c>
      <c r="D30" s="51" t="str">
        <f t="shared" si="1"/>
        <v>0.000241610915855487-0.000067981512340182i</v>
      </c>
      <c r="E30" s="51" t="str">
        <f t="shared" si="2"/>
        <v>0.854312480830752-0.74668661675985i</v>
      </c>
      <c r="F30" s="70" t="str">
        <f t="shared" si="3"/>
        <v>0.000155650335468783-0.00023848509179035i</v>
      </c>
      <c r="G30" s="70" t="str">
        <f t="shared" si="4"/>
        <v>0.0244754468491923-0.0375009097851262i</v>
      </c>
      <c r="H30" s="72">
        <f t="shared" si="5"/>
        <v>4.4781310087801271E-2</v>
      </c>
      <c r="I30" s="51" t="str">
        <f t="shared" si="6"/>
        <v>2.04230846210088-0.022416792211156i</v>
      </c>
      <c r="J30" s="73" t="str">
        <f t="shared" si="7"/>
        <v>0.105588016461667-0.307309595101353i</v>
      </c>
      <c r="K30" s="73" t="str">
        <f t="shared" si="8"/>
        <v>0.208754404178228-0.629987931185298i</v>
      </c>
      <c r="L30" s="73" t="str">
        <f t="shared" si="9"/>
        <v>-0.0185157632490991-0.0232477162036939i</v>
      </c>
      <c r="M30" s="70">
        <f t="shared" si="10"/>
        <v>-30.538967859395704</v>
      </c>
      <c r="N30" s="70">
        <f t="shared" si="11"/>
        <v>51.464250623291491</v>
      </c>
      <c r="O30" s="70">
        <f t="shared" si="12"/>
        <v>51.464250623291491</v>
      </c>
    </row>
    <row r="31" spans="1:18" ht="15" x14ac:dyDescent="0.2">
      <c r="A31" s="71">
        <f t="shared" si="13"/>
        <v>30</v>
      </c>
      <c r="B31" s="70">
        <f t="shared" si="14"/>
        <v>30000</v>
      </c>
      <c r="C31" s="70">
        <f t="shared" si="0"/>
        <v>157.24634820399112</v>
      </c>
      <c r="D31" s="51" t="str">
        <f t="shared" si="1"/>
        <v>0.000241610612818187-0.0000657154619487614i</v>
      </c>
      <c r="E31" s="51" t="str">
        <f t="shared" si="2"/>
        <v>0.831600831600832-0.77962577962578i</v>
      </c>
      <c r="F31" s="70" t="str">
        <f t="shared" si="3"/>
        <v>0.00014969011828792-0.000243014895189864i</v>
      </c>
      <c r="G31" s="70" t="str">
        <f t="shared" si="4"/>
        <v>0.0235382244629989-0.0382132048277818i</v>
      </c>
      <c r="H31" s="72">
        <f t="shared" si="5"/>
        <v>4.488092060197213E-2</v>
      </c>
      <c r="I31" s="51" t="str">
        <f t="shared" si="6"/>
        <v>2.04230846210088-0.0216695658041175i</v>
      </c>
      <c r="J31" s="73" t="str">
        <f t="shared" si="7"/>
        <v>0.0993538509233607-0.299136529414345i</v>
      </c>
      <c r="K31" s="73" t="str">
        <f t="shared" si="8"/>
        <v>0.196429051774529-0.613082020156882i</v>
      </c>
      <c r="L31" s="73" t="str">
        <f t="shared" si="9"/>
        <v>-0.0188042377007623-0.0219370457942685i</v>
      </c>
      <c r="M31" s="70">
        <f t="shared" si="10"/>
        <v>-30.784002185103525</v>
      </c>
      <c r="N31" s="70">
        <f t="shared" si="11"/>
        <v>49.397116050331817</v>
      </c>
      <c r="O31" s="70">
        <f t="shared" si="12"/>
        <v>49.397116050331817</v>
      </c>
    </row>
    <row r="32" spans="1:18" ht="15" x14ac:dyDescent="0.2">
      <c r="A32" s="71">
        <f t="shared" si="13"/>
        <v>31</v>
      </c>
      <c r="B32" s="70">
        <f t="shared" si="14"/>
        <v>31000</v>
      </c>
      <c r="C32" s="70">
        <f t="shared" si="0"/>
        <v>157.24634820399112</v>
      </c>
      <c r="D32" s="51" t="str">
        <f t="shared" si="1"/>
        <v>0.000241610338631403-0.0000635956083549524i</v>
      </c>
      <c r="E32" s="51" t="str">
        <f t="shared" si="2"/>
        <v>0.80643116012275-0.812195125529735i</v>
      </c>
      <c r="F32" s="70" t="str">
        <f t="shared" si="3"/>
        <v>0.000143190062569182-0.00024752021953841i</v>
      </c>
      <c r="G32" s="70" t="str">
        <f t="shared" si="4"/>
        <v>0.0225161144381049-0.0389216506290651i</v>
      </c>
      <c r="H32" s="72">
        <f t="shared" si="5"/>
        <v>4.4965212076457949E-2</v>
      </c>
      <c r="I32" s="51" t="str">
        <f t="shared" si="6"/>
        <v>2.04230846210088-0.0209705475523718i</v>
      </c>
      <c r="J32" s="73" t="str">
        <f t="shared" si="7"/>
        <v>0.0936378417496284-0.291324211733422i</v>
      </c>
      <c r="K32" s="73" t="str">
        <f t="shared" si="8"/>
        <v>0.185128128342816-0.596937539651148i</v>
      </c>
      <c r="L32" s="73" t="str">
        <f t="shared" si="9"/>
        <v>-0.0190654282421967-0.0206462062881578i</v>
      </c>
      <c r="M32" s="70">
        <f t="shared" si="10"/>
        <v>-31.025068525038726</v>
      </c>
      <c r="N32" s="70">
        <f t="shared" si="11"/>
        <v>47.279536419811734</v>
      </c>
      <c r="O32" s="70">
        <f t="shared" si="12"/>
        <v>47.279536419811734</v>
      </c>
    </row>
    <row r="33" spans="1:18" ht="15" x14ac:dyDescent="0.2">
      <c r="A33" s="71">
        <f t="shared" si="13"/>
        <v>32</v>
      </c>
      <c r="B33" s="70">
        <f t="shared" si="14"/>
        <v>32000</v>
      </c>
      <c r="C33" s="70">
        <f t="shared" si="0"/>
        <v>157.24634820399112</v>
      </c>
      <c r="D33" s="51" t="str">
        <f t="shared" si="1"/>
        <v>0.000241610089745794-0.0000616082456091974i</v>
      </c>
      <c r="E33" s="51" t="str">
        <f t="shared" si="2"/>
        <v>0.778714955716654-0.844135453351387i</v>
      </c>
      <c r="F33" s="70" t="str">
        <f t="shared" si="3"/>
        <v>0.000136139685999589-0.000251926904893182i</v>
      </c>
      <c r="G33" s="70" t="str">
        <f t="shared" si="4"/>
        <v>0.0214074684690734-0.0396145858087871i</v>
      </c>
      <c r="H33" s="72">
        <f t="shared" si="5"/>
        <v>4.502882537948473E-2</v>
      </c>
      <c r="I33" s="51" t="str">
        <f t="shared" si="6"/>
        <v>2.04230846210088-0.0203152179413601i</v>
      </c>
      <c r="J33" s="73" t="str">
        <f t="shared" si="7"/>
        <v>0.0883861052951604-0.283855600060864i</v>
      </c>
      <c r="K33" s="73" t="str">
        <f t="shared" si="8"/>
        <v>0.174745102397333-0.581516277011085i</v>
      </c>
      <c r="L33" s="73" t="str">
        <f t="shared" si="9"/>
        <v>-0.0192956761851661-0.0193712462179522i</v>
      </c>
      <c r="M33" s="70">
        <f t="shared" si="10"/>
        <v>-31.263491230945768</v>
      </c>
      <c r="N33" s="70">
        <f t="shared" si="11"/>
        <v>45.111977839311777</v>
      </c>
      <c r="O33" s="70">
        <f t="shared" si="12"/>
        <v>45.111977839311777</v>
      </c>
    </row>
    <row r="34" spans="1:18" ht="15" x14ac:dyDescent="0.2">
      <c r="A34" s="71">
        <f t="shared" si="13"/>
        <v>33</v>
      </c>
      <c r="B34" s="70">
        <f t="shared" si="14"/>
        <v>33000</v>
      </c>
      <c r="C34" s="70">
        <f t="shared" ref="C34:C65" si="15">_ta1*_ta2*(rload/RS)</f>
        <v>157.24634820399112</v>
      </c>
      <c r="D34" s="51" t="str">
        <f t="shared" ref="D34:D65" si="16">IMDIV((COMPLEX(1,2*PI()*(B34)*(esrcout*0.001)*(cout*0.000001))),(COMPLEX(1,2*PI()*(B34)*rload*(cout*0.000001))))</f>
        <v>0.000241609863141516-0.000059741329089126i</v>
      </c>
      <c r="E34" s="51" t="str">
        <f t="shared" ref="E34:E65" si="17">IMDIV(1,(COMPLEX((1-(B34/(fpp*1000))^2),(B34/(fpp*1000)))))</f>
        <v>0.748394849515882-0.875160525656418i</v>
      </c>
      <c r="F34" s="70" t="str">
        <f t="shared" ref="F34:F65" si="18">IMPRODUCT(D34,E34)</f>
        <v>0.000128536324198295-0.00025615751782424i</v>
      </c>
      <c r="G34" s="70" t="str">
        <f t="shared" ref="G34:G65" si="19">IMPRODUCT(C34,F34)</f>
        <v>0.0202118675917462-0.0402798342428605i</v>
      </c>
      <c r="H34" s="72">
        <f t="shared" ref="H34:H65" si="20">IMABS(G34)</f>
        <v>4.5066446922057184E-2</v>
      </c>
      <c r="I34" s="51" t="str">
        <f t="shared" ref="I34:I65" si="21">IMDIV((COMPLEX(1,(2*PI()*B34*(rf*1000)*(Cz*0.000000001)))),(COMPLEX(0,2*PI()*B34*((Cz*0.000000001)+(Cp*0.000000000001))*(RII*1000))))</f>
        <v>2.04230846210088-0.0196996052764704i</v>
      </c>
      <c r="J34" s="73" t="str">
        <f t="shared" ref="J34:J65" si="22">IMDIV(1,(COMPLEX(1,2*PI()*B34*(((Cz*0.000000001)*(Cp*0.000000000001))/((Cz*0.000000001)+(Cp*0.000000000001)))*(rf*1000))))</f>
        <v>0.0835513151692848-0.276713738189429i</v>
      </c>
      <c r="K34" s="73" t="str">
        <f t="shared" ref="K34:K65" si="23">IMPRODUCT(I34,J34)</f>
        <v>0.16518640657298-0.566780737013003i</v>
      </c>
      <c r="L34" s="73" t="str">
        <f t="shared" ref="L34:L65" si="24">IMPRODUCT(G34,K34)</f>
        <v>-0.0194911083613206-0.0181093782859925i</v>
      </c>
      <c r="M34" s="70">
        <f t="shared" ref="M34:M65" si="25">20*LOG(IMABS(L34))</f>
        <v>-31.500569922786799</v>
      </c>
      <c r="N34" s="70">
        <f t="shared" ref="N34:N65" si="26">(180/PI())*IMARGUMENT(L34)+180</f>
        <v>42.895460882461833</v>
      </c>
      <c r="O34" s="70">
        <f t="shared" si="12"/>
        <v>42.895460882461833</v>
      </c>
    </row>
    <row r="35" spans="1:18" ht="15" x14ac:dyDescent="0.2">
      <c r="A35" s="71">
        <f t="shared" si="13"/>
        <v>34</v>
      </c>
      <c r="B35" s="70">
        <f t="shared" si="14"/>
        <v>34000</v>
      </c>
      <c r="C35" s="70">
        <f t="shared" si="15"/>
        <v>157.24634820399112</v>
      </c>
      <c r="D35" s="51" t="str">
        <f t="shared" si="16"/>
        <v>0.000241609656236191-0.0000579842311867402i</v>
      </c>
      <c r="E35" s="51" t="str">
        <f t="shared" si="17"/>
        <v>0.715451364638305-0.904960803485952i</v>
      </c>
      <c r="F35" s="70" t="str">
        <f t="shared" si="18"/>
        <v>0.000120386501819707-0.000260132165967524i</v>
      </c>
      <c r="G35" s="70" t="str">
        <f t="shared" si="19"/>
        <v>0.0189303377842021-0.0409048331487877i</v>
      </c>
      <c r="H35" s="72">
        <f t="shared" si="20"/>
        <v>4.5072863937785784E-2</v>
      </c>
      <c r="I35" s="51" t="str">
        <f t="shared" si="21"/>
        <v>2.04230846210088-0.0191202051212801i</v>
      </c>
      <c r="J35" s="73" t="str">
        <f t="shared" si="22"/>
        <v>0.0790918107973215-0.269882004331749i</v>
      </c>
      <c r="K35" s="73" t="str">
        <f t="shared" si="23"/>
        <v>0.156369675192886-0.552694552861336i</v>
      </c>
      <c r="L35" s="73" t="str">
        <f t="shared" si="24"/>
        <v>-0.0196477476964295-0.0168589700504488i</v>
      </c>
      <c r="M35" s="70">
        <f t="shared" si="25"/>
        <v>-31.737574360103189</v>
      </c>
      <c r="N35" s="70">
        <f t="shared" si="26"/>
        <v>40.631613277777745</v>
      </c>
      <c r="O35" s="70">
        <f t="shared" si="12"/>
        <v>40.631613277777745</v>
      </c>
    </row>
    <row r="36" spans="1:18" ht="15" x14ac:dyDescent="0.2">
      <c r="A36" s="71">
        <f t="shared" si="13"/>
        <v>35</v>
      </c>
      <c r="B36" s="70">
        <f t="shared" ref="B36:B67" si="27">(fs*1000/2)*(A36/100)</f>
        <v>35000</v>
      </c>
      <c r="C36" s="70">
        <f t="shared" si="15"/>
        <v>157.24634820399112</v>
      </c>
      <c r="D36" s="51" t="str">
        <f t="shared" si="16"/>
        <v>0.000241609466810992-0.0000563275388777913i</v>
      </c>
      <c r="E36" s="51" t="str">
        <f t="shared" si="17"/>
        <v>0.679909345420611-0.933208905479269i</v>
      </c>
      <c r="F36" s="70" t="str">
        <f t="shared" si="18"/>
        <v>0.0001117071735224-0.000263769726163669i</v>
      </c>
      <c r="G36" s="70" t="str">
        <f t="shared" si="19"/>
        <v>0.017565545104587-0.0414768262060037i</v>
      </c>
      <c r="H36" s="72">
        <f t="shared" si="20"/>
        <v>4.5043040382997189E-2</v>
      </c>
      <c r="I36" s="51" t="str">
        <f t="shared" si="21"/>
        <v>2.04230846210089-0.0185739135463864i</v>
      </c>
      <c r="J36" s="73" t="str">
        <f t="shared" si="22"/>
        <v>0.0749708361187852-0.263344280079206i</v>
      </c>
      <c r="K36" s="73" t="str">
        <f t="shared" si="23"/>
        <v>0.148222239125048-0.5392227534802i</v>
      </c>
      <c r="L36" s="73" t="str">
        <f t="shared" si="24"/>
        <v>-0.0197616440055671-0.0156195296497304i</v>
      </c>
      <c r="M36" s="70">
        <f t="shared" si="25"/>
        <v>-31.975736574960059</v>
      </c>
      <c r="N36" s="70">
        <f t="shared" si="26"/>
        <v>38.322712566860787</v>
      </c>
      <c r="O36" s="70">
        <f t="shared" si="12"/>
        <v>38.322712566860787</v>
      </c>
    </row>
    <row r="37" spans="1:18" ht="15" x14ac:dyDescent="0.2">
      <c r="A37" s="71">
        <f t="shared" si="13"/>
        <v>36</v>
      </c>
      <c r="B37" s="70">
        <f t="shared" si="27"/>
        <v>36000</v>
      </c>
      <c r="C37" s="70">
        <f t="shared" si="15"/>
        <v>157.24634820399112</v>
      </c>
      <c r="D37" s="51" t="str">
        <f t="shared" si="16"/>
        <v>0.000241609292950927-0.0000547628850295984i</v>
      </c>
      <c r="E37" s="51" t="str">
        <f t="shared" si="17"/>
        <v>0.641843596575924-0.959566838734771i</v>
      </c>
      <c r="F37" s="70" t="str">
        <f t="shared" si="18"/>
        <v>0.000102526729085942-0.000266989472532135i</v>
      </c>
      <c r="G37" s="70" t="str">
        <f t="shared" si="19"/>
        <v>0.0161219537420643-0.041983119564588i</v>
      </c>
      <c r="H37" s="72">
        <f t="shared" si="20"/>
        <v>4.4972210539796165E-2</v>
      </c>
      <c r="I37" s="51" t="str">
        <f t="shared" si="21"/>
        <v>2.04230846210089-0.0180579715034312i</v>
      </c>
      <c r="J37" s="73" t="str">
        <f t="shared" si="22"/>
        <v>0.0711558889012318-0.257085060584833i</v>
      </c>
      <c r="K37" s="73" t="str">
        <f t="shared" si="23"/>
        <v>0.140679839333298-0.526331925726204i</v>
      </c>
      <c r="L37" s="73" t="str">
        <f t="shared" si="24"/>
        <v>-0.0198290223062506-0.0143916774745864i</v>
      </c>
      <c r="M37" s="70">
        <f t="shared" si="25"/>
        <v>-32.216240559029771</v>
      </c>
      <c r="N37" s="70">
        <f t="shared" si="26"/>
        <v>35.971715493132479</v>
      </c>
      <c r="O37" s="70">
        <f t="shared" si="12"/>
        <v>35.971715493132479</v>
      </c>
    </row>
    <row r="38" spans="1:18" ht="15" x14ac:dyDescent="0.2">
      <c r="A38" s="71">
        <f t="shared" si="13"/>
        <v>37</v>
      </c>
      <c r="B38" s="70">
        <f t="shared" si="27"/>
        <v>37000</v>
      </c>
      <c r="C38" s="70">
        <f t="shared" si="15"/>
        <v>157.24634820399112</v>
      </c>
      <c r="D38" s="51" t="str">
        <f t="shared" si="16"/>
        <v>0.000241609132996232-0.0000532828070643505i</v>
      </c>
      <c r="E38" s="51" t="str">
        <f t="shared" si="17"/>
        <v>0.601383213294196-0.983694911223927i</v>
      </c>
      <c r="F38" s="70" t="str">
        <f t="shared" si="18"/>
        <v>0.0000928856505975709-0.000269713060359312i</v>
      </c>
      <c r="G38" s="70" t="str">
        <f t="shared" si="19"/>
        <v>0.0146059293570199-0.0424113938044244i</v>
      </c>
      <c r="H38" s="72">
        <f t="shared" si="20"/>
        <v>4.4855986187087936E-2</v>
      </c>
      <c r="I38" s="51" t="str">
        <f t="shared" si="21"/>
        <v>2.04230846210088-0.0175699182195547i</v>
      </c>
      <c r="J38" s="73" t="str">
        <f t="shared" si="22"/>
        <v>0.0676181639495989-0.251089521592766i</v>
      </c>
      <c r="K38" s="73" t="str">
        <f t="shared" si="23"/>
        <v>0.133685526065818-0.513990300304519i</v>
      </c>
      <c r="L38" s="73" t="str">
        <f t="shared" si="24"/>
        <v>-0.0198464436880959-0.0131770955083703i</v>
      </c>
      <c r="M38" s="70">
        <f t="shared" si="25"/>
        <v>-32.4602099216063</v>
      </c>
      <c r="N38" s="70">
        <f t="shared" si="26"/>
        <v>33.582270854198242</v>
      </c>
      <c r="O38" s="70">
        <f t="shared" si="12"/>
        <v>33.582270854198242</v>
      </c>
    </row>
    <row r="39" spans="1:18" ht="15" x14ac:dyDescent="0.2">
      <c r="A39" s="71">
        <f t="shared" si="13"/>
        <v>38</v>
      </c>
      <c r="B39" s="70">
        <f t="shared" si="27"/>
        <v>38000</v>
      </c>
      <c r="C39" s="70">
        <f t="shared" si="15"/>
        <v>157.24634820399112</v>
      </c>
      <c r="D39" s="51" t="str">
        <f t="shared" si="16"/>
        <v>0.000241608985502622-0.0000518806279387318i</v>
      </c>
      <c r="E39" s="51" t="str">
        <f t="shared" si="17"/>
        <v>0.558714077224444-1.00526207076368i</v>
      </c>
      <c r="F39" s="70" t="str">
        <f t="shared" si="18"/>
        <v>0.000082836713910022-0.000271866786246091i</v>
      </c>
      <c r="G39" s="70" t="str">
        <f t="shared" si="19"/>
        <v>0.0130257707595697-0.0427500593351528i</v>
      </c>
      <c r="H39" s="72">
        <f t="shared" si="20"/>
        <v>4.4690471882046029E-2</v>
      </c>
      <c r="I39" s="51" t="str">
        <f t="shared" si="21"/>
        <v>2.04230846210088-0.0171075519506191i</v>
      </c>
      <c r="J39" s="73" t="str">
        <f t="shared" si="22"/>
        <v>0.0643320759775284-0.245343554995745i</v>
      </c>
      <c r="K39" s="73" t="str">
        <f t="shared" si="23"/>
        <v>0.127188715540584-0.502167782821599i</v>
      </c>
      <c r="L39" s="73" t="str">
        <f t="shared" si="24"/>
        <v>-0.0198109714599897-0.0119784475579974i</v>
      </c>
      <c r="M39" s="70">
        <f t="shared" si="25"/>
        <v>-32.708694074110284</v>
      </c>
      <c r="N39" s="70">
        <f t="shared" si="26"/>
        <v>31.158712841971322</v>
      </c>
      <c r="O39" s="70">
        <f t="shared" si="12"/>
        <v>31.158712841971322</v>
      </c>
    </row>
    <row r="40" spans="1:18" ht="15" x14ac:dyDescent="0.2">
      <c r="A40" s="71">
        <f t="shared" si="13"/>
        <v>39</v>
      </c>
      <c r="B40" s="70">
        <f t="shared" si="27"/>
        <v>39000</v>
      </c>
      <c r="C40" s="70">
        <f t="shared" si="15"/>
        <v>157.24634820399112</v>
      </c>
      <c r="D40" s="51" t="str">
        <f t="shared" si="16"/>
        <v>0.000241608849208571-0.0000505503554343738i</v>
      </c>
      <c r="E40" s="51" t="str">
        <f t="shared" si="17"/>
        <v>0.514079044457808-1.02395723870554i</v>
      </c>
      <c r="F40" s="70" t="str">
        <f t="shared" si="18"/>
        <v>0.0000724446439675278-0.000273384008501137i</v>
      </c>
      <c r="G40" s="70" t="str">
        <f t="shared" si="19"/>
        <v>0.011391655710832-0.0429886369941727i</v>
      </c>
      <c r="H40" s="72">
        <f t="shared" si="20"/>
        <v>4.447238165930497E-2</v>
      </c>
      <c r="I40" s="51" t="str">
        <f t="shared" si="21"/>
        <v>2.04230846210088-0.0166688967723981i</v>
      </c>
      <c r="J40" s="73" t="str">
        <f t="shared" si="22"/>
        <v>0.0612748500732765-0.239833781652573i</v>
      </c>
      <c r="K40" s="73" t="str">
        <f t="shared" si="23"/>
        <v>0.121144380269715-0.49083594591732i</v>
      </c>
      <c r="L40" s="73" t="str">
        <f t="shared" si="24"/>
        <v>-0.0197203332313963-0.0107992658936895i</v>
      </c>
      <c r="M40" s="70">
        <f t="shared" si="25"/>
        <v>-32.962653633210849</v>
      </c>
      <c r="N40" s="70">
        <f t="shared" si="26"/>
        <v>28.706032540412849</v>
      </c>
      <c r="O40" s="70">
        <f t="shared" si="12"/>
        <v>28.706032540412849</v>
      </c>
    </row>
    <row r="41" spans="1:18" ht="15" x14ac:dyDescent="0.2">
      <c r="A41" s="71">
        <f t="shared" si="13"/>
        <v>40</v>
      </c>
      <c r="B41" s="70">
        <f t="shared" si="27"/>
        <v>40000</v>
      </c>
      <c r="C41" s="70">
        <f t="shared" si="15"/>
        <v>157.24634820399112</v>
      </c>
      <c r="D41" s="51" t="str">
        <f t="shared" si="16"/>
        <v>0.000241608723008246-0.000049286596554736i</v>
      </c>
      <c r="E41" s="51" t="str">
        <f t="shared" si="17"/>
        <v>0.467775467775468-1.03950103950104i</v>
      </c>
      <c r="F41" s="70" t="str">
        <f t="shared" si="18"/>
        <v>0.0000617851650716993-0.000274207579478043i</v>
      </c>
      <c r="G41" s="70" t="str">
        <f t="shared" si="19"/>
        <v>0.0097154915807055-0.0431181405227779i</v>
      </c>
      <c r="H41" s="72">
        <f t="shared" si="20"/>
        <v>4.4199149525718032E-2</v>
      </c>
      <c r="I41" s="51" t="str">
        <f t="shared" si="21"/>
        <v>2.04230846210089-0.0162521743530881i</v>
      </c>
      <c r="J41" s="73" t="str">
        <f t="shared" si="22"/>
        <v>0.0584261695556651-0.234547547987008i</v>
      </c>
      <c r="K41" s="73" t="str">
        <f t="shared" si="23"/>
        <v>0.115512352847702-0.479967994313283i</v>
      </c>
      <c r="L41" s="73" t="str">
        <f t="shared" si="24"/>
        <v>-0.0195730681336767-0.00964380286996273i</v>
      </c>
      <c r="M41" s="70">
        <f t="shared" si="25"/>
        <v>-33.222945849415822</v>
      </c>
      <c r="N41" s="70">
        <f t="shared" si="26"/>
        <v>26.229826250954659</v>
      </c>
      <c r="O41" s="70">
        <f t="shared" si="12"/>
        <v>26.229826250954659</v>
      </c>
    </row>
    <row r="42" spans="1:18" ht="15" x14ac:dyDescent="0.2">
      <c r="A42" s="71">
        <f t="shared" si="13"/>
        <v>41</v>
      </c>
      <c r="B42" s="70">
        <f t="shared" si="27"/>
        <v>41000</v>
      </c>
      <c r="C42" s="70">
        <f t="shared" si="15"/>
        <v>157.24634820399112</v>
      </c>
      <c r="D42" s="51" t="str">
        <f t="shared" si="16"/>
        <v>0.000241608605929002-0.0000480844844492758i</v>
      </c>
      <c r="E42" s="51" t="str">
        <f t="shared" si="17"/>
        <v>0.420149875001565-1.05165719627986i</v>
      </c>
      <c r="F42" s="70" t="str">
        <f t="shared" si="18"/>
        <v>0.0000509434314798846-0.000274292119239258i</v>
      </c>
      <c r="G42" s="70" t="str">
        <f t="shared" si="19"/>
        <v>0.0080106685651921-0.043131434091507i</v>
      </c>
      <c r="H42" s="72">
        <f t="shared" si="20"/>
        <v>4.3869025720334492E-2</v>
      </c>
      <c r="I42" s="51" t="str">
        <f t="shared" si="21"/>
        <v>2.04230846210089-0.0158557798566713i</v>
      </c>
      <c r="J42" s="73" t="str">
        <f t="shared" si="22"/>
        <v>0.0557678726036194-0.229472911231121i</v>
      </c>
      <c r="K42" s="73" t="str">
        <f t="shared" si="23"/>
        <v>0.110256726168186-0.469538711541323i</v>
      </c>
      <c r="L42" s="73" t="str">
        <f t="shared" si="24"/>
        <v>-0.0193686478998392-0.00851684971455333i</v>
      </c>
      <c r="M42" s="70">
        <f t="shared" si="25"/>
        <v>-33.490310940522043</v>
      </c>
      <c r="N42" s="70">
        <f t="shared" si="26"/>
        <v>23.736220622857473</v>
      </c>
      <c r="O42" s="70">
        <f t="shared" si="12"/>
        <v>23.736220622857473</v>
      </c>
    </row>
    <row r="43" spans="1:18" ht="15" x14ac:dyDescent="0.2">
      <c r="A43" s="71">
        <f t="shared" si="13"/>
        <v>42</v>
      </c>
      <c r="B43" s="70">
        <f t="shared" si="27"/>
        <v>42000</v>
      </c>
      <c r="C43" s="70">
        <f t="shared" si="15"/>
        <v>157.24634820399112</v>
      </c>
      <c r="D43" s="51" t="str">
        <f t="shared" si="16"/>
        <v>0.000241608497112596-0.0000469396157770212i</v>
      </c>
      <c r="E43" s="51" t="str">
        <f t="shared" si="17"/>
        <v>0.371589855273829-1.06024279358022i</v>
      </c>
      <c r="F43" s="70" t="str">
        <f t="shared" si="18"/>
        <v>0.0000400118771139857-0.00027360595296457i</v>
      </c>
      <c r="G43" s="70" t="str">
        <f t="shared" si="19"/>
        <v>0.0062917215609611-0.0430235369505516i</v>
      </c>
      <c r="H43" s="72">
        <f t="shared" si="20"/>
        <v>4.3481150995990675E-2</v>
      </c>
      <c r="I43" s="51" t="str">
        <f t="shared" si="21"/>
        <v>2.04230846210088-0.0154782612886553i</v>
      </c>
      <c r="J43" s="73" t="str">
        <f t="shared" si="22"/>
        <v>0.0532836903885782-0.224598616930631i</v>
      </c>
      <c r="K43" s="73" t="str">
        <f t="shared" si="23"/>
        <v>0.105345335694634-0.45952439481584i</v>
      </c>
      <c r="L43" s="73" t="str">
        <f t="shared" si="24"/>
        <v>-0.0191075612601025-0.00742352848547677i</v>
      </c>
      <c r="M43" s="70">
        <f t="shared" si="25"/>
        <v>-33.76536022166335</v>
      </c>
      <c r="N43" s="70">
        <f t="shared" si="26"/>
        <v>21.231776080457621</v>
      </c>
      <c r="O43" s="70">
        <f t="shared" si="12"/>
        <v>21.231776080457621</v>
      </c>
    </row>
    <row r="44" spans="1:18" ht="15" x14ac:dyDescent="0.2">
      <c r="A44" s="71">
        <f t="shared" si="13"/>
        <v>43</v>
      </c>
      <c r="B44" s="70">
        <f t="shared" si="27"/>
        <v>43000</v>
      </c>
      <c r="C44" s="70">
        <f t="shared" si="15"/>
        <v>157.24634820399112</v>
      </c>
      <c r="D44" s="51" t="str">
        <f t="shared" si="16"/>
        <v>0.0002416083957994-0.0000458479968101087i</v>
      </c>
      <c r="E44" s="51" t="str">
        <f t="shared" si="17"/>
        <v>0.322513460849838-1.0651366218543i</v>
      </c>
      <c r="F44" s="70" t="str">
        <f t="shared" si="18"/>
        <v>0.0000290875794585361-0.00027213254663767i</v>
      </c>
      <c r="G44" s="70" t="str">
        <f t="shared" si="19"/>
        <v>0.00457391564794823-0.0427918491862259i</v>
      </c>
      <c r="H44" s="72">
        <f t="shared" si="20"/>
        <v>4.3035602251290134E-2</v>
      </c>
      <c r="I44" s="51" t="str">
        <f t="shared" si="21"/>
        <v>2.04230846210088-0.0151183017238029i</v>
      </c>
      <c r="J44" s="73" t="str">
        <f t="shared" si="22"/>
        <v>0.0509590205748033-0.219914071393488i</v>
      </c>
      <c r="K44" s="73" t="str">
        <f t="shared" si="23"/>
        <v>0.100749311655657-0.449902782790577i</v>
      </c>
      <c r="L44" s="73" t="str">
        <f t="shared" si="24"/>
        <v>-0.0187913531765359-0.00636906672824622i</v>
      </c>
      <c r="M44" s="70">
        <f t="shared" si="25"/>
        <v>-34.048566863706057</v>
      </c>
      <c r="N44" s="70">
        <f t="shared" si="26"/>
        <v>18.723371615370439</v>
      </c>
      <c r="O44" s="70">
        <f t="shared" si="12"/>
        <v>18.723371615370439</v>
      </c>
    </row>
    <row r="45" spans="1:18" ht="15" x14ac:dyDescent="0.2">
      <c r="A45" s="71">
        <f t="shared" si="13"/>
        <v>44</v>
      </c>
      <c r="B45" s="70">
        <f t="shared" si="27"/>
        <v>44000</v>
      </c>
      <c r="C45" s="70">
        <f t="shared" si="15"/>
        <v>157.24634820399112</v>
      </c>
      <c r="D45" s="51" t="str">
        <f t="shared" si="16"/>
        <v>0.000241608301315117-0.0000448059968868406i</v>
      </c>
      <c r="E45" s="51" t="str">
        <f t="shared" si="17"/>
        <v>0.27335668044953-1.0662849237393i</v>
      </c>
      <c r="F45" s="70" t="str">
        <f t="shared" si="18"/>
        <v>0.0000182692842430021-0.00026987130771579i</v>
      </c>
      <c r="G45" s="70" t="str">
        <f t="shared" si="19"/>
        <v>0.0028727782315128-0.0424362776233436i</v>
      </c>
      <c r="H45" s="72">
        <f t="shared" si="20"/>
        <v>4.2533404675536464E-2</v>
      </c>
      <c r="I45" s="51" t="str">
        <f t="shared" si="21"/>
        <v>2.04230846210088-0.0147747039573528i</v>
      </c>
      <c r="J45" s="73" t="str">
        <f t="shared" si="22"/>
        <v>0.0487807310086502-0.215409311058997i</v>
      </c>
      <c r="K45" s="73" t="str">
        <f t="shared" si="23"/>
        <v>0.0964426909258791-0.440652979650586i</v>
      </c>
      <c r="L45" s="73" t="str">
        <f t="shared" si="24"/>
        <v>-0.0184226137169255-0.00535856709446438i</v>
      </c>
      <c r="M45" s="70">
        <f t="shared" si="25"/>
        <v>-34.340259976142342</v>
      </c>
      <c r="N45" s="70">
        <f t="shared" si="26"/>
        <v>16.218075473030353</v>
      </c>
      <c r="O45" s="70">
        <f t="shared" si="12"/>
        <v>16.218075473030353</v>
      </c>
      <c r="P45" s="70">
        <v>-13.846</v>
      </c>
      <c r="Q45" s="70">
        <v>23.129000000000001</v>
      </c>
      <c r="R45" s="70">
        <f>B45</f>
        <v>44000</v>
      </c>
    </row>
    <row r="46" spans="1:18" ht="15" x14ac:dyDescent="0.2">
      <c r="A46" s="71">
        <f t="shared" si="13"/>
        <v>45</v>
      </c>
      <c r="B46" s="70">
        <f t="shared" si="27"/>
        <v>45000</v>
      </c>
      <c r="C46" s="70">
        <f t="shared" si="15"/>
        <v>157.24634820399112</v>
      </c>
      <c r="D46" s="51" t="str">
        <f t="shared" si="16"/>
        <v>0.00024160821305953-0.0000438103080710006i</v>
      </c>
      <c r="E46" s="51" t="str">
        <f t="shared" si="17"/>
        <v>0.224559744711027-1.06370405389434i</v>
      </c>
      <c r="F46" s="70" t="str">
        <f t="shared" si="18"/>
        <v>7.65427634725222E-06-0.000266837667281725i</v>
      </c>
      <c r="G46" s="70" t="str">
        <f t="shared" si="19"/>
        <v>0.0012036070037496-0.0419592487433229i</v>
      </c>
      <c r="H46" s="72">
        <f t="shared" si="20"/>
        <v>4.197650801250051E-2</v>
      </c>
      <c r="I46" s="51" t="str">
        <f t="shared" si="21"/>
        <v>2.04230846210089-0.014446377202745i</v>
      </c>
      <c r="J46" s="73" t="str">
        <f t="shared" si="22"/>
        <v>0.0467369892213284-0.21107497023535i</v>
      </c>
      <c r="K46" s="73" t="str">
        <f t="shared" si="23"/>
        <v>0.092402079941759-0.431755378024961i</v>
      </c>
      <c r="L46" s="73" t="str">
        <f t="shared" si="24"/>
        <v>-0.0180049155122378-0.00439678565357407i</v>
      </c>
      <c r="M46" s="70">
        <f t="shared" si="25"/>
        <v>-34.640622506920785</v>
      </c>
      <c r="N46" s="70">
        <f t="shared" si="26"/>
        <v>13.723007429182957</v>
      </c>
      <c r="O46" s="70">
        <f t="shared" si="12"/>
        <v>13.723007429182957</v>
      </c>
    </row>
    <row r="47" spans="1:18" ht="15" x14ac:dyDescent="0.2">
      <c r="A47" s="71">
        <f t="shared" si="13"/>
        <v>46</v>
      </c>
      <c r="B47" s="70">
        <f t="shared" si="27"/>
        <v>46000</v>
      </c>
      <c r="C47" s="70">
        <f t="shared" si="15"/>
        <v>157.24634820399112</v>
      </c>
      <c r="D47" s="51" t="str">
        <f t="shared" si="16"/>
        <v>0.000241608130496945-0.0000428579100729965i</v>
      </c>
      <c r="E47" s="51" t="str">
        <f t="shared" si="17"/>
        <v>0.176553152797926-1.05747982144591i</v>
      </c>
      <c r="F47" s="70" t="str">
        <f t="shared" si="18"/>
        <v>-2.66469791068884E-06-0.000263062421843507i</v>
      </c>
      <c r="G47" s="70" t="str">
        <f t="shared" si="19"/>
        <v>-0.000419014015522625-0.0413656051845893i</v>
      </c>
      <c r="H47" s="72">
        <f t="shared" si="20"/>
        <v>4.1367727337050145E-2</v>
      </c>
      <c r="I47" s="51" t="str">
        <f t="shared" si="21"/>
        <v>2.04230846210088-0.0141323255244244i</v>
      </c>
      <c r="J47" s="73" t="str">
        <f t="shared" si="22"/>
        <v>0.0448171140444273-0.206902248255441i</v>
      </c>
      <c r="K47" s="73" t="str">
        <f t="shared" si="23"/>
        <v>0.0886063613357929-0.423191582484525i</v>
      </c>
      <c r="L47" s="73" t="str">
        <f t="shared" si="24"/>
        <v>-0.0175427032257606-0.00348793255554725i</v>
      </c>
      <c r="M47" s="70">
        <f t="shared" si="25"/>
        <v>-34.949693197859148</v>
      </c>
      <c r="N47" s="70">
        <f t="shared" si="26"/>
        <v>11.245199069407761</v>
      </c>
      <c r="O47" s="70">
        <f t="shared" si="12"/>
        <v>11.245199069407761</v>
      </c>
    </row>
    <row r="48" spans="1:18" ht="15" x14ac:dyDescent="0.2">
      <c r="A48" s="71">
        <f t="shared" si="13"/>
        <v>47</v>
      </c>
      <c r="B48" s="70">
        <f t="shared" si="27"/>
        <v>47000</v>
      </c>
      <c r="C48" s="70">
        <f t="shared" si="15"/>
        <v>157.24634820399112</v>
      </c>
      <c r="D48" s="51" t="str">
        <f t="shared" si="16"/>
        <v>0.000241608053148042-0.0000419460396491566i</v>
      </c>
      <c r="E48" s="51" t="str">
        <f t="shared" si="17"/>
        <v>0.129744340337863-1.04776357317518i</v>
      </c>
      <c r="F48" s="70" t="str">
        <f t="shared" si="18"/>
        <v>-0.00001260225490734-0.000258590378318357i</v>
      </c>
      <c r="G48" s="70" t="str">
        <f t="shared" si="19"/>
        <v>-0.00198165856331504-0.0406623926712502i</v>
      </c>
      <c r="H48" s="72">
        <f t="shared" si="20"/>
        <v>4.0710651535101991E-2</v>
      </c>
      <c r="I48" s="51" t="str">
        <f t="shared" si="21"/>
        <v>2.04230846210088-0.013831637747309i</v>
      </c>
      <c r="J48" s="73" t="str">
        <f t="shared" si="22"/>
        <v>0.0430114462040536-0.202882876802083i</v>
      </c>
      <c r="K48" s="73" t="str">
        <f t="shared" si="23"/>
        <v>0.0850364380926771-0.414944334851147i</v>
      </c>
      <c r="L48" s="73" t="str">
        <f t="shared" si="24"/>
        <v>-0.0170411426661682-0.00263550704263206i</v>
      </c>
      <c r="M48" s="70">
        <f t="shared" si="25"/>
        <v>-35.267372556716111</v>
      </c>
      <c r="N48" s="70">
        <f t="shared" si="26"/>
        <v>8.7914586548870659</v>
      </c>
      <c r="O48" s="70">
        <f t="shared" si="12"/>
        <v>8.7914586548870659</v>
      </c>
    </row>
    <row r="49" spans="1:15" ht="15" x14ac:dyDescent="0.2">
      <c r="A49" s="71">
        <f t="shared" si="13"/>
        <v>48</v>
      </c>
      <c r="B49" s="70">
        <f t="shared" si="27"/>
        <v>48000</v>
      </c>
      <c r="C49" s="70">
        <f t="shared" si="15"/>
        <v>157.24634820399112</v>
      </c>
      <c r="D49" s="51" t="str">
        <f t="shared" si="16"/>
        <v>0.000241607980582909-0.0000410721638261137i</v>
      </c>
      <c r="E49" s="51" t="str">
        <f t="shared" si="17"/>
        <v>0.0845058374562984-1.03476535660774i</v>
      </c>
      <c r="F49" s="70" t="str">
        <f t="shared" si="18"/>
        <v>-0.0000220827675128963-0.000253478405787418i</v>
      </c>
      <c r="G49" s="70" t="str">
        <f t="shared" si="19"/>
        <v>-0.00347243454964067-0.0398585536586409i</v>
      </c>
      <c r="H49" s="72">
        <f t="shared" si="20"/>
        <v>4.0009525134151416E-2</v>
      </c>
      <c r="I49" s="51" t="str">
        <f t="shared" si="21"/>
        <v>2.04230846210088-0.0135434786275734i</v>
      </c>
      <c r="J49" s="73" t="str">
        <f t="shared" si="22"/>
        <v>0.0413112352352818-0.199009087929715i</v>
      </c>
      <c r="K49" s="73" t="str">
        <f t="shared" si="23"/>
        <v>0.0816750099717871-0.406997442145323i</v>
      </c>
      <c r="L49" s="73" t="str">
        <f t="shared" si="24"/>
        <v>-0.0165059405131472-0.00184217578780971i</v>
      </c>
      <c r="M49" s="70">
        <f t="shared" si="25"/>
        <v>-35.59343253605342</v>
      </c>
      <c r="N49" s="70">
        <f t="shared" si="26"/>
        <v>6.3682467561363865</v>
      </c>
      <c r="O49" s="70">
        <f t="shared" si="12"/>
        <v>6.3682467561363865</v>
      </c>
    </row>
    <row r="50" spans="1:15" ht="15" x14ac:dyDescent="0.2">
      <c r="A50" s="71">
        <f t="shared" si="13"/>
        <v>49</v>
      </c>
      <c r="B50" s="70">
        <f t="shared" si="27"/>
        <v>49000</v>
      </c>
      <c r="C50" s="70">
        <f t="shared" si="15"/>
        <v>157.24634820399112</v>
      </c>
      <c r="D50" s="51" t="str">
        <f t="shared" si="16"/>
        <v>0.000241607912415045-0.0000402339564038342i</v>
      </c>
      <c r="E50" s="51" t="str">
        <f t="shared" si="17"/>
        <v>0.0411656036515804-1.01874473683204i</v>
      </c>
      <c r="F50" s="70" t="str">
        <f t="shared" si="18"/>
        <v>-0.0000310421957667723-0.000247793044252459i</v>
      </c>
      <c r="G50" s="70" t="str">
        <f t="shared" si="19"/>
        <v>-0.00488127192455834-0.0389645513190491i</v>
      </c>
      <c r="H50" s="72">
        <f t="shared" si="20"/>
        <v>3.9269110953729168E-2</v>
      </c>
      <c r="I50" s="51" t="str">
        <f t="shared" si="21"/>
        <v>2.04230846210088-0.0132670811045617i</v>
      </c>
      <c r="J50" s="73" t="str">
        <f t="shared" si="22"/>
        <v>0.0397085404585986-0.195273583142335i</v>
      </c>
      <c r="K50" s="73" t="str">
        <f t="shared" si="23"/>
        <v>0.0785063777311434-0.399335707703159i</v>
      </c>
      <c r="L50" s="73" t="str">
        <f t="shared" si="24"/>
        <v>-0.0159431476538463-0.00110969960549272i</v>
      </c>
      <c r="M50" s="70">
        <f t="shared" si="25"/>
        <v>-35.927529374069202</v>
      </c>
      <c r="N50" s="70">
        <f t="shared" si="26"/>
        <v>3.9815679180133543</v>
      </c>
      <c r="O50" s="70">
        <f t="shared" si="12"/>
        <v>3.9815679180133543</v>
      </c>
    </row>
    <row r="51" spans="1:15" ht="15" x14ac:dyDescent="0.2">
      <c r="A51" s="71">
        <f t="shared" si="13"/>
        <v>50</v>
      </c>
      <c r="B51" s="70">
        <f t="shared" si="27"/>
        <v>50000</v>
      </c>
      <c r="C51" s="70">
        <f t="shared" si="15"/>
        <v>157.24634820399112</v>
      </c>
      <c r="D51" s="51" t="str">
        <f t="shared" si="16"/>
        <v>0.000241607848296213-0.0000394292772782863i</v>
      </c>
      <c r="E51" s="51" t="str">
        <f t="shared" si="17"/>
        <v>-i</v>
      </c>
      <c r="F51" s="70" t="str">
        <f t="shared" si="18"/>
        <v>-0.0000394292772782863-0.000241607848296213i</v>
      </c>
      <c r="G51" s="70" t="str">
        <f t="shared" si="19"/>
        <v>-0.00620010986433312-0.0379919518420034i</v>
      </c>
      <c r="H51" s="72">
        <f t="shared" si="20"/>
        <v>3.8494542042930013E-2</v>
      </c>
      <c r="I51" s="51" t="str">
        <f t="shared" si="21"/>
        <v>2.04230846210089-0.0130017394824705i</v>
      </c>
      <c r="J51" s="73" t="str">
        <f t="shared" si="22"/>
        <v>0.0381961440965137-0.191669503762784i</v>
      </c>
      <c r="K51" s="73" t="str">
        <f t="shared" si="23"/>
        <v>0.0755162713532768-0.39194486577619i</v>
      </c>
      <c r="L51" s="73" t="str">
        <f t="shared" si="24"/>
        <v>-0.0153589596442246-0.000438909315967677i</v>
      </c>
      <c r="M51" s="70">
        <f t="shared" si="25"/>
        <v>-36.269218877158529</v>
      </c>
      <c r="N51" s="70">
        <f t="shared" si="26"/>
        <v>1.6368823068569327</v>
      </c>
      <c r="O51" s="70">
        <f t="shared" si="12"/>
        <v>1.6368823068569327</v>
      </c>
    </row>
    <row r="52" spans="1:15" ht="15" x14ac:dyDescent="0.2">
      <c r="A52" s="71">
        <f t="shared" si="13"/>
        <v>51</v>
      </c>
      <c r="B52" s="70">
        <f t="shared" si="27"/>
        <v>51000</v>
      </c>
      <c r="C52" s="70">
        <f t="shared" si="15"/>
        <v>157.24634820399112</v>
      </c>
      <c r="D52" s="51" t="str">
        <f t="shared" si="16"/>
        <v>0.000241607787911974-0.0000386561541967332i</v>
      </c>
      <c r="E52" s="51" t="str">
        <f t="shared" si="17"/>
        <v>-0.0387703964914096-0.978856545080144i</v>
      </c>
      <c r="F52" s="70" t="str">
        <f t="shared" si="18"/>
        <v>-0.0000472060592758592-0.000235000650114931i</v>
      </c>
      <c r="G52" s="70" t="str">
        <f t="shared" si="19"/>
        <v>-0.00742298043423-0.0369529940561367i</v>
      </c>
      <c r="H52" s="72">
        <f t="shared" si="20"/>
        <v>3.7691171489353255E-2</v>
      </c>
      <c r="I52" s="51" t="str">
        <f t="shared" si="21"/>
        <v>2.04230846210088-0.0127468034141867i</v>
      </c>
      <c r="J52" s="73" t="str">
        <f t="shared" si="22"/>
        <v>0.036767474891948-0.188190402736213i</v>
      </c>
      <c r="K52" s="73" t="str">
        <f t="shared" si="23"/>
        <v>0.0726916990337919-0.384811519768824i</v>
      </c>
      <c r="L52" s="73" t="str">
        <f t="shared" si="24"/>
        <v>-0.0147595268624091+0.000170272459784101i</v>
      </c>
      <c r="M52" s="70">
        <f t="shared" si="25"/>
        <v>-36.617973322221246</v>
      </c>
      <c r="N52" s="70">
        <f t="shared" si="26"/>
        <v>359.33903975134405</v>
      </c>
      <c r="O52" s="70">
        <f t="shared" si="12"/>
        <v>-0.66096024865595382</v>
      </c>
    </row>
    <row r="53" spans="1:15" ht="15" x14ac:dyDescent="0.2">
      <c r="A53" s="71">
        <f t="shared" si="13"/>
        <v>52</v>
      </c>
      <c r="B53" s="70">
        <f t="shared" si="27"/>
        <v>52000</v>
      </c>
      <c r="C53" s="70">
        <f t="shared" si="15"/>
        <v>157.24634820399112</v>
      </c>
      <c r="D53" s="51" t="str">
        <f t="shared" si="16"/>
        <v>0.000241607730977833-0.0000379127666181857i</v>
      </c>
      <c r="E53" s="51" t="str">
        <f t="shared" si="17"/>
        <v>-0.0749821807052913-0.955655244283123i</v>
      </c>
      <c r="F53" s="70" t="str">
        <f t="shared" si="18"/>
        <v>-0.0000543478087879266-0.00022805091325071i</v>
      </c>
      <c r="G53" s="70" t="str">
        <f t="shared" si="19"/>
        <v>-0.00854599446479024-0.0358601733132593i</v>
      </c>
      <c r="H53" s="72">
        <f t="shared" si="20"/>
        <v>3.6864427995687392E-2</v>
      </c>
      <c r="I53" s="51" t="str">
        <f t="shared" si="21"/>
        <v>2.04230846210088-0.0125016725792985i</v>
      </c>
      <c r="J53" s="73" t="str">
        <f t="shared" si="22"/>
        <v>0.0354165408290878-0.184830217942817i</v>
      </c>
      <c r="K53" s="73" t="str">
        <f t="shared" si="23"/>
        <v>0.0700208141661059-0.377923084153902i</v>
      </c>
      <c r="L53" s="73" t="str">
        <f t="shared" si="24"/>
        <v>-0.0141507847871241+0.000718770053763623i</v>
      </c>
      <c r="M53" s="70">
        <f t="shared" si="25"/>
        <v>-36.973199131998953</v>
      </c>
      <c r="N53" s="70">
        <f t="shared" si="26"/>
        <v>357.09223700391749</v>
      </c>
      <c r="O53" s="70">
        <f t="shared" si="12"/>
        <v>-2.9077629960825107</v>
      </c>
    </row>
    <row r="54" spans="1:15" ht="15" x14ac:dyDescent="0.2">
      <c r="A54" s="71">
        <f t="shared" si="13"/>
        <v>53</v>
      </c>
      <c r="B54" s="70">
        <f t="shared" si="27"/>
        <v>53000</v>
      </c>
      <c r="C54" s="70">
        <f t="shared" si="15"/>
        <v>157.24634820399112</v>
      </c>
      <c r="D54" s="51" t="str">
        <f t="shared" si="16"/>
        <v>0.000241607677235879-0.0000371974314009743i</v>
      </c>
      <c r="E54" s="51" t="str">
        <f t="shared" si="17"/>
        <v>-0.108527966006091-0.93074145603929i</v>
      </c>
      <c r="F54" s="70" t="str">
        <f t="shared" si="18"/>
        <v>-0.0000608423812449305-0.000220837319730194i</v>
      </c>
      <c r="G54" s="70" t="str">
        <f t="shared" si="19"/>
        <v>-0.00956724226680032-0.0347258620747302i</v>
      </c>
      <c r="H54" s="72">
        <f t="shared" si="20"/>
        <v>3.6019683805175687E-2</v>
      </c>
      <c r="I54" s="51" t="str">
        <f t="shared" si="21"/>
        <v>2.04230846210088-0.0122657919645948i</v>
      </c>
      <c r="J54" s="73" t="str">
        <f t="shared" si="22"/>
        <v>0.0341378697593304-0.181583247045606i</v>
      </c>
      <c r="K54" s="73" t="str">
        <f t="shared" si="23"/>
        <v>0.0674927979550612-0.371267730025578i</v>
      </c>
      <c r="L54" s="73" t="str">
        <f t="shared" si="24"/>
        <v>-0.0135383119349667+0.00120826272617463i</v>
      </c>
      <c r="M54" s="70">
        <f t="shared" si="25"/>
        <v>-37.334254522240904</v>
      </c>
      <c r="N54" s="70">
        <f t="shared" si="26"/>
        <v>354.8999975851948</v>
      </c>
      <c r="O54" s="70">
        <f t="shared" si="12"/>
        <v>-5.1000024148052034</v>
      </c>
    </row>
    <row r="55" spans="1:15" ht="15" x14ac:dyDescent="0.2">
      <c r="A55" s="71">
        <f t="shared" si="13"/>
        <v>54</v>
      </c>
      <c r="B55" s="70">
        <f t="shared" si="27"/>
        <v>54000</v>
      </c>
      <c r="C55" s="70">
        <f t="shared" si="15"/>
        <v>157.24634820399112</v>
      </c>
      <c r="D55" s="51" t="str">
        <f t="shared" si="16"/>
        <v>0.000241607626451856-0.0000365085900805886i</v>
      </c>
      <c r="E55" s="51" t="str">
        <f t="shared" si="17"/>
        <v>-0.139353101464065-0.9044552258485i</v>
      </c>
      <c r="F55" s="70" t="str">
        <f t="shared" si="18"/>
        <v>-0.0000666891571701865-0.000213435695091423i</v>
      </c>
      <c r="G55" s="70" t="str">
        <f t="shared" si="19"/>
        <v>-0.0104866264298138-0.0335619836295068i</v>
      </c>
      <c r="H55" s="72">
        <f t="shared" si="20"/>
        <v>3.5162139852769933E-2</v>
      </c>
      <c r="I55" s="51" t="str">
        <f t="shared" si="21"/>
        <v>2.04230846210088-0.0120386476689542i</v>
      </c>
      <c r="J55" s="73" t="str">
        <f t="shared" si="22"/>
        <v>0.0329264569058265-0.178444123863621i</v>
      </c>
      <c r="K55" s="73" t="str">
        <f t="shared" si="23"/>
        <v>0.0650977556299801-0.364834334192527i</v>
      </c>
      <c r="L55" s="73" t="str">
        <f t="shared" si="24"/>
        <v>-0.0129272197963625+0.00164107156267585i</v>
      </c>
      <c r="M55" s="70">
        <f t="shared" si="25"/>
        <v>-37.700466420801845</v>
      </c>
      <c r="N55" s="70">
        <f t="shared" si="26"/>
        <v>352.76517235704273</v>
      </c>
      <c r="O55" s="70">
        <f t="shared" si="12"/>
        <v>-7.2348276429572707</v>
      </c>
    </row>
    <row r="56" spans="1:15" ht="15" x14ac:dyDescent="0.2">
      <c r="A56" s="71">
        <f t="shared" si="13"/>
        <v>55</v>
      </c>
      <c r="B56" s="70">
        <f t="shared" si="27"/>
        <v>55000.000000000007</v>
      </c>
      <c r="C56" s="70">
        <f t="shared" si="15"/>
        <v>157.24634820399112</v>
      </c>
      <c r="D56" s="51" t="str">
        <f t="shared" si="16"/>
        <v>0.00024160757841261-0.0000358447975353911i</v>
      </c>
      <c r="E56" s="51" t="str">
        <f t="shared" si="17"/>
        <v>-0.167450761502273-0.877123036440475i</v>
      </c>
      <c r="F56" s="70" t="str">
        <f t="shared" si="18"/>
        <v>-0.000071897670644748-0.000205917334161103i</v>
      </c>
      <c r="G56" s="70" t="str">
        <f t="shared" si="19"/>
        <v>-0.0113056461532599-0.0323797488287344i</v>
      </c>
      <c r="H56" s="72">
        <f t="shared" si="20"/>
        <v>3.4296731173023579E-2</v>
      </c>
      <c r="I56" s="51" t="str">
        <f t="shared" si="21"/>
        <v>2.04230846210088-0.0118197631658823i</v>
      </c>
      <c r="J56" s="73" t="str">
        <f t="shared" si="22"/>
        <v>0.0317777183649222-0.175407796236205i</v>
      </c>
      <c r="K56" s="73" t="str">
        <f t="shared" si="23"/>
        <v>0.0628266245139779-0.358612431676694i</v>
      </c>
      <c r="L56" s="73" t="str">
        <f t="shared" si="24"/>
        <v>-0.0123220760503118+0.00202003493717698i</v>
      </c>
      <c r="M56" s="70">
        <f t="shared" si="25"/>
        <v>-38.071146097154461</v>
      </c>
      <c r="N56" s="70">
        <f t="shared" si="26"/>
        <v>350.68995807777344</v>
      </c>
      <c r="O56" s="70">
        <f>IF(N56&gt;180,-(360-N56),N56)</f>
        <v>-9.31004192222656</v>
      </c>
    </row>
    <row r="57" spans="1:15" ht="15" x14ac:dyDescent="0.2">
      <c r="A57" s="71">
        <f t="shared" si="13"/>
        <v>56</v>
      </c>
      <c r="B57" s="70">
        <f t="shared" si="27"/>
        <v>56000.000000000007</v>
      </c>
      <c r="C57" s="70">
        <f t="shared" si="15"/>
        <v>157.24634820399112</v>
      </c>
      <c r="D57" s="51" t="str">
        <f t="shared" si="16"/>
        <v>0.000241607532923847-0.0000352047118667181i</v>
      </c>
      <c r="E57" s="51" t="str">
        <f t="shared" si="17"/>
        <v>-0.192855936857753-0.84905129434231i</v>
      </c>
      <c r="F57" s="70" t="str">
        <f t="shared" si="18"/>
        <v>-0.000076486053291304-0.000198347750862981i</v>
      </c>
      <c r="G57" s="70" t="str">
        <f t="shared" si="19"/>
        <v>-0.0120271525685934-0.0311894594976788i</v>
      </c>
      <c r="H57" s="72">
        <f t="shared" si="20"/>
        <v>3.3428053827071189E-2</v>
      </c>
      <c r="I57" s="51" t="str">
        <f t="shared" si="21"/>
        <v>2.04230846210088-0.0116086959664915i</v>
      </c>
      <c r="J57" s="73" t="str">
        <f t="shared" si="22"/>
        <v>0.0306874498457484-0.172469505326922i</v>
      </c>
      <c r="K57" s="73" t="str">
        <f t="shared" si="23"/>
        <v>0.0606710924494369-0.352592171458772i</v>
      </c>
      <c r="L57" s="73" t="str">
        <f t="shared" si="24"/>
        <v>-0.0117268597363046+0.00234838125999466i</v>
      </c>
      <c r="M57" s="70">
        <f t="shared" si="25"/>
        <v>-38.445603096711828</v>
      </c>
      <c r="N57" s="70">
        <f t="shared" si="26"/>
        <v>348.67593065010419</v>
      </c>
      <c r="O57" s="70">
        <f t="shared" ref="O57:O101" si="28">IF(N57&gt;180,-(360-N57),N57)</f>
        <v>-11.324069349895808</v>
      </c>
    </row>
    <row r="58" spans="1:15" ht="15" x14ac:dyDescent="0.2">
      <c r="A58" s="71">
        <f t="shared" si="13"/>
        <v>57</v>
      </c>
      <c r="B58" s="70">
        <f t="shared" si="27"/>
        <v>56999.999999999993</v>
      </c>
      <c r="C58" s="70">
        <f t="shared" si="15"/>
        <v>157.24634820399112</v>
      </c>
      <c r="D58" s="51" t="str">
        <f t="shared" si="16"/>
        <v>0.000241607489808165-0.0000345870853442322i</v>
      </c>
      <c r="E58" s="51" t="str">
        <f t="shared" si="17"/>
        <v>-0.215638830467112-0.820521584554433i</v>
      </c>
      <c r="F58" s="70" t="str">
        <f t="shared" si="18"/>
        <v>-0.0000804794066060962-0.000190785841744718i</v>
      </c>
      <c r="G58" s="70" t="str">
        <f t="shared" si="19"/>
        <v>-0.0126550927944328-0.0300003769033815i</v>
      </c>
      <c r="H58" s="72">
        <f t="shared" si="20"/>
        <v>3.256031308173573E-2</v>
      </c>
      <c r="I58" s="51" t="str">
        <f t="shared" si="21"/>
        <v>2.04230846210088-0.011405034633746i</v>
      </c>
      <c r="J58" s="73" t="str">
        <f t="shared" si="22"/>
        <v>0.0296517899937617-0.16962476630471i</v>
      </c>
      <c r="K58" s="73" t="str">
        <f t="shared" si="23"/>
        <v>0.0586235252862514-0.346764275297825i</v>
      </c>
      <c r="L58" s="73" t="str">
        <f t="shared" si="24"/>
        <v>-0.011144945107997+0.00262960622769576i</v>
      </c>
      <c r="M58" s="70">
        <f t="shared" si="25"/>
        <v>-38.823157230286363</v>
      </c>
      <c r="N58" s="70">
        <f t="shared" si="26"/>
        <v>346.7240895596417</v>
      </c>
      <c r="O58" s="70">
        <f t="shared" si="28"/>
        <v>-13.275910440358302</v>
      </c>
    </row>
    <row r="59" spans="1:15" ht="15" x14ac:dyDescent="0.2">
      <c r="A59" s="71">
        <f t="shared" si="13"/>
        <v>58</v>
      </c>
      <c r="B59" s="70">
        <f t="shared" si="27"/>
        <v>57999.999999999993</v>
      </c>
      <c r="C59" s="70">
        <f t="shared" si="15"/>
        <v>157.24634820399112</v>
      </c>
      <c r="D59" s="51" t="str">
        <f t="shared" si="16"/>
        <v>0.000241607448903322-0.0000339907562879637i</v>
      </c>
      <c r="E59" s="51" t="str">
        <f t="shared" si="17"/>
        <v>-0.235898099010801-0.791787600846437i</v>
      </c>
      <c r="F59" s="70" t="str">
        <f t="shared" si="18"/>
        <v>-0.0000839081972753456-0.000183283427521519i</v>
      </c>
      <c r="G59" s="70" t="str">
        <f t="shared" si="19"/>
        <v>-0.0131942576059282-0.0288206496640697i</v>
      </c>
      <c r="H59" s="72">
        <f t="shared" si="20"/>
        <v>3.1697291380031752E-2</v>
      </c>
      <c r="I59" s="51" t="str">
        <f t="shared" si="21"/>
        <v>2.04230846210088-0.011208396105578i</v>
      </c>
      <c r="J59" s="73" t="str">
        <f t="shared" si="22"/>
        <v>0.0286671877331227-0.166869350333117i</v>
      </c>
      <c r="K59" s="73" t="str">
        <f t="shared" si="23"/>
        <v>0.056676902315577-0.341119999445947i</v>
      </c>
      <c r="L59" s="73" t="str">
        <f t="shared" si="24"/>
        <v>-0.010579109646897+0.00286736000154196i</v>
      </c>
      <c r="M59" s="70">
        <f t="shared" si="25"/>
        <v>-39.203148511366912</v>
      </c>
      <c r="N59" s="70">
        <f t="shared" si="26"/>
        <v>344.83491006769532</v>
      </c>
      <c r="O59" s="70">
        <f t="shared" si="28"/>
        <v>-15.165089932304681</v>
      </c>
    </row>
    <row r="60" spans="1:15" ht="15" x14ac:dyDescent="0.2">
      <c r="A60" s="71">
        <f t="shared" si="13"/>
        <v>59</v>
      </c>
      <c r="B60" s="70">
        <f t="shared" si="27"/>
        <v>59000</v>
      </c>
      <c r="C60" s="70">
        <f t="shared" si="15"/>
        <v>157.24634820399112</v>
      </c>
      <c r="D60" s="51" t="str">
        <f t="shared" si="16"/>
        <v>0.000241607410060709-0.0000334146417759066i</v>
      </c>
      <c r="E60" s="51" t="str">
        <f t="shared" si="17"/>
        <v>-0.253754296104207-0.763073571363313i</v>
      </c>
      <c r="F60" s="70" t="str">
        <f t="shared" si="18"/>
        <v>-0.0000868067483092825-0.000175885120359446i</v>
      </c>
      <c r="G60" s="70" t="str">
        <f t="shared" si="19"/>
        <v>-0.0136500441710977-0.0276572928799423i</v>
      </c>
      <c r="H60" s="72">
        <f t="shared" si="20"/>
        <v>3.0842333817657597E-2</v>
      </c>
      <c r="I60" s="51" t="str">
        <f t="shared" si="21"/>
        <v>2.04230846210088-0.0110184232902292i</v>
      </c>
      <c r="J60" s="73" t="str">
        <f t="shared" si="22"/>
        <v>0.0277303731388418-0.164199267795025i</v>
      </c>
      <c r="K60" s="73" t="str">
        <f t="shared" si="23"/>
        <v>0.0548247586821603-0.335651099077788i</v>
      </c>
      <c r="L60" s="73" t="str">
        <f t="shared" si="24"/>
        <v>-0.0100315611303502+0.00306534792054463i</v>
      </c>
      <c r="M60" s="70">
        <f t="shared" si="25"/>
        <v>-39.584945053708608</v>
      </c>
      <c r="N60" s="70">
        <f t="shared" si="26"/>
        <v>343.00839999902678</v>
      </c>
      <c r="O60" s="70">
        <f t="shared" si="28"/>
        <v>-16.991600000973222</v>
      </c>
    </row>
    <row r="61" spans="1:15" ht="15" x14ac:dyDescent="0.2">
      <c r="A61" s="71">
        <f t="shared" si="13"/>
        <v>60</v>
      </c>
      <c r="B61" s="70">
        <f t="shared" si="27"/>
        <v>60000</v>
      </c>
      <c r="C61" s="70">
        <f t="shared" si="15"/>
        <v>157.24634820399112</v>
      </c>
      <c r="D61" s="51" t="str">
        <f t="shared" si="16"/>
        <v>0.000241607373143997-0.0000328577310808549i</v>
      </c>
      <c r="E61" s="51" t="str">
        <f t="shared" si="17"/>
        <v>-0.269343780607248-0.734573947110676i</v>
      </c>
      <c r="F61" s="70" t="str">
        <f t="shared" si="18"/>
        <v>-0.000089211876518355-0.000168628456229934i</v>
      </c>
      <c r="G61" s="70" t="str">
        <f t="shared" si="19"/>
        <v>-0.0140282417989367-0.0265162089454337i</v>
      </c>
      <c r="H61" s="72">
        <f t="shared" si="20"/>
        <v>2.9998348367990747E-2</v>
      </c>
      <c r="I61" s="51" t="str">
        <f t="shared" si="21"/>
        <v>2.04230846210089-0.0108347829020587i</v>
      </c>
      <c r="J61" s="73" t="str">
        <f t="shared" si="22"/>
        <v>0.0268383314146417-0.161610752679144i</v>
      </c>
      <c r="K61" s="73" t="str">
        <f t="shared" si="23"/>
        <v>0.0530611339368741-0.330349795257441i</v>
      </c>
      <c r="L61" s="73" t="str">
        <f t="shared" si="24"/>
        <v>-0.00950397861311978+0.00322724669174882i</v>
      </c>
      <c r="M61" s="70">
        <f t="shared" si="25"/>
        <v>-39.967949034620901</v>
      </c>
      <c r="N61" s="70">
        <f t="shared" si="26"/>
        <v>341.2441583803419</v>
      </c>
      <c r="O61" s="70">
        <f t="shared" si="28"/>
        <v>-18.755841619658099</v>
      </c>
    </row>
    <row r="62" spans="1:15" ht="15" x14ac:dyDescent="0.2">
      <c r="A62" s="71">
        <f t="shared" si="13"/>
        <v>61</v>
      </c>
      <c r="B62" s="70">
        <f t="shared" si="27"/>
        <v>61000</v>
      </c>
      <c r="C62" s="70">
        <f t="shared" si="15"/>
        <v>157.24634820399112</v>
      </c>
      <c r="D62" s="51" t="str">
        <f t="shared" si="16"/>
        <v>0.000241607338027937-0.0000323190797527956i</v>
      </c>
      <c r="E62" s="51" t="str">
        <f t="shared" si="17"/>
        <v>-0.282813264215408-0.706454099800979i</v>
      </c>
      <c r="F62" s="70" t="str">
        <f t="shared" si="18"/>
        <v>-0.0000911617063192336-0.000161544230050511i</v>
      </c>
      <c r="G62" s="70" t="str">
        <f t="shared" si="19"/>
        <v>-0.0143348454147442-0.0254022402488683i</v>
      </c>
      <c r="H62" s="72">
        <f t="shared" si="20"/>
        <v>2.9167817928769327E-2</v>
      </c>
      <c r="I62" s="51" t="str">
        <f t="shared" si="21"/>
        <v>2.04230846210088-0.0106571635102217i</v>
      </c>
      <c r="J62" s="73" t="str">
        <f t="shared" si="22"/>
        <v>0.025988279608195-0.159100248055122i</v>
      </c>
      <c r="K62" s="73" t="str">
        <f t="shared" si="23"/>
        <v>0.0513805260012201-0.325208744270459i</v>
      </c>
      <c r="L62" s="73" t="str">
        <f t="shared" si="24"/>
        <v>-0.00899756255054671+0.00335663661104389i</v>
      </c>
      <c r="M62" s="70">
        <f t="shared" si="25"/>
        <v>-40.351600894677595</v>
      </c>
      <c r="N62" s="70">
        <f t="shared" si="26"/>
        <v>339.54143367221576</v>
      </c>
      <c r="O62" s="70">
        <f t="shared" si="28"/>
        <v>-20.45856632778424</v>
      </c>
    </row>
    <row r="63" spans="1:15" ht="15" x14ac:dyDescent="0.2">
      <c r="A63" s="71">
        <f t="shared" si="13"/>
        <v>62</v>
      </c>
      <c r="B63" s="70">
        <f t="shared" si="27"/>
        <v>62000</v>
      </c>
      <c r="C63" s="70">
        <f t="shared" si="15"/>
        <v>157.24634820399112</v>
      </c>
      <c r="D63" s="51" t="str">
        <f t="shared" si="16"/>
        <v>0.0002416073045973-0.0000317978042739752i</v>
      </c>
      <c r="E63" s="51" t="str">
        <f t="shared" si="17"/>
        <v>-0.294315093739357-0.678851778714291i</v>
      </c>
      <c r="F63" s="70" t="str">
        <f t="shared" si="18"/>
        <v>-0.0000926946724912647-0.000154656974730642i</v>
      </c>
      <c r="G63" s="70" t="str">
        <f t="shared" si="19"/>
        <v>-0.0145758987472163-0.0243192445006704i</v>
      </c>
      <c r="H63" s="72">
        <f t="shared" si="20"/>
        <v>2.8352821330027971E-2</v>
      </c>
      <c r="I63" s="51" t="str">
        <f t="shared" si="21"/>
        <v>2.04230846210088-0.0104852737761859i</v>
      </c>
      <c r="J63" s="73" t="str">
        <f t="shared" si="22"/>
        <v>0.025177645743205-0.156664392565875i</v>
      </c>
      <c r="K63" s="73" t="str">
        <f t="shared" si="23"/>
        <v>0.0497778499100927-0.320221009155838i</v>
      </c>
      <c r="L63" s="73" t="str">
        <f t="shared" si="24"/>
        <v>-0.00851308991605588+0.0034569493035057i</v>
      </c>
      <c r="M63" s="70">
        <f t="shared" si="25"/>
        <v>-40.735381984537788</v>
      </c>
      <c r="N63" s="70">
        <f t="shared" si="26"/>
        <v>337.89917984059468</v>
      </c>
      <c r="O63" s="70">
        <f t="shared" si="28"/>
        <v>-22.100820159405316</v>
      </c>
    </row>
    <row r="64" spans="1:15" ht="15" x14ac:dyDescent="0.2">
      <c r="A64" s="71">
        <f t="shared" si="13"/>
        <v>63</v>
      </c>
      <c r="B64" s="70">
        <f t="shared" si="27"/>
        <v>63000</v>
      </c>
      <c r="C64" s="70">
        <f t="shared" si="15"/>
        <v>157.24634820399112</v>
      </c>
      <c r="D64" s="51" t="str">
        <f t="shared" si="16"/>
        <v>0.00024160727274593-0.0000312930772230042i</v>
      </c>
      <c r="E64" s="51" t="str">
        <f t="shared" si="17"/>
        <v>-0.304003299211843-0.65187909633581i</v>
      </c>
      <c r="F64" s="70" t="str">
        <f t="shared" si="18"/>
        <v>-0.000093848710930037-0.000147985531907492i</v>
      </c>
      <c r="G64" s="70" t="str">
        <f t="shared" si="19"/>
        <v>-0.0147573670774003-0.0232701844794783i</v>
      </c>
      <c r="H64" s="72">
        <f t="shared" si="20"/>
        <v>2.755506067433151E-2</v>
      </c>
      <c r="I64" s="51" t="str">
        <f t="shared" si="21"/>
        <v>2.04230846210088-0.0103188408591036i</v>
      </c>
      <c r="J64" s="73" t="str">
        <f t="shared" si="22"/>
        <v>0.024404050088904-0.154300007868316i</v>
      </c>
      <c r="K64" s="73" t="str">
        <f t="shared" si="23"/>
        <v>0.0482484007803508-0.315380033280879i</v>
      </c>
      <c r="L64" s="73" t="str">
        <f t="shared" si="24"/>
        <v>-0.00805097091680322+0.00353142973301009i</v>
      </c>
      <c r="M64" s="70">
        <f t="shared" si="25"/>
        <v>-41.118815887979004</v>
      </c>
      <c r="N64" s="70">
        <f t="shared" si="26"/>
        <v>336.31610899319935</v>
      </c>
      <c r="O64" s="70">
        <f t="shared" si="28"/>
        <v>-23.68389100680065</v>
      </c>
    </row>
    <row r="65" spans="1:15" ht="15" x14ac:dyDescent="0.2">
      <c r="A65" s="71">
        <f t="shared" si="13"/>
        <v>64</v>
      </c>
      <c r="B65" s="70">
        <f t="shared" si="27"/>
        <v>64000</v>
      </c>
      <c r="C65" s="70">
        <f t="shared" si="15"/>
        <v>157.24634820399112</v>
      </c>
      <c r="D65" s="51" t="str">
        <f t="shared" si="16"/>
        <v>0.000241607242375897-0.0000308041228923305i</v>
      </c>
      <c r="E65" s="51" t="str">
        <f t="shared" si="17"/>
        <v>-0.312030390352364-0.625624842811758i</v>
      </c>
      <c r="F65" s="70" t="str">
        <f t="shared" si="18"/>
        <v>-0.0000946606266929777-0.000141543670543047i</v>
      </c>
      <c r="G65" s="70" t="str">
        <f t="shared" si="19"/>
        <v>-0.014885037866172-0.022257225304283i</v>
      </c>
      <c r="H65" s="72">
        <f t="shared" si="20"/>
        <v>2.6775892711971151E-2</v>
      </c>
      <c r="I65" s="51" t="str">
        <f t="shared" si="21"/>
        <v>2.04230846210088-0.0101576089706801i</v>
      </c>
      <c r="J65" s="73" t="str">
        <f t="shared" si="22"/>
        <v>0.0236652883229549-0.152004086956721i</v>
      </c>
      <c r="K65" s="73" t="str">
        <f t="shared" si="23"/>
        <v>0.0467878205227763-0.310679615810592i</v>
      </c>
      <c r="L65" s="73" t="str">
        <f t="shared" si="24"/>
        <v>-0.00761130468670161+0.00358311078271664i</v>
      </c>
      <c r="M65" s="70">
        <f t="shared" si="25"/>
        <v>-41.501468651706446</v>
      </c>
      <c r="N65" s="70">
        <f t="shared" si="26"/>
        <v>334.79073973430013</v>
      </c>
      <c r="O65" s="70">
        <f t="shared" si="28"/>
        <v>-25.209260265699868</v>
      </c>
    </row>
    <row r="66" spans="1:15" ht="15" x14ac:dyDescent="0.2">
      <c r="A66" s="71">
        <f t="shared" si="13"/>
        <v>65</v>
      </c>
      <c r="B66" s="70">
        <f t="shared" si="27"/>
        <v>65000</v>
      </c>
      <c r="C66" s="70">
        <f t="shared" ref="C66:C101" si="29">_ta1*_ta2*(rload/RS)</f>
        <v>157.24634820399112</v>
      </c>
      <c r="D66" s="51" t="str">
        <f t="shared" ref="D66:D101" si="30">IMDIV((COMPLEX(1,2*PI()*(B66)*(esrcout*0.001)*(cout*0.000001))),(COMPLEX(1,2*PI()*(B66)*rload*(cout*0.000001))))</f>
        <v>0.000241607213396748-0.0000303302133102508i</v>
      </c>
      <c r="E66" s="51" t="str">
        <f t="shared" ref="E66:E101" si="31">IMDIV(1,(COMPLEX((1-(B66/(fpp*1000))^2),(B66/(fpp*1000)))))</f>
        <v>-0.318544850191589-0.60015696412908i</v>
      </c>
      <c r="F66" s="70" t="str">
        <f t="shared" ref="F66:F97" si="32">IMPRODUCT(D66,E66)</f>
        <v>-0.0000951656223383419-0.000135340718448686i</v>
      </c>
      <c r="G66" s="70" t="str">
        <f t="shared" ref="G66:G97" si="33">IMPRODUCT(C66,F66)</f>
        <v>-0.0149644465872644-0.0212818337393604i</v>
      </c>
      <c r="H66" s="72">
        <f t="shared" ref="H66:H97" si="34">IMABS(G66)</f>
        <v>2.6016362331672503E-2</v>
      </c>
      <c r="I66" s="51" t="str">
        <f t="shared" ref="I66:I101" si="35">IMDIV((COMPLEX(1,(2*PI()*B66*(rf*1000)*(Cz*0.000000001)))),(COMPLEX(0,2*PI()*B66*((Cz*0.000000001)+(Cp*0.000000000001))*(RII*1000))))</f>
        <v>2.04230846210089-0.0100013380634388i</v>
      </c>
      <c r="J66" s="73" t="str">
        <f t="shared" ref="J66:J101" si="36">IMDIV(1,(COMPLEX(1,2*PI()*B66*(((Cz*0.000000001)*(Cp*0.000000000001))/((Cz*0.000000001)+(Cp*0.000000000001)))*(rf*1000))))</f>
        <v>0.0229593163742963-0.14977378330643i</v>
      </c>
      <c r="K66" s="73" t="str">
        <f t="shared" ref="K66:K97" si="37">IMPRODUCT(I66,J66)</f>
        <v>0.045392067875389-0.306113888932352i</v>
      </c>
      <c r="L66" s="73" t="str">
        <f t="shared" ref="L66:L97" si="38">IMPRODUCT(G66,K66)</f>
        <v>-0.00719393206477409+0.00361479849893818i</v>
      </c>
      <c r="M66" s="70">
        <f t="shared" ref="M66:M97" si="39">20*LOG(IMABS(L66))</f>
        <v>-41.882948141636341</v>
      </c>
      <c r="N66" s="70">
        <f t="shared" ref="N66:N101" si="40">(180/PI())*IMARGUMENT(L66)+180</f>
        <v>333.32144075401993</v>
      </c>
      <c r="O66" s="70">
        <f t="shared" si="28"/>
        <v>-26.678559245980068</v>
      </c>
    </row>
    <row r="67" spans="1:15" ht="15" x14ac:dyDescent="0.2">
      <c r="A67" s="71">
        <f t="shared" si="13"/>
        <v>66</v>
      </c>
      <c r="B67" s="70">
        <f t="shared" si="27"/>
        <v>66000</v>
      </c>
      <c r="C67" s="70">
        <f t="shared" si="29"/>
        <v>157.24634820399112</v>
      </c>
      <c r="D67" s="51" t="str">
        <f t="shared" si="30"/>
        <v>0.000241607185724828-0.0000298706646245586i</v>
      </c>
      <c r="E67" s="51" t="str">
        <f t="shared" si="31"/>
        <v>-0.323689253851623-0.57552507419739i</v>
      </c>
      <c r="F67" s="70" t="str">
        <f t="shared" si="32"/>
        <v>-0.0000953969661468345-0.000129382180346529i</v>
      </c>
      <c r="G67" s="70" t="str">
        <f t="shared" si="33"/>
        <v>-0.0150008245563295-0.0203448753821619i</v>
      </c>
      <c r="H67" s="72">
        <f t="shared" si="34"/>
        <v>2.5277236630721234E-2</v>
      </c>
      <c r="I67" s="51" t="str">
        <f t="shared" si="35"/>
        <v>2.04230846210088-0.00984980263823521i</v>
      </c>
      <c r="J67" s="73" t="str">
        <f t="shared" si="36"/>
        <v>0.0222842367588824-0.147606400779087i</v>
      </c>
      <c r="K67" s="73" t="str">
        <f t="shared" si="37"/>
        <v>0.0440573913883108-0.301677296705402i</v>
      </c>
      <c r="L67" s="73" t="str">
        <f t="shared" si="38"/>
        <v>-0.00679848420572448+0.00362906606304718i</v>
      </c>
      <c r="M67" s="70">
        <f t="shared" si="39"/>
        <v>-42.262902726366164</v>
      </c>
      <c r="N67" s="70">
        <f t="shared" si="40"/>
        <v>331.90646946084775</v>
      </c>
      <c r="O67" s="70">
        <f t="shared" si="28"/>
        <v>-28.093530539152255</v>
      </c>
    </row>
    <row r="68" spans="1:15" ht="15" x14ac:dyDescent="0.2">
      <c r="A68" s="71">
        <f t="shared" ref="A68:A100" si="41">1+A67</f>
        <v>67</v>
      </c>
      <c r="B68" s="70">
        <f t="shared" ref="B68:B99" si="42">(fs*1000/2)*(A68/100)</f>
        <v>67000</v>
      </c>
      <c r="C68" s="70">
        <f t="shared" si="29"/>
        <v>157.24634820399112</v>
      </c>
      <c r="D68" s="51" t="str">
        <f t="shared" si="30"/>
        <v>0.000241607159282679-0.0000294248338100449i</v>
      </c>
      <c r="E68" s="51" t="str">
        <f t="shared" si="31"/>
        <v>-0.327598930100435-0.551762903889622i</v>
      </c>
      <c r="F68" s="70" t="str">
        <f t="shared" si="32"/>
        <v>-0.0000953857786351109-0.00012367032373178i</v>
      </c>
      <c r="G68" s="70" t="str">
        <f t="shared" si="33"/>
        <v>-0.0149990653609655-0.0194467067880278i</v>
      </c>
      <c r="H68" s="72">
        <f t="shared" si="34"/>
        <v>2.4559038389196791E-2</v>
      </c>
      <c r="I68" s="51" t="str">
        <f t="shared" si="35"/>
        <v>2.04230846210088-0.00970279065856005i</v>
      </c>
      <c r="J68" s="73" t="str">
        <f t="shared" si="36"/>
        <v>0.0216382862441427-0.145499384234296i</v>
      </c>
      <c r="K68" s="73" t="str">
        <f t="shared" si="37"/>
        <v>0.0427803050355989-0.297364575413807i</v>
      </c>
      <c r="L68" s="73" t="str">
        <f t="shared" si="38"/>
        <v>-0.00642442629860967+0.00362825465433776i</v>
      </c>
      <c r="M68" s="70">
        <f t="shared" si="39"/>
        <v>-42.641019464944549</v>
      </c>
      <c r="N68" s="70">
        <f t="shared" si="40"/>
        <v>330.54400569055804</v>
      </c>
      <c r="O68" s="70">
        <f t="shared" si="28"/>
        <v>-29.455994309441962</v>
      </c>
    </row>
    <row r="69" spans="1:15" ht="15" x14ac:dyDescent="0.2">
      <c r="A69" s="71">
        <f t="shared" si="41"/>
        <v>68</v>
      </c>
      <c r="B69" s="70">
        <f t="shared" si="42"/>
        <v>68000</v>
      </c>
      <c r="C69" s="70">
        <f t="shared" si="29"/>
        <v>157.24634820399112</v>
      </c>
      <c r="D69" s="51" t="str">
        <f t="shared" si="30"/>
        <v>0.000241607133998496-0.0000289921156665128i</v>
      </c>
      <c r="E69" s="51" t="str">
        <f t="shared" si="31"/>
        <v>-0.330401080778646-0.528890618948869i</v>
      </c>
      <c r="F69" s="70" t="str">
        <f t="shared" si="32"/>
        <v>-0.0000951609161964334-0.000118204720292652i</v>
      </c>
      <c r="G69" s="70" t="str">
        <f t="shared" si="33"/>
        <v>-0.0149637065636352-0.0185872606064937i</v>
      </c>
      <c r="H69" s="72">
        <f t="shared" si="34"/>
        <v>2.3862078094254315E-2</v>
      </c>
      <c r="I69" s="51" t="str">
        <f t="shared" si="35"/>
        <v>2.04230846210088-0.00956010256064006i</v>
      </c>
      <c r="J69" s="73" t="str">
        <f t="shared" si="36"/>
        <v>0.0210198246978253-0.143450310796101i</v>
      </c>
      <c r="K69" s="73" t="str">
        <f t="shared" si="37"/>
        <v>0.0415575661686793-0.293170735309796i</v>
      </c>
      <c r="L69" s="73" t="str">
        <f t="shared" si="38"/>
        <v>-0.00607109608504753+0.0036144795436721i</v>
      </c>
      <c r="M69" s="70">
        <f t="shared" si="39"/>
        <v>-43.017021950600352</v>
      </c>
      <c r="N69" s="70">
        <f t="shared" si="40"/>
        <v>329.23218068782552</v>
      </c>
      <c r="O69" s="70">
        <f t="shared" si="28"/>
        <v>-30.767819312174481</v>
      </c>
    </row>
    <row r="70" spans="1:15" ht="15" x14ac:dyDescent="0.2">
      <c r="A70" s="71">
        <f t="shared" si="41"/>
        <v>69</v>
      </c>
      <c r="B70" s="70">
        <f t="shared" si="42"/>
        <v>69000</v>
      </c>
      <c r="C70" s="70">
        <f t="shared" si="29"/>
        <v>157.24634820399112</v>
      </c>
      <c r="D70" s="51" t="str">
        <f t="shared" si="30"/>
        <v>0.00024160710980564-0.0000285719400778344i</v>
      </c>
      <c r="E70" s="51" t="str">
        <f t="shared" si="31"/>
        <v>-0.332214276180469-0.506916962769844i</v>
      </c>
      <c r="F70" s="70" t="str">
        <f t="shared" si="32"/>
        <v>-0.0000947489321888336-0.000112982735894246i</v>
      </c>
      <c r="G70" s="70" t="str">
        <f t="shared" si="33"/>
        <v>-0.0148989235829217-0.0177661226294662i</v>
      </c>
      <c r="H70" s="72">
        <f t="shared" si="34"/>
        <v>2.3186483933856191E-2</v>
      </c>
      <c r="I70" s="51" t="str">
        <f t="shared" si="35"/>
        <v>2.04230846210088-0.00942155034961629i</v>
      </c>
      <c r="J70" s="73" t="str">
        <f t="shared" si="36"/>
        <v>0.0204273249941256-0.141456881726235i</v>
      </c>
      <c r="K70" s="73" t="str">
        <f t="shared" si="37"/>
        <v>0.0403861555601041-0.289091043642833i</v>
      </c>
      <c r="L70" s="73" t="str">
        <f t="shared" si="38"/>
        <v>-0.00573773717793692+0.00358963997552814i</v>
      </c>
      <c r="M70" s="70">
        <f t="shared" si="39"/>
        <v>-43.390667936766505</v>
      </c>
      <c r="N70" s="70">
        <f t="shared" si="40"/>
        <v>327.96910166728276</v>
      </c>
      <c r="O70" s="70">
        <f t="shared" si="28"/>
        <v>-32.030898332717243</v>
      </c>
    </row>
    <row r="71" spans="1:15" ht="15" x14ac:dyDescent="0.2">
      <c r="A71" s="71">
        <f t="shared" si="41"/>
        <v>70</v>
      </c>
      <c r="B71" s="70">
        <f t="shared" si="42"/>
        <v>70000</v>
      </c>
      <c r="C71" s="70">
        <f t="shared" si="29"/>
        <v>157.24634820399112</v>
      </c>
      <c r="D71" s="51" t="str">
        <f t="shared" si="30"/>
        <v>0.000241607086642197-0.0000281637695059465i</v>
      </c>
      <c r="E71" s="51" t="str">
        <f t="shared" si="31"/>
        <v>-0.333148250971682-0.485841199333704i</v>
      </c>
      <c r="F71" s="70" t="str">
        <f t="shared" si="32"/>
        <v>-0.0000941740978917386-0.000107999966190091i</v>
      </c>
      <c r="G71" s="70" t="str">
        <f t="shared" si="33"/>
        <v>-0.0148085329888811-0.0169826002895463i</v>
      </c>
      <c r="H71" s="72">
        <f t="shared" si="34"/>
        <v>2.2532229403174422E-2</v>
      </c>
      <c r="I71" s="51" t="str">
        <f t="shared" si="35"/>
        <v>2.04230846210089-0.0092869567731932i</v>
      </c>
      <c r="J71" s="73" t="str">
        <f t="shared" si="36"/>
        <v>0.0198593638650063-0.139516914859395i</v>
      </c>
      <c r="K71" s="73" t="str">
        <f t="shared" si="37"/>
        <v>0.0392632593160145-0.285121008877309i</v>
      </c>
      <c r="L71" s="73" t="str">
        <f t="shared" si="38"/>
        <v>-0.00542352739874772+0.00355543162675401i</v>
      </c>
      <c r="M71" s="70">
        <f t="shared" si="39"/>
        <v>-43.761746847903844</v>
      </c>
      <c r="N71" s="70">
        <f t="shared" si="40"/>
        <v>326.75287232823013</v>
      </c>
      <c r="O71" s="70">
        <f t="shared" si="28"/>
        <v>-33.247127671769874</v>
      </c>
    </row>
    <row r="72" spans="1:15" ht="15" x14ac:dyDescent="0.2">
      <c r="A72" s="71">
        <f t="shared" si="41"/>
        <v>71</v>
      </c>
      <c r="B72" s="70">
        <f t="shared" si="42"/>
        <v>71000</v>
      </c>
      <c r="C72" s="70">
        <f t="shared" si="29"/>
        <v>157.24634820399112</v>
      </c>
      <c r="D72" s="51" t="str">
        <f t="shared" si="30"/>
        <v>0.000241607064450581-0.0000277670966966199i</v>
      </c>
      <c r="E72" s="51" t="str">
        <f t="shared" si="31"/>
        <v>-0.333303933678997-0.465654846344132i</v>
      </c>
      <c r="F72" s="70" t="str">
        <f t="shared" si="32"/>
        <v>-0.0000934584681317008-0.000103250617916564i</v>
      </c>
      <c r="G72" s="70" t="str">
        <f t="shared" si="33"/>
        <v>-0.014696002822449-0.0162357826171853i</v>
      </c>
      <c r="H72" s="72">
        <f t="shared" si="34"/>
        <v>2.1899158343414146E-2</v>
      </c>
      <c r="I72" s="51" t="str">
        <f t="shared" si="35"/>
        <v>2.04230846210088-0.00915615456512006i</v>
      </c>
      <c r="J72" s="73" t="str">
        <f t="shared" si="36"/>
        <v>0.0193146135976947-0.137628337559045i</v>
      </c>
      <c r="K72" s="73" t="str">
        <f t="shared" si="37"/>
        <v>0.0381862524615495-0.28125636600918i</v>
      </c>
      <c r="L72" s="73" t="str">
        <f t="shared" si="38"/>
        <v>-0.00512760249217823+0.00351336065477198i</v>
      </c>
      <c r="M72" s="70">
        <f t="shared" si="39"/>
        <v>-44.130077256084746</v>
      </c>
      <c r="N72" s="70">
        <f t="shared" si="40"/>
        <v>325.58160973095755</v>
      </c>
      <c r="O72" s="70">
        <f t="shared" si="28"/>
        <v>-34.418390269042447</v>
      </c>
    </row>
    <row r="73" spans="1:15" ht="15" x14ac:dyDescent="0.2">
      <c r="A73" s="71">
        <f t="shared" si="41"/>
        <v>72</v>
      </c>
      <c r="B73" s="70">
        <f t="shared" si="42"/>
        <v>72000</v>
      </c>
      <c r="C73" s="70">
        <f t="shared" si="29"/>
        <v>157.24634820399112</v>
      </c>
      <c r="D73" s="51" t="str">
        <f t="shared" si="30"/>
        <v>0.00024160704317718-0.0000273814425764161i</v>
      </c>
      <c r="E73" s="51" t="str">
        <f t="shared" si="31"/>
        <v>-0.3327736520237-0.446343199435663i</v>
      </c>
      <c r="F73" s="70" t="str">
        <f t="shared" si="32"/>
        <v>-0.0000926219787974394-0.0000987278380140617i</v>
      </c>
      <c r="G73" s="70" t="str">
        <f t="shared" si="33"/>
        <v>-0.0145644679293248-0.0155245919937864i</v>
      </c>
      <c r="H73" s="72">
        <f t="shared" si="34"/>
        <v>2.1287007366886199E-2</v>
      </c>
      <c r="I73" s="51" t="str">
        <f t="shared" si="35"/>
        <v>2.04230846210088-0.00902898575171561i</v>
      </c>
      <c r="J73" s="73" t="str">
        <f t="shared" si="36"/>
        <v>0.0187918344907644-0.135789180155254i</v>
      </c>
      <c r="K73" s="73" t="str">
        <f t="shared" si="37"/>
        <v>0.0371526840260284-0.277493062898682i</v>
      </c>
      <c r="L73" s="73" t="str">
        <f t="shared" si="38"/>
        <v>-0.00484907565759357+0.00346475855421981i</v>
      </c>
      <c r="M73" s="70">
        <f t="shared" si="39"/>
        <v>-44.495504385454375</v>
      </c>
      <c r="N73" s="70">
        <f t="shared" si="40"/>
        <v>324.4534579510846</v>
      </c>
      <c r="O73" s="70">
        <f t="shared" si="28"/>
        <v>-35.546542048915398</v>
      </c>
    </row>
    <row r="74" spans="1:15" ht="15" x14ac:dyDescent="0.2">
      <c r="A74" s="71">
        <f t="shared" si="41"/>
        <v>73</v>
      </c>
      <c r="B74" s="70">
        <f t="shared" si="42"/>
        <v>73000</v>
      </c>
      <c r="C74" s="70">
        <f t="shared" si="29"/>
        <v>157.24634820399112</v>
      </c>
      <c r="D74" s="51" t="str">
        <f t="shared" si="30"/>
        <v>0.000241607022772026-0.0000270063543224959i</v>
      </c>
      <c r="E74" s="51" t="str">
        <f t="shared" si="31"/>
        <v>-0.331641465588464-0.427886655849379i</v>
      </c>
      <c r="F74" s="70" t="str">
        <f t="shared" si="32"/>
        <v>-0.0000916825657663163-0.0000944239940759331i</v>
      </c>
      <c r="G74" s="70" t="str">
        <f t="shared" si="33"/>
        <v>-0.0144167486607255-0.0148478282512758i</v>
      </c>
      <c r="H74" s="72">
        <f t="shared" si="34"/>
        <v>2.0695425719852063E-2</v>
      </c>
      <c r="I74" s="51" t="str">
        <f t="shared" si="35"/>
        <v>2.04230846210088-0.00890530101539074i</v>
      </c>
      <c r="J74" s="73" t="str">
        <f t="shared" si="36"/>
        <v>0.0182898679911961-0.133997569828936i</v>
      </c>
      <c r="K74" s="73" t="str">
        <f t="shared" si="37"/>
        <v>0.0361602634744703-0.273827247542583i</v>
      </c>
      <c r="L74" s="73" t="str">
        <f t="shared" si="38"/>
        <v>-0.00458705337204891+0.00341079722268987i</v>
      </c>
      <c r="M74" s="70">
        <f t="shared" si="39"/>
        <v>-44.857897690641039</v>
      </c>
      <c r="N74" s="70">
        <f t="shared" si="40"/>
        <v>323.3665989186926</v>
      </c>
      <c r="O74" s="70">
        <f t="shared" si="28"/>
        <v>-36.633401081307397</v>
      </c>
    </row>
    <row r="75" spans="1:15" ht="15" x14ac:dyDescent="0.2">
      <c r="A75" s="71">
        <f t="shared" si="41"/>
        <v>74</v>
      </c>
      <c r="B75" s="70">
        <f t="shared" si="42"/>
        <v>74000</v>
      </c>
      <c r="C75" s="70">
        <f t="shared" si="29"/>
        <v>157.24634820399112</v>
      </c>
      <c r="D75" s="51" t="str">
        <f t="shared" si="30"/>
        <v>0.000241607003188506-0.00002664140358893i</v>
      </c>
      <c r="E75" s="51" t="str">
        <f t="shared" si="31"/>
        <v>-0.329983585977756-0.410261850846i</v>
      </c>
      <c r="F75" s="70" t="str">
        <f t="shared" si="32"/>
        <v>-0.000090656296855012-0.0000903309104137161i</v>
      </c>
      <c r="G75" s="70" t="str">
        <f t="shared" si="33"/>
        <v>-0.0142553716221476-0.0142042057924987i</v>
      </c>
      <c r="H75" s="72">
        <f t="shared" si="34"/>
        <v>2.0123992702274187E-2</v>
      </c>
      <c r="I75" s="51" t="str">
        <f t="shared" si="35"/>
        <v>2.04230846210088-0.00878495910977735i</v>
      </c>
      <c r="J75" s="73" t="str">
        <f t="shared" si="36"/>
        <v>0.0178076304435648-0.132251724909546i</v>
      </c>
      <c r="K75" s="73" t="str">
        <f t="shared" si="37"/>
        <v>0.0352068483493298-0.270255256215492i</v>
      </c>
      <c r="L75" s="73" t="str">
        <f t="shared" si="38"/>
        <v>-0.0043406479826536+0.00335250379093138i</v>
      </c>
      <c r="M75" s="70">
        <f t="shared" si="39"/>
        <v>-45.217148541850889</v>
      </c>
      <c r="N75" s="70">
        <f t="shared" si="40"/>
        <v>322.31926082715364</v>
      </c>
      <c r="O75" s="70">
        <f t="shared" si="28"/>
        <v>-37.680739172846359</v>
      </c>
    </row>
    <row r="76" spans="1:15" ht="15" x14ac:dyDescent="0.2">
      <c r="A76" s="71">
        <f t="shared" si="41"/>
        <v>75</v>
      </c>
      <c r="B76" s="70">
        <f t="shared" si="42"/>
        <v>75000</v>
      </c>
      <c r="C76" s="70">
        <f t="shared" si="29"/>
        <v>157.24634820399112</v>
      </c>
      <c r="D76" s="51" t="str">
        <f t="shared" si="30"/>
        <v>0.000241606984383092-0.0000262861848749053i</v>
      </c>
      <c r="E76" s="51" t="str">
        <f t="shared" si="31"/>
        <v>-0.327868852459016-0.39344262295082i</v>
      </c>
      <c r="F76" s="70" t="str">
        <f t="shared" si="32"/>
        <v>-0.0000895575102403207-0.0000864400643884608i</v>
      </c>
      <c r="G76" s="70" t="str">
        <f t="shared" si="33"/>
        <v>-0.014082591439532-0.0135923844636033i</v>
      </c>
      <c r="H76" s="72">
        <f t="shared" si="34"/>
        <v>1.9572232807198678E-2</v>
      </c>
      <c r="I76" s="51" t="str">
        <f t="shared" si="35"/>
        <v>2.04230846210088-0.00866782632164699i</v>
      </c>
      <c r="J76" s="73" t="str">
        <f t="shared" si="36"/>
        <v>0.017344107390173-0.130549949555759i</v>
      </c>
      <c r="K76" s="73" t="str">
        <f t="shared" si="37"/>
        <v>0.0342904330014876-0.266773602415132i</v>
      </c>
      <c r="L76" s="73" t="str">
        <f t="shared" si="38"/>
        <v>-0.00410898752701152+0.0032907749008848i</v>
      </c>
      <c r="M76" s="70">
        <f t="shared" si="39"/>
        <v>-45.573168038540786</v>
      </c>
      <c r="N76" s="70">
        <f t="shared" si="40"/>
        <v>321.30972446718033</v>
      </c>
      <c r="O76" s="70">
        <f t="shared" si="28"/>
        <v>-38.690275532819669</v>
      </c>
    </row>
    <row r="77" spans="1:15" ht="15" x14ac:dyDescent="0.2">
      <c r="A77" s="71">
        <f t="shared" si="41"/>
        <v>76</v>
      </c>
      <c r="B77" s="70">
        <f t="shared" si="42"/>
        <v>76000</v>
      </c>
      <c r="C77" s="70">
        <f t="shared" si="29"/>
        <v>157.24634820399112</v>
      </c>
      <c r="D77" s="51" t="str">
        <f t="shared" si="30"/>
        <v>0.000241606966315104-0.000025940314021757i</v>
      </c>
      <c r="E77" s="51" t="str">
        <f t="shared" si="31"/>
        <v>-0.325359237914116-0.377400825419304i</v>
      </c>
      <c r="F77" s="70" t="str">
        <f t="shared" si="32"/>
        <v>-0.0000883989543584708-0.0000827427477130025i</v>
      </c>
      <c r="G77" s="70" t="str">
        <f t="shared" si="33"/>
        <v>-0.0139004127579208-0.0130109949182338i</v>
      </c>
      <c r="H77" s="72">
        <f t="shared" si="34"/>
        <v>1.9039628767464799E-2</v>
      </c>
      <c r="I77" s="51" t="str">
        <f t="shared" si="35"/>
        <v>2.04230846210088-0.00855377597530953i</v>
      </c>
      <c r="J77" s="73" t="str">
        <f t="shared" si="36"/>
        <v>0.0168983483676961-0.128890628791003i</v>
      </c>
      <c r="K77" s="73" t="str">
        <f t="shared" si="37"/>
        <v>0.0334091383028793-0.263378966551659i</v>
      </c>
      <c r="L77" s="73" t="str">
        <f t="shared" si="38"/>
        <v>-0.00389122320766979+0.00322639021814134i</v>
      </c>
      <c r="M77" s="70">
        <f t="shared" si="39"/>
        <v>-45.925884964934923</v>
      </c>
      <c r="N77" s="70">
        <f t="shared" si="40"/>
        <v>320.33632780819835</v>
      </c>
      <c r="O77" s="70">
        <f t="shared" si="28"/>
        <v>-39.663672191801652</v>
      </c>
    </row>
    <row r="78" spans="1:15" ht="15" x14ac:dyDescent="0.2">
      <c r="A78" s="71">
        <f t="shared" si="41"/>
        <v>77</v>
      </c>
      <c r="B78" s="70">
        <f t="shared" si="42"/>
        <v>77000</v>
      </c>
      <c r="C78" s="70">
        <f t="shared" si="29"/>
        <v>157.24634820399112</v>
      </c>
      <c r="D78" s="51" t="str">
        <f t="shared" si="30"/>
        <v>0.00024160694894648-0.000025603426827114i</v>
      </c>
      <c r="E78" s="51" t="str">
        <f t="shared" si="31"/>
        <v>-0.322510365759674-0.362107001509111i</v>
      </c>
      <c r="F78" s="70" t="str">
        <f t="shared" si="32"/>
        <v>-0.0000871919255915323-0.0000792301972760611i</v>
      </c>
      <c r="G78" s="70" t="str">
        <f t="shared" si="33"/>
        <v>-0.0137106118921426-0.0124586591891424i</v>
      </c>
      <c r="H78" s="72">
        <f t="shared" si="34"/>
        <v>1.8525632708443845E-2</v>
      </c>
      <c r="I78" s="51" t="str">
        <f t="shared" si="35"/>
        <v>2.04230846210088-0.00844268797563019i</v>
      </c>
      <c r="J78" s="73" t="str">
        <f t="shared" si="36"/>
        <v>0.0164694621518418-0.127272223867861i</v>
      </c>
      <c r="K78" s="73" t="str">
        <f t="shared" si="37"/>
        <v>0.0325612022448758-0.260068186325805i</v>
      </c>
      <c r="L78" s="73" t="str">
        <f t="shared" si="38"/>
        <v>-0.00368653490609264+0.00316002504664889i</v>
      </c>
      <c r="M78" s="70">
        <f t="shared" si="39"/>
        <v>-46.275243893933549</v>
      </c>
      <c r="N78" s="70">
        <f t="shared" si="40"/>
        <v>319.39746911432275</v>
      </c>
      <c r="O78" s="70">
        <f t="shared" si="28"/>
        <v>-40.602530885677254</v>
      </c>
    </row>
    <row r="79" spans="1:15" ht="15" x14ac:dyDescent="0.2">
      <c r="A79" s="71">
        <f t="shared" si="41"/>
        <v>78</v>
      </c>
      <c r="B79" s="70">
        <f t="shared" si="42"/>
        <v>78000</v>
      </c>
      <c r="C79" s="70">
        <f t="shared" si="29"/>
        <v>157.24634820399112</v>
      </c>
      <c r="D79" s="51" t="str">
        <f t="shared" si="30"/>
        <v>0.00024160693224159-0.0000252751777656503i</v>
      </c>
      <c r="E79" s="51" t="str">
        <f t="shared" si="31"/>
        <v>-0.319372023352939-0.34753094059053i</v>
      </c>
      <c r="F79" s="70" t="str">
        <f t="shared" si="32"/>
        <v>-0.0000859464011085823-0.0000758936997514913i</v>
      </c>
      <c r="G79" s="70" t="str">
        <f t="shared" si="33"/>
        <v>-0.0135147577156-0.0119340071376122i</v>
      </c>
      <c r="H79" s="72">
        <f t="shared" si="34"/>
        <v>1.8029675606398152E-2</v>
      </c>
      <c r="I79" s="51" t="str">
        <f t="shared" si="35"/>
        <v>2.04230846210088-0.00833444838619903i</v>
      </c>
      <c r="J79" s="73" t="str">
        <f t="shared" si="36"/>
        <v>0.0160566124067504-0.125693267937347i</v>
      </c>
      <c r="K79" s="73" t="str">
        <f t="shared" si="37"/>
        <v>0.0317449713368638-0.256838247744918i</v>
      </c>
      <c r="L79" s="73" t="str">
        <f t="shared" si="38"/>
        <v>-0.00349413507810604+0.00309226197585439i</v>
      </c>
      <c r="M79" s="70">
        <f t="shared" si="39"/>
        <v>-46.621203440857208</v>
      </c>
      <c r="N79" s="70">
        <f t="shared" si="40"/>
        <v>318.49160884779178</v>
      </c>
      <c r="O79" s="70">
        <f t="shared" si="28"/>
        <v>-41.508391152208219</v>
      </c>
    </row>
    <row r="80" spans="1:15" ht="15" x14ac:dyDescent="0.2">
      <c r="A80" s="71">
        <f t="shared" si="41"/>
        <v>79</v>
      </c>
      <c r="B80" s="70">
        <f t="shared" si="42"/>
        <v>79000</v>
      </c>
      <c r="C80" s="70">
        <f t="shared" si="29"/>
        <v>157.24634820399112</v>
      </c>
      <c r="D80" s="51" t="str">
        <f t="shared" si="30"/>
        <v>0.00024160691616704-0.0000249552388069927i</v>
      </c>
      <c r="E80" s="51" t="str">
        <f t="shared" si="31"/>
        <v>-0.315988661370671-0.333642131091727i</v>
      </c>
      <c r="F80" s="70" t="str">
        <f t="shared" si="32"/>
        <v>-0.0000846711650749869-0.0000727246738916644i</v>
      </c>
      <c r="G80" s="70" t="str">
        <f t="shared" si="33"/>
        <v>-0.013314231506219-0.0114356893937904i</v>
      </c>
      <c r="H80" s="72">
        <f t="shared" si="34"/>
        <v>1.755117524590433E-2</v>
      </c>
      <c r="I80" s="51" t="str">
        <f t="shared" si="35"/>
        <v>2.04230846210089-0.00822894903953829i</v>
      </c>
      <c r="J80" s="73" t="str">
        <f t="shared" si="36"/>
        <v>0.015659013700483-0.124152362000934i</v>
      </c>
      <c r="K80" s="73" t="str">
        <f t="shared" si="37"/>
        <v>0.0309588927286062-0.253686276730071i</v>
      </c>
      <c r="L80" s="73" t="str">
        <f t="shared" si="38"/>
        <v>-0.00331327132911711+0.00302360153711489i</v>
      </c>
      <c r="M80" s="70">
        <f t="shared" si="39"/>
        <v>-46.963734664692581</v>
      </c>
      <c r="N80" s="70">
        <f t="shared" si="40"/>
        <v>317.61727057989503</v>
      </c>
      <c r="O80" s="70">
        <f t="shared" si="28"/>
        <v>-42.382729420104965</v>
      </c>
    </row>
    <row r="81" spans="1:18" ht="15" x14ac:dyDescent="0.2">
      <c r="A81" s="71">
        <f t="shared" si="41"/>
        <v>80</v>
      </c>
      <c r="B81" s="70">
        <f t="shared" si="42"/>
        <v>80000</v>
      </c>
      <c r="C81" s="70">
        <f t="shared" si="29"/>
        <v>157.24634820399112</v>
      </c>
      <c r="D81" s="51" t="str">
        <f t="shared" si="30"/>
        <v>0.000241606900691509-0.0000246432983222867i</v>
      </c>
      <c r="E81" s="51" t="str">
        <f t="shared" si="31"/>
        <v>-0.31239987183595-0.320410124959949i</v>
      </c>
      <c r="F81" s="70" t="str">
        <f t="shared" si="32"/>
        <v>-0.0000833739271055777-0.0000697147340042549i</v>
      </c>
      <c r="G81" s="70" t="str">
        <f t="shared" si="33"/>
        <v>-0.0131102455727778-0.0109623873381817i</v>
      </c>
      <c r="H81" s="72">
        <f t="shared" si="34"/>
        <v>1.7089542859037112E-2</v>
      </c>
      <c r="I81" s="51" t="str">
        <f t="shared" si="35"/>
        <v>2.04230846210088-0.00812608717654406i</v>
      </c>
      <c r="J81" s="73" t="str">
        <f t="shared" si="36"/>
        <v>0.0152759278520179-0.12264817112488i</v>
      </c>
      <c r="K81" s="73" t="str">
        <f t="shared" si="37"/>
        <v>0.0302015069880142-0.250609531270967i</v>
      </c>
      <c r="L81" s="73" t="str">
        <f t="shared" si="38"/>
        <v>-0.00314322792571333+0.0029544718800417i</v>
      </c>
      <c r="M81" s="70">
        <f t="shared" si="39"/>
        <v>-47.302819611808815</v>
      </c>
      <c r="N81" s="70">
        <f t="shared" si="40"/>
        <v>316.77304109899831</v>
      </c>
      <c r="O81" s="70">
        <f t="shared" si="28"/>
        <v>-43.226958901001694</v>
      </c>
    </row>
    <row r="82" spans="1:18" ht="15" x14ac:dyDescent="0.2">
      <c r="A82" s="71">
        <f t="shared" si="41"/>
        <v>81</v>
      </c>
      <c r="B82" s="70">
        <f t="shared" si="42"/>
        <v>81000</v>
      </c>
      <c r="C82" s="70">
        <f t="shared" si="29"/>
        <v>157.24634820399112</v>
      </c>
      <c r="D82" s="51" t="str">
        <f t="shared" si="30"/>
        <v>0.0002416068857856-0.0000243390600717572i</v>
      </c>
      <c r="E82" s="51" t="str">
        <f t="shared" si="31"/>
        <v>-0.308640839982196-0.307804826872173i</v>
      </c>
      <c r="F82" s="70" t="str">
        <f t="shared" si="32"/>
        <v>-0.0000820614323459687-0.0000668557377054372i</v>
      </c>
      <c r="G82" s="70" t="str">
        <f t="shared" si="33"/>
        <v>-0.0129038605647925-0.0105128206106639i</v>
      </c>
      <c r="H82" s="72">
        <f t="shared" si="34"/>
        <v>1.6644188615477978E-2</v>
      </c>
      <c r="I82" s="51" t="str">
        <f t="shared" si="35"/>
        <v>2.04230846210088-0.00802576511263611i</v>
      </c>
      <c r="J82" s="73" t="str">
        <f t="shared" si="36"/>
        <v>0.014906660578788-0.121179420898009i</v>
      </c>
      <c r="K82" s="73" t="str">
        <f t="shared" si="37"/>
        <v>0.0294714414731116-0.247605394088907i</v>
      </c>
      <c r="L82" s="73" t="str">
        <f t="shared" si="38"/>
        <v>-0.00298332646170189+0.00288523750306925i</v>
      </c>
      <c r="M82" s="70">
        <f t="shared" si="39"/>
        <v>-47.638449995269795</v>
      </c>
      <c r="N82" s="70">
        <f t="shared" si="40"/>
        <v>315.95756987755328</v>
      </c>
      <c r="O82" s="70">
        <f t="shared" si="28"/>
        <v>-44.042430122446717</v>
      </c>
    </row>
    <row r="83" spans="1:18" ht="15" x14ac:dyDescent="0.2">
      <c r="A83" s="71">
        <f t="shared" si="41"/>
        <v>82</v>
      </c>
      <c r="B83" s="70">
        <f t="shared" si="42"/>
        <v>82000</v>
      </c>
      <c r="C83" s="70">
        <f t="shared" si="29"/>
        <v>157.24634820399112</v>
      </c>
      <c r="D83" s="51" t="str">
        <f t="shared" si="30"/>
        <v>0.000241606871421699-0.0000240422422663495i</v>
      </c>
      <c r="E83" s="51" t="str">
        <f t="shared" si="31"/>
        <v>-0.304742767092029-0.295796719952017i</v>
      </c>
      <c r="F83" s="70" t="str">
        <f t="shared" si="32"/>
        <v>-0.0000807395629481746-0.000064139820649063i</v>
      </c>
      <c r="G83" s="70" t="str">
        <f t="shared" si="33"/>
        <v>-0.0126960014291867-0.0100857525715241i</v>
      </c>
      <c r="H83" s="72">
        <f t="shared" si="34"/>
        <v>1.6214526117772167E-2</v>
      </c>
      <c r="I83" s="51" t="str">
        <f t="shared" si="35"/>
        <v>2.04230846210088-0.00792788992833567i</v>
      </c>
      <c r="J83" s="73" t="str">
        <f t="shared" si="36"/>
        <v>0.0145505584169874-0.119744894115537i</v>
      </c>
      <c r="K83" s="73" t="str">
        <f t="shared" si="37"/>
        <v>0.0287674042432784-0.244671365771061i</v>
      </c>
      <c r="L83" s="73" t="str">
        <f t="shared" si="38"/>
        <v>-0.00283292586189045+0.00281620708818773i</v>
      </c>
      <c r="M83" s="70">
        <f t="shared" si="39"/>
        <v>-47.970626001704616</v>
      </c>
      <c r="N83" s="70">
        <f t="shared" si="40"/>
        <v>315.16956803522714</v>
      </c>
      <c r="O83" s="70">
        <f t="shared" si="28"/>
        <v>-44.830431964772856</v>
      </c>
    </row>
    <row r="84" spans="1:18" ht="15" x14ac:dyDescent="0.2">
      <c r="A84" s="71">
        <f t="shared" si="41"/>
        <v>83</v>
      </c>
      <c r="B84" s="70">
        <f t="shared" si="42"/>
        <v>83000</v>
      </c>
      <c r="C84" s="70">
        <f t="shared" si="29"/>
        <v>157.24634820399112</v>
      </c>
      <c r="D84" s="51" t="str">
        <f t="shared" si="30"/>
        <v>0.00024160685757384-0.0000237525766972043i</v>
      </c>
      <c r="E84" s="51" t="str">
        <f t="shared" si="31"/>
        <v>-0.300733262929728-0.284357038313596i</v>
      </c>
      <c r="F84" s="70" t="str">
        <f t="shared" si="32"/>
        <v>-0.0000794134309863125-0.0000615594205628131i</v>
      </c>
      <c r="G84" s="70" t="str">
        <f t="shared" si="33"/>
        <v>-0.0124874720209473-0.00967999408105604i</v>
      </c>
      <c r="H84" s="72">
        <f t="shared" si="34"/>
        <v>1.5799976040590111E-2</v>
      </c>
      <c r="I84" s="51" t="str">
        <f t="shared" si="35"/>
        <v>2.04230846210089-0.00783237318221114i</v>
      </c>
      <c r="J84" s="73" t="str">
        <f t="shared" si="36"/>
        <v>0.0142070058897125-0.118343427672863i</v>
      </c>
      <c r="K84" s="73" t="str">
        <f t="shared" si="37"/>
        <v>0.0280881784604811-0.241805058342243i</v>
      </c>
      <c r="L84" s="73" t="str">
        <f t="shared" si="38"/>
        <v>-0.00269142187616695+0.00274764049932719i</v>
      </c>
      <c r="M84" s="70">
        <f t="shared" si="39"/>
        <v>-48.299355217040144</v>
      </c>
      <c r="N84" s="70">
        <f t="shared" si="40"/>
        <v>314.40780691338864</v>
      </c>
      <c r="O84" s="70">
        <f t="shared" si="28"/>
        <v>-45.59219308661136</v>
      </c>
      <c r="P84" s="70">
        <v>-27.673999999999999</v>
      </c>
      <c r="Q84" s="70">
        <v>318.15300000000002</v>
      </c>
      <c r="R84" s="70">
        <f>B84</f>
        <v>83000</v>
      </c>
    </row>
    <row r="85" spans="1:18" ht="15" x14ac:dyDescent="0.2">
      <c r="A85" s="71">
        <f t="shared" si="41"/>
        <v>84</v>
      </c>
      <c r="B85" s="70">
        <f t="shared" si="42"/>
        <v>84000</v>
      </c>
      <c r="C85" s="70">
        <f t="shared" si="29"/>
        <v>157.24634820399112</v>
      </c>
      <c r="D85" s="51" t="str">
        <f t="shared" si="30"/>
        <v>0.000241606844217597-0.0000234698079273131i</v>
      </c>
      <c r="E85" s="51" t="str">
        <f t="shared" si="31"/>
        <v>-0.296636707487767-0.273457895401365i</v>
      </c>
      <c r="F85" s="70" t="str">
        <f t="shared" si="32"/>
        <v>-0.0000780874630564951-0.0000591072925853811i</v>
      </c>
      <c r="G85" s="70" t="str">
        <f t="shared" si="33"/>
        <v>-0.0122789684061479-0.00929440591127602i</v>
      </c>
      <c r="H85" s="72">
        <f t="shared" si="34"/>
        <v>1.5399969037720201E-2</v>
      </c>
      <c r="I85" s="51" t="str">
        <f t="shared" si="35"/>
        <v>2.04230846210089-0.00773913064432768i</v>
      </c>
      <c r="J85" s="73" t="str">
        <f t="shared" si="36"/>
        <v>0.0138754229005262-0.116973909654494i</v>
      </c>
      <c r="K85" s="73" t="str">
        <f t="shared" si="37"/>
        <v>0.0274326172361792-0.239004189242971i</v>
      </c>
      <c r="L85" s="73" t="str">
        <f t="shared" si="38"/>
        <v>-0.0025582461896606+0.00267975500884972i</v>
      </c>
      <c r="M85" s="70">
        <f t="shared" si="39"/>
        <v>-48.624651662139932</v>
      </c>
      <c r="N85" s="70">
        <f t="shared" si="40"/>
        <v>313.67111635710035</v>
      </c>
      <c r="O85" s="70">
        <f t="shared" si="28"/>
        <v>-46.328883642899655</v>
      </c>
    </row>
    <row r="86" spans="1:18" ht="15" x14ac:dyDescent="0.2">
      <c r="A86" s="71">
        <f t="shared" si="41"/>
        <v>85</v>
      </c>
      <c r="B86" s="70">
        <f t="shared" si="42"/>
        <v>85000</v>
      </c>
      <c r="C86" s="70">
        <f t="shared" si="29"/>
        <v>157.24634820399112</v>
      </c>
      <c r="D86" s="51" t="str">
        <f t="shared" si="30"/>
        <v>0.000241606831329973-0.0000231936925402319i</v>
      </c>
      <c r="E86" s="51" t="str">
        <f t="shared" si="31"/>
        <v>-0.292474582566039-0.263072375853051i</v>
      </c>
      <c r="F86" s="70" t="str">
        <f t="shared" si="32"/>
        <v>-0.0000767654769397012-0.000056776517596434i</v>
      </c>
      <c r="G86" s="70" t="str">
        <f t="shared" si="33"/>
        <v>-0.0120710909169057-0.00892790005577889i</v>
      </c>
      <c r="H86" s="72">
        <f t="shared" si="34"/>
        <v>1.5013948026091604E-2</v>
      </c>
      <c r="I86" s="51" t="str">
        <f t="shared" si="35"/>
        <v>2.04230846210088-0.00764808204851206i</v>
      </c>
      <c r="J86" s="73" t="str">
        <f t="shared" si="36"/>
        <v>0.0135552623322729-0.1156352766044i</v>
      </c>
      <c r="K86" s="73" t="str">
        <f t="shared" si="37"/>
        <v>0.0267996388840254-0.236266575685048i</v>
      </c>
      <c r="L86" s="73" t="str">
        <f t="shared" si="38"/>
        <v>-0.00243286525174654+0.00261273081823265i</v>
      </c>
      <c r="M86" s="70">
        <f t="shared" si="39"/>
        <v>-48.946534929413843</v>
      </c>
      <c r="N86" s="70">
        <f t="shared" si="40"/>
        <v>312.95838278421479</v>
      </c>
      <c r="O86" s="70">
        <f t="shared" si="28"/>
        <v>-47.041617215785209</v>
      </c>
    </row>
    <row r="87" spans="1:18" ht="15" x14ac:dyDescent="0.2">
      <c r="A87" s="71">
        <f t="shared" si="41"/>
        <v>86</v>
      </c>
      <c r="B87" s="70">
        <f t="shared" si="42"/>
        <v>86000</v>
      </c>
      <c r="C87" s="70">
        <f t="shared" si="29"/>
        <v>157.24634820399112</v>
      </c>
      <c r="D87" s="51" t="str">
        <f t="shared" si="30"/>
        <v>0.000241606818889298-0.0000229239984412121i</v>
      </c>
      <c r="E87" s="51" t="str">
        <f t="shared" si="31"/>
        <v>-0.288265774261145-0.253174597492427i</v>
      </c>
      <c r="F87" s="70" t="str">
        <f t="shared" si="32"/>
        <v>-0.0000754507507921666-0.0000545605049639064i</v>
      </c>
      <c r="G87" s="70" t="str">
        <f t="shared" si="33"/>
        <v>-0.0118643550313176-0.00857944016174001i</v>
      </c>
      <c r="H87" s="72">
        <f t="shared" si="34"/>
        <v>1.4641369942666864E-2</v>
      </c>
      <c r="I87" s="51" t="str">
        <f t="shared" si="35"/>
        <v>2.04230846210088-0.00755915086190145i</v>
      </c>
      <c r="J87" s="73" t="str">
        <f t="shared" si="36"/>
        <v>0.0132460078329716-0.114326510965132i</v>
      </c>
      <c r="K87" s="73" t="str">
        <f t="shared" si="37"/>
        <v>0.0261882225424322-0.233590129358085i</v>
      </c>
      <c r="L87" s="73" t="str">
        <f t="shared" si="38"/>
        <v>-0.00231477890708337+0.0025467159382706i</v>
      </c>
      <c r="M87" s="70">
        <f t="shared" si="39"/>
        <v>-49.265029411691003</v>
      </c>
      <c r="N87" s="70">
        <f t="shared" si="40"/>
        <v>312.2685471070007</v>
      </c>
      <c r="O87" s="70">
        <f t="shared" si="28"/>
        <v>-47.7314528929993</v>
      </c>
    </row>
    <row r="88" spans="1:18" ht="15" x14ac:dyDescent="0.2">
      <c r="A88" s="71">
        <f t="shared" si="41"/>
        <v>87</v>
      </c>
      <c r="B88" s="70">
        <f t="shared" si="42"/>
        <v>87000</v>
      </c>
      <c r="C88" s="70">
        <f t="shared" si="29"/>
        <v>157.24634820399112</v>
      </c>
      <c r="D88" s="51" t="str">
        <f t="shared" si="30"/>
        <v>0.000241606806875142-0.000022660504206528i</v>
      </c>
      <c r="E88" s="51" t="str">
        <f t="shared" si="31"/>
        <v>-0.284026847815692-0.243739749062588i</v>
      </c>
      <c r="F88" s="70" t="str">
        <f t="shared" si="32"/>
        <v>-0.0000741460853764921-0.0000524529908998659i</v>
      </c>
      <c r="G88" s="70" t="str">
        <f t="shared" si="33"/>
        <v>-0.0116592011590747-0.00824804127138109i</v>
      </c>
      <c r="H88" s="72">
        <f t="shared" si="34"/>
        <v>1.4281707057707585E-2</v>
      </c>
      <c r="I88" s="51" t="str">
        <f t="shared" si="35"/>
        <v>2.04230846210088-0.00747226407038535i</v>
      </c>
      <c r="J88" s="73" t="str">
        <f t="shared" si="36"/>
        <v>0.0129471717723947-0.113046638674004i</v>
      </c>
      <c r="K88" s="73" t="str">
        <f t="shared" si="37"/>
        <v>0.0255974041345938-0.230972851462427i</v>
      </c>
      <c r="L88" s="73" t="str">
        <f t="shared" si="38"/>
        <v>-0.00220351889538603+0.00248183049174317i</v>
      </c>
      <c r="M88" s="70">
        <f t="shared" si="39"/>
        <v>-49.580163615015856</v>
      </c>
      <c r="N88" s="70">
        <f t="shared" si="40"/>
        <v>311.60060255962895</v>
      </c>
      <c r="O88" s="70">
        <f t="shared" si="28"/>
        <v>-48.399397440371047</v>
      </c>
    </row>
    <row r="89" spans="1:18" ht="15" x14ac:dyDescent="0.2">
      <c r="A89" s="71">
        <f t="shared" si="41"/>
        <v>88</v>
      </c>
      <c r="B89" s="70">
        <f t="shared" si="42"/>
        <v>88000</v>
      </c>
      <c r="C89" s="70">
        <f t="shared" si="29"/>
        <v>157.24634820399112</v>
      </c>
      <c r="D89" s="51" t="str">
        <f t="shared" si="30"/>
        <v>0.000241606795268227-0.0000224029984771685i</v>
      </c>
      <c r="E89" s="51" t="str">
        <f t="shared" si="31"/>
        <v>-0.279772296507588-0.234744108435047i</v>
      </c>
      <c r="F89" s="70" t="str">
        <f t="shared" si="32"/>
        <v>-0.0000728538598678252-0.0000504480334144755i</v>
      </c>
      <c r="G89" s="70" t="str">
        <f t="shared" si="33"/>
        <v>-0.0114560034167808-0.00793276902849919i</v>
      </c>
      <c r="H89" s="72">
        <f t="shared" si="34"/>
        <v>1.3934447916756852E-2</v>
      </c>
      <c r="I89" s="51" t="str">
        <f t="shared" si="35"/>
        <v>2.04230846210089-0.00738735197867642i</v>
      </c>
      <c r="J89" s="73" t="str">
        <f t="shared" si="36"/>
        <v>0.0126582933545295-0.111794726905522i</v>
      </c>
      <c r="K89" s="73" t="str">
        <f t="shared" si="37"/>
        <v>0.0250262726367-0.228412828045865i</v>
      </c>
      <c r="L89" s="73" t="str">
        <f t="shared" si="38"/>
        <v>-0.00209864727286947+0.0024181704980588i</v>
      </c>
      <c r="M89" s="70">
        <f t="shared" si="39"/>
        <v>-49.891969547484479</v>
      </c>
      <c r="N89" s="70">
        <f t="shared" si="40"/>
        <v>310.95359247461454</v>
      </c>
      <c r="O89" s="70">
        <f t="shared" si="28"/>
        <v>-49.046407525385462</v>
      </c>
    </row>
    <row r="90" spans="1:18" ht="15" x14ac:dyDescent="0.2">
      <c r="A90" s="71">
        <f t="shared" si="41"/>
        <v>89</v>
      </c>
      <c r="B90" s="70">
        <f t="shared" si="42"/>
        <v>89000</v>
      </c>
      <c r="C90" s="70">
        <f t="shared" si="29"/>
        <v>157.24634820399112</v>
      </c>
      <c r="D90" s="51" t="str">
        <f t="shared" si="30"/>
        <v>0.000241606784050355-0.0000221512793934039i</v>
      </c>
      <c r="E90" s="51" t="str">
        <f t="shared" si="31"/>
        <v>-0.275514766381876-0.226165045268281i</v>
      </c>
      <c r="F90" s="70" t="str">
        <f t="shared" si="32"/>
        <v>-0.0000715760817706695-0.000048540004684739i</v>
      </c>
      <c r="G90" s="70" t="str">
        <f t="shared" si="33"/>
        <v>-0.011255077477188-0.00763273847847983i</v>
      </c>
      <c r="H90" s="72">
        <f t="shared" si="34"/>
        <v>1.3599097973702932E-2</v>
      </c>
      <c r="I90" s="51" t="str">
        <f t="shared" si="35"/>
        <v>2.04230846210089-0.00730434802385983i</v>
      </c>
      <c r="J90" s="73" t="str">
        <f t="shared" si="36"/>
        <v>0.0123789368725434-0.110569881950054i</v>
      </c>
      <c r="K90" s="73" t="str">
        <f t="shared" si="37"/>
        <v>0.0244739666278878-0.225908225623174i</v>
      </c>
      <c r="L90" s="73" t="str">
        <f t="shared" si="38"/>
        <v>-0.00199975479689009+0.00235581119532118i</v>
      </c>
      <c r="M90" s="70">
        <f t="shared" si="39"/>
        <v>-50.200482176752402</v>
      </c>
      <c r="N90" s="70">
        <f t="shared" si="40"/>
        <v>310.32660804270449</v>
      </c>
      <c r="O90" s="70">
        <f t="shared" si="28"/>
        <v>-49.673391957295507</v>
      </c>
    </row>
    <row r="91" spans="1:18" ht="15" x14ac:dyDescent="0.2">
      <c r="A91" s="71">
        <f t="shared" si="41"/>
        <v>90</v>
      </c>
      <c r="B91" s="70">
        <f t="shared" si="42"/>
        <v>90000</v>
      </c>
      <c r="C91" s="70">
        <f t="shared" si="29"/>
        <v>157.24634820399112</v>
      </c>
      <c r="D91" s="51" t="str">
        <f t="shared" si="30"/>
        <v>0.00024160677320433-0.0000219051540670482i</v>
      </c>
      <c r="E91" s="51" t="str">
        <f t="shared" si="31"/>
        <v>-0.2712652586708-0.217981011431893i</v>
      </c>
      <c r="F91" s="70" t="str">
        <f t="shared" si="32"/>
        <v>-0.0000703144314689965-0.0000467235815076543i</v>
      </c>
      <c r="G91" s="70" t="str">
        <f t="shared" si="33"/>
        <v>-0.0110566875745395-0.00734711256709017i</v>
      </c>
      <c r="H91" s="72">
        <f t="shared" si="34"/>
        <v>1.3275179968439995E-2</v>
      </c>
      <c r="I91" s="51" t="str">
        <f t="shared" si="35"/>
        <v>2.04230846210088-0.0072231886013725i</v>
      </c>
      <c r="J91" s="73" t="str">
        <f t="shared" si="36"/>
        <v>0.0121086900941429-0.10937124721949i</v>
      </c>
      <c r="K91" s="73" t="str">
        <f t="shared" si="37"/>
        <v>0.0239396710979914-0.223457287059157i</v>
      </c>
      <c r="L91" s="73" t="str">
        <f t="shared" si="38"/>
        <v>-0.00190645930592793+0.00229480995089123i</v>
      </c>
      <c r="M91" s="70">
        <f t="shared" si="39"/>
        <v>-50.505738949381289</v>
      </c>
      <c r="N91" s="70">
        <f t="shared" si="40"/>
        <v>309.71878608349073</v>
      </c>
      <c r="O91" s="70">
        <f t="shared" si="28"/>
        <v>-50.281213916509273</v>
      </c>
    </row>
    <row r="92" spans="1:18" ht="15" x14ac:dyDescent="0.2">
      <c r="A92" s="71">
        <f t="shared" si="41"/>
        <v>91</v>
      </c>
      <c r="B92" s="70">
        <f t="shared" si="42"/>
        <v>91000</v>
      </c>
      <c r="C92" s="70">
        <f t="shared" si="29"/>
        <v>157.24634820399112</v>
      </c>
      <c r="D92" s="51" t="str">
        <f t="shared" si="30"/>
        <v>0.000241606762713898-0.0000216644380885167i</v>
      </c>
      <c r="E92" s="51" t="str">
        <f t="shared" si="31"/>
        <v>-0.267033311733552-0.210171521949085i</v>
      </c>
      <c r="F92" s="70" t="str">
        <f t="shared" si="32"/>
        <v>-0.0000690703019099499-0.0000449937343831483i</v>
      </c>
      <c r="G92" s="70" t="str">
        <f t="shared" si="33"/>
        <v>-0.0108610527446868-0.00707510042381043i</v>
      </c>
      <c r="H92" s="72">
        <f t="shared" si="34"/>
        <v>1.296223409485692E-2</v>
      </c>
      <c r="I92" s="51" t="str">
        <f t="shared" si="35"/>
        <v>2.04230846210088-0.00714381290245632i</v>
      </c>
      <c r="J92" s="73" t="str">
        <f t="shared" si="36"/>
        <v>0.0118471627663588-0.108198001371311i</v>
      </c>
      <c r="K92" s="73" t="str">
        <f t="shared" si="37"/>
        <v>0.0234226144914047-0.221058327697259i</v>
      </c>
      <c r="L92" s="73" t="str">
        <f t="shared" si="38"/>
        <v>-0.00181840411938731+0.0022352088070573i</v>
      </c>
      <c r="M92" s="70">
        <f t="shared" si="39"/>
        <v>-50.807779365736046</v>
      </c>
      <c r="N92" s="70">
        <f t="shared" si="40"/>
        <v>309.12930684803524</v>
      </c>
      <c r="O92" s="70">
        <f t="shared" si="28"/>
        <v>-50.870693151964758</v>
      </c>
    </row>
    <row r="93" spans="1:18" ht="15" x14ac:dyDescent="0.2">
      <c r="A93" s="71">
        <f t="shared" si="41"/>
        <v>92</v>
      </c>
      <c r="B93" s="70">
        <f t="shared" si="42"/>
        <v>92000</v>
      </c>
      <c r="C93" s="70">
        <f t="shared" si="29"/>
        <v>157.24634820399112</v>
      </c>
      <c r="D93" s="51" t="str">
        <f t="shared" si="30"/>
        <v>0.000241606752563683-0.000021428955066033i</v>
      </c>
      <c r="E93" s="51" t="str">
        <f t="shared" si="31"/>
        <v>-0.262827164292679-0.202717128730101i</v>
      </c>
      <c r="F93" s="70" t="str">
        <f t="shared" si="32"/>
        <v>-0.0000678448338929483-0.0000433457156677531i</v>
      </c>
      <c r="G93" s="70" t="str">
        <f t="shared" si="33"/>
        <v>-0.0106683523741725-0.0068159554990427i</v>
      </c>
      <c r="H93" s="72">
        <f t="shared" si="34"/>
        <v>1.2659817998077321E-2</v>
      </c>
      <c r="I93" s="51" t="str">
        <f t="shared" si="35"/>
        <v>2.04230846210089-0.00706616276221223i</v>
      </c>
      <c r="J93" s="73" t="str">
        <f t="shared" si="36"/>
        <v>0.0115939852298123-0.107049356543153i</v>
      </c>
      <c r="K93" s="73" t="str">
        <f t="shared" si="37"/>
        <v>0.0229220659673944-0.218709731717233i</v>
      </c>
      <c r="L93" s="73" t="str">
        <f t="shared" si="38"/>
        <v>-0.00173525647547642+0.00217703670404029i</v>
      </c>
      <c r="M93" s="70">
        <f t="shared" si="39"/>
        <v>-51.106644604675338</v>
      </c>
      <c r="N93" s="70">
        <f t="shared" si="40"/>
        <v>308.55739186982737</v>
      </c>
      <c r="O93" s="70">
        <f t="shared" si="28"/>
        <v>-51.44260813017263</v>
      </c>
    </row>
    <row r="94" spans="1:18" ht="15" x14ac:dyDescent="0.2">
      <c r="A94" s="71">
        <f t="shared" si="41"/>
        <v>93</v>
      </c>
      <c r="B94" s="70">
        <f t="shared" si="42"/>
        <v>93000</v>
      </c>
      <c r="C94" s="70">
        <f t="shared" si="29"/>
        <v>157.24634820399112</v>
      </c>
      <c r="D94" s="51" t="str">
        <f t="shared" si="30"/>
        <v>0.000241606742739131-0.0000211985361945635i</v>
      </c>
      <c r="E94" s="51" t="str">
        <f t="shared" si="31"/>
        <v>-0.258653901662655-0.195599388962652i</v>
      </c>
      <c r="F94" s="70" t="str">
        <f t="shared" si="32"/>
        <v>-0.0000666389474040409-0.0000417750471527698i</v>
      </c>
      <c r="G94" s="70" t="str">
        <f t="shared" si="33"/>
        <v>-0.0104787311274433-0.00656897361082259i</v>
      </c>
      <c r="H94" s="72">
        <f t="shared" si="34"/>
        <v>1.2367506633955477E-2</v>
      </c>
      <c r="I94" s="51" t="str">
        <f t="shared" si="35"/>
        <v>2.04230846210089-0.00699018251745726i</v>
      </c>
      <c r="J94" s="73" t="str">
        <f t="shared" si="36"/>
        <v>0.0113488071334319-0.105924556690505i</v>
      </c>
      <c r="K94" s="73" t="str">
        <f t="shared" si="37"/>
        <v>0.0224373328590115-0.216409948706522i</v>
      </c>
      <c r="L94" s="73" t="str">
        <f t="shared" si="38"/>
        <v>-0.00165670602041914+0.00212031141835135i</v>
      </c>
      <c r="M94" s="70">
        <f t="shared" si="39"/>
        <v>-51.402377192792208</v>
      </c>
      <c r="N94" s="70">
        <f t="shared" si="40"/>
        <v>308.0023018763103</v>
      </c>
      <c r="O94" s="70">
        <f t="shared" si="28"/>
        <v>-51.997698123689702</v>
      </c>
    </row>
    <row r="95" spans="1:18" ht="15" x14ac:dyDescent="0.2">
      <c r="A95" s="71">
        <f t="shared" si="41"/>
        <v>94</v>
      </c>
      <c r="B95" s="70">
        <f t="shared" si="42"/>
        <v>94000</v>
      </c>
      <c r="C95" s="70">
        <f t="shared" si="29"/>
        <v>157.24634820399112</v>
      </c>
      <c r="D95" s="51" t="str">
        <f t="shared" si="30"/>
        <v>0.000241606733226458-0.0000209730198522677i</v>
      </c>
      <c r="E95" s="51" t="str">
        <f t="shared" si="31"/>
        <v>-0.254519586567639-0.188800829682434i</v>
      </c>
      <c r="F95" s="70" t="str">
        <f t="shared" si="32"/>
        <v>-0.0000654533694018102-0.0000402775073481437i</v>
      </c>
      <c r="G95" s="70" t="str">
        <f t="shared" si="33"/>
        <v>-0.0102923033160815-0.00633349094525502i</v>
      </c>
      <c r="H95" s="72">
        <f t="shared" si="34"/>
        <v>1.2084892018708713E-2</v>
      </c>
      <c r="I95" s="51" t="str">
        <f t="shared" si="35"/>
        <v>2.04230846210089-0.00691581887365453i</v>
      </c>
      <c r="J95" s="73" t="str">
        <f t="shared" si="36"/>
        <v>0.0111112962414223-0.104822876020732i</v>
      </c>
      <c r="K95" s="73" t="str">
        <f t="shared" si="37"/>
        <v>0.0219677583143916-0.214157490431151i</v>
      </c>
      <c r="L95" s="73" t="str">
        <f t="shared" si="38"/>
        <v>-0.00158246335825032+0.00206504125055648i</v>
      </c>
      <c r="M95" s="70">
        <f t="shared" si="39"/>
        <v>-51.695020713448486</v>
      </c>
      <c r="N95" s="70">
        <f t="shared" si="40"/>
        <v>307.46333476987201</v>
      </c>
      <c r="O95" s="70">
        <f t="shared" si="28"/>
        <v>-52.536665230127994</v>
      </c>
    </row>
    <row r="96" spans="1:18" ht="15" x14ac:dyDescent="0.2">
      <c r="A96" s="71">
        <f t="shared" si="41"/>
        <v>95</v>
      </c>
      <c r="B96" s="70">
        <f t="shared" si="42"/>
        <v>95000</v>
      </c>
      <c r="C96" s="70">
        <f t="shared" si="29"/>
        <v>157.24634820399112</v>
      </c>
      <c r="D96" s="51" t="str">
        <f t="shared" si="30"/>
        <v>0.000241606724012601-0.0000207522512224351i</v>
      </c>
      <c r="E96" s="51" t="str">
        <f t="shared" si="31"/>
        <v>-0.250429376037459-0.18230490975907i</v>
      </c>
      <c r="F96" s="70" t="str">
        <f t="shared" si="32"/>
        <v>-0.0000642886584273338-0.0000388491186932947i</v>
      </c>
      <c r="G96" s="70" t="str">
        <f t="shared" si="33"/>
        <v>-0.010109156768632-0.006108882045464i</v>
      </c>
      <c r="H96" s="72">
        <f t="shared" si="34"/>
        <v>1.1811582892151696E-2</v>
      </c>
      <c r="I96" s="51" t="str">
        <f t="shared" si="35"/>
        <v>2.04230846210088-0.00684302078024764i</v>
      </c>
      <c r="J96" s="73" t="str">
        <f t="shared" si="36"/>
        <v>0.0108811373250213-0.103743617517105i</v>
      </c>
      <c r="K96" s="73" t="str">
        <f t="shared" si="37"/>
        <v>0.0215127191056851-0.211950927792968i</v>
      </c>
      <c r="L96" s="73" t="str">
        <f t="shared" si="38"/>
        <v>-0.00151225866727281+0.00201122649282228i</v>
      </c>
      <c r="M96" s="70">
        <f t="shared" si="39"/>
        <v>-51.984619551303084</v>
      </c>
      <c r="N96" s="70">
        <f t="shared" si="40"/>
        <v>306.93982368446677</v>
      </c>
      <c r="O96" s="70">
        <f t="shared" si="28"/>
        <v>-53.060176315533226</v>
      </c>
    </row>
    <row r="97" spans="1:18" ht="15" x14ac:dyDescent="0.2">
      <c r="A97" s="71">
        <f t="shared" si="41"/>
        <v>96</v>
      </c>
      <c r="B97" s="70">
        <f t="shared" si="42"/>
        <v>96000</v>
      </c>
      <c r="C97" s="70">
        <f t="shared" si="29"/>
        <v>157.24634820399112</v>
      </c>
      <c r="D97" s="51" t="str">
        <f t="shared" si="30"/>
        <v>0.000241606715085175-0.0000205360819390515i</v>
      </c>
      <c r="E97" s="51" t="str">
        <f t="shared" si="31"/>
        <v>-0.246387625758944-0.176095980292277i</v>
      </c>
      <c r="F97" s="70" t="str">
        <f t="shared" si="32"/>
        <v>-0.0000631452263776737-0.0000374861348667667i</v>
      </c>
      <c r="G97" s="70" t="str">
        <f t="shared" si="33"/>
        <v>-0.00992935625440352-0.00589455781608137i</v>
      </c>
      <c r="H97" s="72">
        <f t="shared" si="34"/>
        <v>1.1547204314204727E-2</v>
      </c>
      <c r="I97" s="51" t="str">
        <f t="shared" si="35"/>
        <v>2.04230846210088-0.00677173931378672i</v>
      </c>
      <c r="J97" s="73" t="str">
        <f t="shared" si="36"/>
        <v>0.0106580311322577-0.102686111546993i</v>
      </c>
      <c r="K97" s="73" t="str">
        <f t="shared" si="37"/>
        <v>0.0210716235922019-0.209788887961085i</v>
      </c>
      <c r="L97" s="73" t="str">
        <f t="shared" si="38"/>
        <v>-0.0014458403867637+0.00195886070323782i</v>
      </c>
      <c r="M97" s="70">
        <f t="shared" si="39"/>
        <v>-52.271218668455113</v>
      </c>
      <c r="N97" s="70">
        <f t="shared" si="40"/>
        <v>306.43113512184698</v>
      </c>
      <c r="O97" s="70">
        <f t="shared" si="28"/>
        <v>-53.568864878153022</v>
      </c>
    </row>
    <row r="98" spans="1:18" ht="15" x14ac:dyDescent="0.2">
      <c r="A98" s="71">
        <f t="shared" si="41"/>
        <v>97</v>
      </c>
      <c r="B98" s="70">
        <f t="shared" si="42"/>
        <v>97000</v>
      </c>
      <c r="C98" s="70">
        <f t="shared" si="29"/>
        <v>157.24634820399112</v>
      </c>
      <c r="D98" s="51" t="str">
        <f t="shared" si="30"/>
        <v>0.000241606706432428-0.0000203243697542887i</v>
      </c>
      <c r="E98" s="51" t="str">
        <f t="shared" si="31"/>
        <v>-0.242397983147737-0.170159244212842i</v>
      </c>
      <c r="F98" s="70" t="str">
        <f>IMPRODUCT(D98,E98)</f>
        <v>-0.00006202335775068-0.0000361850283261075i</v>
      </c>
      <c r="G98" s="70" t="str">
        <f>IMPRODUCT(C98,F98)</f>
        <v>-0.00975294650964414-0.00568996356393838i</v>
      </c>
      <c r="H98" s="72">
        <f>IMABS(G98)</f>
        <v>1.1291397211103954E-2</v>
      </c>
      <c r="I98" s="51" t="str">
        <f t="shared" si="35"/>
        <v>2.04230846210089-0.00670192756828377i</v>
      </c>
      <c r="J98" s="73" t="str">
        <f t="shared" si="36"/>
        <v>0.0104416934295207-0.101649714548761i</v>
      </c>
      <c r="K98" s="73" t="str">
        <f>IMPRODUCT(I98,J98)</f>
        <v>0.0206439098255309-0.207670051666129i</v>
      </c>
      <c r="L98" s="73" t="str">
        <f>IMPRODUCT(G98,K98)</f>
        <v>-0.00138297397557979+0.00190793181083029i</v>
      </c>
      <c r="M98" s="70">
        <f>20*LOG(IMABS(L98))</f>
        <v>-52.554863408718774</v>
      </c>
      <c r="N98" s="70">
        <f t="shared" si="40"/>
        <v>305.9366671696161</v>
      </c>
      <c r="O98" s="70">
        <f t="shared" si="28"/>
        <v>-54.063332830383899</v>
      </c>
    </row>
    <row r="99" spans="1:18" ht="15" x14ac:dyDescent="0.2">
      <c r="A99" s="71">
        <f t="shared" si="41"/>
        <v>98</v>
      </c>
      <c r="B99" s="70">
        <f t="shared" si="42"/>
        <v>98000</v>
      </c>
      <c r="C99" s="70">
        <f t="shared" si="29"/>
        <v>157.24634820399112</v>
      </c>
      <c r="D99" s="51" t="str">
        <f t="shared" si="30"/>
        <v>0.000241606698043208-0.0000201169782263525i</v>
      </c>
      <c r="E99" s="51" t="str">
        <f t="shared" si="31"/>
        <v>-0.238463470296582-0.164480715716955i</v>
      </c>
      <c r="F99" s="70" t="str">
        <f>IMPRODUCT(D99,E99)</f>
        <v>-0.0000609232266390146-0.0000349424781764203i</v>
      </c>
      <c r="G99" s="70" t="str">
        <f>IMPRODUCT(C99,F99)</f>
        <v>-0.00957995490978916-0.00549457709043975i</v>
      </c>
      <c r="H99" s="72">
        <f>IMABS(G99)</f>
        <v>1.1043817884969798E-2</v>
      </c>
      <c r="I99" s="51" t="str">
        <f t="shared" si="35"/>
        <v>2.04230846210089-0.00663354055228087i</v>
      </c>
      <c r="J99" s="73" t="str">
        <f t="shared" si="36"/>
        <v>0.0102318541092989-0.100633807792336i</v>
      </c>
      <c r="K99" s="73" t="str">
        <f>IMPRODUCT(I99,J99)</f>
        <v>0.020229043785482-0.205593150646881i</v>
      </c>
      <c r="L99" s="73" t="str">
        <f>IMPRODUCT(G99,K99)</f>
        <v>-0.00132344074282875+0.0018584230724134i</v>
      </c>
      <c r="M99" s="70">
        <f>20*LOG(IMABS(L99))</f>
        <v>-52.835599326897764</v>
      </c>
      <c r="N99" s="70">
        <f t="shared" si="40"/>
        <v>305.45584780191535</v>
      </c>
      <c r="O99" s="70">
        <f t="shared" si="28"/>
        <v>-54.544152198084646</v>
      </c>
    </row>
    <row r="100" spans="1:18" ht="15" x14ac:dyDescent="0.2">
      <c r="A100" s="71">
        <f t="shared" si="41"/>
        <v>99</v>
      </c>
      <c r="B100" s="70">
        <f>(fs*1000/2)*(A100/100)</f>
        <v>99000</v>
      </c>
      <c r="C100" s="70">
        <f t="shared" si="29"/>
        <v>157.24634820399112</v>
      </c>
      <c r="D100" s="51" t="str">
        <f t="shared" si="30"/>
        <v>0.000241606689906921-0.0000199137764262484i</v>
      </c>
      <c r="E100" s="51" t="str">
        <f t="shared" si="31"/>
        <v>-0.234586557851577-0.159047180025381i</v>
      </c>
      <c r="F100" s="70" t="str">
        <f>IMPRODUCT(D100,E100)</f>
        <v>-0.0000598449117234287-0.000033755358439303i</v>
      </c>
      <c r="G100" s="70" t="str">
        <f>IMPRODUCT(C100,F100)</f>
        <v>-0.00941039382709938-0.00530790684689717i</v>
      </c>
      <c r="H100" s="72">
        <f>IMABS(G100)</f>
        <v>1.0804137498035092E-2</v>
      </c>
      <c r="I100" s="51" t="str">
        <f t="shared" si="35"/>
        <v>2.04230846210089-0.00656653509215683i</v>
      </c>
      <c r="J100" s="73" t="str">
        <f t="shared" si="36"/>
        <v>0.0100282563589374-0.099637796208752i</v>
      </c>
      <c r="K100" s="73" t="str">
        <f>IMPRODUCT(I100,J100)</f>
        <v>0.019826517736665-0.203556965239512i</v>
      </c>
      <c r="L100" s="73" t="str">
        <f>IMPRODUCT(G100,K100)</f>
        <v>-0.0012670367496504+0.00181031389990841i</v>
      </c>
      <c r="M100" s="70">
        <f>20*LOG(IMABS(L100))</f>
        <v>-53.11347204025887</v>
      </c>
      <c r="N100" s="70">
        <f t="shared" si="40"/>
        <v>304.98813326245534</v>
      </c>
      <c r="O100" s="70">
        <f t="shared" si="28"/>
        <v>-55.011866737544665</v>
      </c>
    </row>
    <row r="101" spans="1:18" ht="15" x14ac:dyDescent="0.2">
      <c r="A101" s="71">
        <f>1+A100</f>
        <v>100</v>
      </c>
      <c r="B101" s="70">
        <f>(fs*1000/2)*(A101/100)</f>
        <v>100000</v>
      </c>
      <c r="C101" s="70">
        <f t="shared" si="29"/>
        <v>157.24634820399112</v>
      </c>
      <c r="D101" s="51" t="str">
        <f t="shared" si="30"/>
        <v>0.0002416066820135-0.0000197146386621416i</v>
      </c>
      <c r="E101" s="51" t="str">
        <f t="shared" si="31"/>
        <v>-0.230769230769231-0.153846153846154i</v>
      </c>
      <c r="F101" s="70" t="str">
        <f>IMPRODUCT(D101,E101)</f>
        <v>-0.0000587884094895988-0.000032620726772352i</v>
      </c>
      <c r="G101" s="70" t="str">
        <f>IMPRODUCT(C101,F101)</f>
        <v>-0.00924426270896027-0.00512949016071252i</v>
      </c>
      <c r="H101" s="72">
        <f>IMABS(G101)</f>
        <v>1.0572041540834015E-2</v>
      </c>
      <c r="I101" s="51" t="str">
        <f t="shared" si="35"/>
        <v>2.04230846210088-0.00650086974123526i</v>
      </c>
      <c r="J101" s="73" t="str">
        <f t="shared" si="36"/>
        <v>0.00983065588570874-0.098661107284307i</v>
      </c>
      <c r="K101" s="73" t="str">
        <f>IMPRODUCT(I101,J101)</f>
        <v>0.0194358486964035-0.201560322100367i</v>
      </c>
      <c r="L101" s="73" t="str">
        <f>IMPRODUCT(G101,K101)</f>
        <v>-0.00121357178032504+0.00176358057454514i</v>
      </c>
      <c r="M101" s="70">
        <f>20*LOG(IMABS(L101))</f>
        <v>-53.388527099696631</v>
      </c>
      <c r="N101" s="70">
        <f t="shared" si="40"/>
        <v>304.53300652875419</v>
      </c>
      <c r="O101" s="70">
        <f t="shared" si="28"/>
        <v>-55.466993471245814</v>
      </c>
      <c r="P101" s="70">
        <v>-32.747</v>
      </c>
      <c r="Q101" s="70">
        <v>307.64999999999998</v>
      </c>
      <c r="R101" s="70">
        <f>B101</f>
        <v>100000</v>
      </c>
    </row>
  </sheetData>
  <phoneticPr fontId="21" type="noConversion"/>
  <pageMargins left="0.75" right="0.75" top="1" bottom="1" header="0.5" footer="0.5"/>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45"/>
  <sheetViews>
    <sheetView workbookViewId="0">
      <selection activeCell="C34" sqref="C34"/>
    </sheetView>
  </sheetViews>
  <sheetFormatPr defaultRowHeight="12.75" x14ac:dyDescent="0.2"/>
  <cols>
    <col min="1" max="1" width="9.140625" style="2"/>
    <col min="2" max="2" width="19.28515625" style="2" bestFit="1" customWidth="1"/>
    <col min="3" max="3" width="12.42578125" style="2" bestFit="1" customWidth="1"/>
    <col min="4" max="4" width="7.7109375" style="2" customWidth="1"/>
    <col min="5" max="8" width="8.7109375" style="3" customWidth="1"/>
    <col min="9" max="9" width="8.7109375" style="5" customWidth="1"/>
    <col min="10" max="11" width="9.140625" style="35"/>
    <col min="12" max="12" width="4.7109375" style="35" bestFit="1" customWidth="1"/>
    <col min="13" max="13" width="10.28515625" style="3" customWidth="1"/>
    <col min="14" max="14" width="9.140625" style="3"/>
    <col min="15" max="16384" width="9.140625" style="47"/>
  </cols>
  <sheetData>
    <row r="1" spans="1:14" ht="18.75" thickBot="1" x14ac:dyDescent="0.3">
      <c r="A1" s="45"/>
      <c r="B1" s="3"/>
      <c r="C1" s="3"/>
      <c r="D1" s="3"/>
      <c r="E1" s="4" t="s">
        <v>138</v>
      </c>
      <c r="J1" s="4" t="s">
        <v>139</v>
      </c>
      <c r="K1" s="6"/>
      <c r="L1" s="6"/>
      <c r="N1" s="6"/>
    </row>
    <row r="2" spans="1:14" ht="13.5" thickBot="1" x14ac:dyDescent="0.25">
      <c r="A2" s="3"/>
      <c r="B2" s="7" t="s">
        <v>140</v>
      </c>
      <c r="C2" s="8">
        <v>127</v>
      </c>
      <c r="D2" s="3"/>
      <c r="E2" s="111" t="s">
        <v>141</v>
      </c>
      <c r="F2" s="112"/>
      <c r="G2" s="113" t="s">
        <v>142</v>
      </c>
      <c r="H2" s="114"/>
      <c r="J2" s="9" t="s">
        <v>143</v>
      </c>
      <c r="K2" s="10">
        <v>1000</v>
      </c>
      <c r="L2" s="11" t="s">
        <v>62</v>
      </c>
      <c r="N2" s="20"/>
    </row>
    <row r="3" spans="1:14" ht="13.5" thickBot="1" x14ac:dyDescent="0.25">
      <c r="B3" s="3"/>
      <c r="C3" s="2" t="s">
        <v>19</v>
      </c>
      <c r="E3" s="12">
        <v>100</v>
      </c>
      <c r="F3" s="13">
        <v>150</v>
      </c>
      <c r="G3" s="14">
        <v>100</v>
      </c>
      <c r="H3" s="15">
        <v>102</v>
      </c>
      <c r="J3" s="9"/>
      <c r="K3" s="16">
        <f>IF(K2&lt;10000,sta*10^INT(LOG(K2)),stb*10^INT(LOG(K2)))</f>
        <v>1000</v>
      </c>
      <c r="L3" s="17" t="s">
        <v>62</v>
      </c>
      <c r="N3" s="24"/>
    </row>
    <row r="4" spans="1:14" ht="13.5" thickBot="1" x14ac:dyDescent="0.25">
      <c r="B4" s="18" t="s">
        <v>144</v>
      </c>
      <c r="C4" s="67">
        <f>(IF((10^(LOG(C2)-INT(LOG(C2)))*100)-VLOOKUP((10^(LOG(C2)-INT(LOG(C2)))*100),E6_s:E6_f,1)&lt;VLOOKUP((10^(LOG(C2)-INT(LOG(C2)))*100),E6_s:E6_f,2)-(10^(LOG(C2)-INT(LOG(C2)))*100),VLOOKUP((10^(LOG(C2)-INT(LOG(C2)))*100),E6_s:E6_f,1),VLOOKUP((10^(LOG(C2)-INT(LOG(C2)))*100),E6_s:E6_f,2)))*10^INT(LOG(C2))/100</f>
        <v>150</v>
      </c>
      <c r="E4" s="13">
        <v>150</v>
      </c>
      <c r="F4" s="12">
        <v>220</v>
      </c>
      <c r="G4" s="15">
        <v>102</v>
      </c>
      <c r="H4" s="14">
        <v>105</v>
      </c>
      <c r="J4" s="19"/>
      <c r="K4" s="20"/>
      <c r="L4" s="21"/>
      <c r="N4" s="24"/>
    </row>
    <row r="5" spans="1:14" ht="13.5" thickBot="1" x14ac:dyDescent="0.25">
      <c r="B5" s="22" t="s">
        <v>145</v>
      </c>
      <c r="C5" s="66">
        <f>(IF((10^(LOG(C2)-INT(LOG(C2)))*100)-VLOOKUP((10^(LOG(C2)-INT(LOG(C2)))*100),E12_s:E12_f,1)&lt;VLOOKUP((10^(LOG(C2)-INT(LOG(C2)))*100),E12_s:E12_f,2)-(10^(LOG(C2)-INT(LOG(C2)))*100),VLOOKUP((10^(LOG(C2)-INT(LOG(C2)))*100),E12_s:E12_f,1),VLOOKUP((10^(LOG(C2)-INT(LOG(C2)))*100),E12_s:E12_f,2)))*10^INT(LOG(C2))/100</f>
        <v>120</v>
      </c>
      <c r="E5" s="12">
        <v>220</v>
      </c>
      <c r="F5" s="13">
        <v>330</v>
      </c>
      <c r="G5" s="14">
        <v>105</v>
      </c>
      <c r="H5" s="15">
        <v>107</v>
      </c>
      <c r="J5" s="23" t="s">
        <v>146</v>
      </c>
      <c r="K5" s="24"/>
      <c r="L5" s="3"/>
      <c r="N5" s="24"/>
    </row>
    <row r="6" spans="1:14" ht="13.5" thickBot="1" x14ac:dyDescent="0.25">
      <c r="B6" s="22" t="s">
        <v>147</v>
      </c>
      <c r="C6" s="66">
        <f>(IF((10^(LOG(C2)-INT(LOG(C2)))*100)-VLOOKUP((10^(LOG(C2)-INT(LOG(C2)))*100),E24_s:E24_f,1)&lt;VLOOKUP((10^(LOG(C2)-INT(LOG(C2)))*100),E24_s:E24_f,2)-(10^(LOG(C2)-INT(LOG(C2)))*100),VLOOKUP((10^(LOG(C2)-INT(LOG(C2)))*100),E24_s:E24_f,1),VLOOKUP((10^(LOG(C2)-INT(LOG(C2)))*100),E24_s:E24_f,2)))*10^INT(LOG(C2))/100</f>
        <v>130</v>
      </c>
      <c r="E6" s="13">
        <v>330</v>
      </c>
      <c r="F6" s="12">
        <v>470</v>
      </c>
      <c r="G6" s="15">
        <v>107</v>
      </c>
      <c r="H6" s="14">
        <v>110</v>
      </c>
      <c r="J6" s="24">
        <v>1</v>
      </c>
      <c r="K6" s="24">
        <v>1.2</v>
      </c>
      <c r="L6" s="25">
        <f>IF((10^(LOG(K2)-INT(LOG(K2))))-VLOOKUP((10^(LOG(K2)-INT(LOG(K2)))),c_s1:C_f1,1)&lt;VLOOKUP((10^(LOG(K2)-INT(LOG(K2)))),c_s1:C_f1,2)-(10^(LOG(K2)-INT(LOG(K2)))),VLOOKUP((10^(LOG(K2)-INT(LOG(K2)))),c_s1:C_f1,1),VLOOKUP((10^(LOG(K2)-INT(LOG(K2)))),c_s1:C_f1,2))</f>
        <v>1</v>
      </c>
      <c r="N6" s="24"/>
    </row>
    <row r="7" spans="1:14" ht="13.5" thickBot="1" x14ac:dyDescent="0.25">
      <c r="B7" s="22" t="s">
        <v>148</v>
      </c>
      <c r="C7" s="66">
        <f>(IF((10^(LOG(C2)-INT(LOG(C2)))*100)-VLOOKUP((10^(LOG(C2)-INT(LOG(C2)))*100),E48_s:E48_f,1)&lt;VLOOKUP((10^(LOG(C2)-INT(LOG(C2)))*100),E48_s:E48_f,2)-(10^(LOG(C2)-INT(LOG(C2)))*100),VLOOKUP((10^(LOG(C2)-INT(LOG(C2)))*100),E48_s:E48_f,1),VLOOKUP((10^(LOG(C2)-INT(LOG(C2)))*100),E48_s:E48_f,2)))*10^INT(LOG(C2))/100</f>
        <v>127</v>
      </c>
      <c r="E7" s="12">
        <v>470</v>
      </c>
      <c r="F7" s="13">
        <v>680</v>
      </c>
      <c r="G7" s="14">
        <v>110</v>
      </c>
      <c r="H7" s="15">
        <v>113</v>
      </c>
      <c r="J7" s="24">
        <v>1.2</v>
      </c>
      <c r="K7" s="24">
        <v>1.5</v>
      </c>
      <c r="L7" s="26"/>
      <c r="N7" s="24"/>
    </row>
    <row r="8" spans="1:14" ht="13.5" thickBot="1" x14ac:dyDescent="0.25">
      <c r="B8" s="27" t="s">
        <v>149</v>
      </c>
      <c r="C8" s="68">
        <f>(IF((10^(LOG(C2)-INT(LOG(C2)))*100)-VLOOKUP((10^(LOG(C2)-INT(LOG(C2)))*100),E96_s:E96_f,1)&lt;VLOOKUP((10^(LOG(C2)-INT(LOG(C2)))*100),E96_s:E96_f,2)-(10^(LOG(C2)-INT(LOG(C2)))*100),VLOOKUP((10^(LOG(C2)-INT(LOG(C2)))*100),E96_s:E96_f,1),VLOOKUP((10^(LOG(C2)-INT(LOG(C2)))*100),E96_s:E96_f,2)))*10^INT(LOG(C2))/100</f>
        <v>127</v>
      </c>
      <c r="D8" s="3"/>
      <c r="E8" s="13">
        <v>680</v>
      </c>
      <c r="F8" s="13">
        <v>1000</v>
      </c>
      <c r="G8" s="15">
        <v>113</v>
      </c>
      <c r="H8" s="14">
        <v>115</v>
      </c>
      <c r="J8" s="24">
        <v>1.5</v>
      </c>
      <c r="K8" s="24">
        <v>1.8</v>
      </c>
      <c r="L8" s="26"/>
      <c r="N8" s="24"/>
    </row>
    <row r="9" spans="1:14" ht="13.5" thickBot="1" x14ac:dyDescent="0.25">
      <c r="E9" s="115" t="s">
        <v>150</v>
      </c>
      <c r="F9" s="116"/>
      <c r="G9" s="14">
        <v>115</v>
      </c>
      <c r="H9" s="15">
        <v>118</v>
      </c>
      <c r="J9" s="24">
        <v>1.8</v>
      </c>
      <c r="K9" s="24">
        <v>2.2000000000000002</v>
      </c>
      <c r="L9" s="29"/>
      <c r="N9" s="24"/>
    </row>
    <row r="10" spans="1:14" ht="13.5" thickBot="1" x14ac:dyDescent="0.25">
      <c r="E10" s="30">
        <v>100</v>
      </c>
      <c r="F10" s="31">
        <v>120</v>
      </c>
      <c r="G10" s="15">
        <v>118</v>
      </c>
      <c r="H10" s="14">
        <v>121</v>
      </c>
      <c r="J10" s="24">
        <v>2.2000000000000002</v>
      </c>
      <c r="K10" s="24">
        <v>2.7</v>
      </c>
      <c r="L10" s="3"/>
      <c r="N10" s="24"/>
    </row>
    <row r="11" spans="1:14" ht="13.5" thickBot="1" x14ac:dyDescent="0.25">
      <c r="E11" s="31">
        <v>120</v>
      </c>
      <c r="F11" s="31">
        <v>150</v>
      </c>
      <c r="G11" s="14">
        <v>121</v>
      </c>
      <c r="H11" s="15">
        <v>124</v>
      </c>
      <c r="J11" s="24">
        <v>2.7</v>
      </c>
      <c r="K11" s="24">
        <v>3.3</v>
      </c>
      <c r="L11" s="3"/>
      <c r="N11" s="24"/>
    </row>
    <row r="12" spans="1:14" ht="13.5" thickBot="1" x14ac:dyDescent="0.25">
      <c r="C12" s="34"/>
      <c r="E12" s="31">
        <v>150</v>
      </c>
      <c r="F12" s="31">
        <v>180</v>
      </c>
      <c r="G12" s="15">
        <v>124</v>
      </c>
      <c r="H12" s="14">
        <v>127</v>
      </c>
      <c r="J12" s="24">
        <v>3.3</v>
      </c>
      <c r="K12" s="24">
        <v>3.9</v>
      </c>
      <c r="L12" s="3"/>
      <c r="N12" s="24"/>
    </row>
    <row r="13" spans="1:14" ht="13.5" thickBot="1" x14ac:dyDescent="0.25">
      <c r="E13" s="31">
        <v>180</v>
      </c>
      <c r="F13" s="30">
        <v>220</v>
      </c>
      <c r="G13" s="14">
        <v>127</v>
      </c>
      <c r="H13" s="15">
        <v>130</v>
      </c>
      <c r="J13" s="24">
        <v>3.9</v>
      </c>
      <c r="K13" s="24">
        <v>4.7</v>
      </c>
      <c r="L13" s="3"/>
      <c r="N13" s="24"/>
    </row>
    <row r="14" spans="1:14" ht="13.5" thickBot="1" x14ac:dyDescent="0.25">
      <c r="D14" s="32"/>
      <c r="E14" s="30">
        <v>220</v>
      </c>
      <c r="F14" s="31">
        <v>270</v>
      </c>
      <c r="G14" s="15">
        <v>130</v>
      </c>
      <c r="H14" s="14">
        <v>133</v>
      </c>
      <c r="J14" s="24">
        <v>4.7</v>
      </c>
      <c r="K14" s="24">
        <v>5.6</v>
      </c>
      <c r="L14" s="3"/>
      <c r="N14" s="24"/>
    </row>
    <row r="15" spans="1:14" ht="13.5" thickBot="1" x14ac:dyDescent="0.25">
      <c r="A15" s="46"/>
      <c r="B15" s="33"/>
      <c r="D15" s="34"/>
      <c r="E15" s="31">
        <v>270</v>
      </c>
      <c r="F15" s="31">
        <v>330</v>
      </c>
      <c r="G15" s="14">
        <v>133</v>
      </c>
      <c r="H15" s="15">
        <v>137</v>
      </c>
      <c r="J15" s="24">
        <v>5.6</v>
      </c>
      <c r="K15" s="24">
        <v>6.8</v>
      </c>
      <c r="L15" s="3"/>
      <c r="N15" s="24"/>
    </row>
    <row r="16" spans="1:14" ht="13.5" thickBot="1" x14ac:dyDescent="0.25">
      <c r="A16" s="46"/>
      <c r="B16" s="33"/>
      <c r="D16" s="34"/>
      <c r="E16" s="31">
        <v>330</v>
      </c>
      <c r="F16" s="31">
        <v>390</v>
      </c>
      <c r="G16" s="15">
        <v>137</v>
      </c>
      <c r="H16" s="14">
        <v>140</v>
      </c>
      <c r="J16" s="24">
        <v>6.8</v>
      </c>
      <c r="K16" s="24">
        <v>8.1999999999999993</v>
      </c>
      <c r="L16" s="3"/>
      <c r="N16" s="24"/>
    </row>
    <row r="17" spans="1:14" ht="13.5" thickBot="1" x14ac:dyDescent="0.25">
      <c r="A17" s="46"/>
      <c r="B17" s="33"/>
      <c r="D17" s="34"/>
      <c r="E17" s="31">
        <v>390</v>
      </c>
      <c r="F17" s="30">
        <v>470</v>
      </c>
      <c r="G17" s="14">
        <v>140</v>
      </c>
      <c r="H17" s="15">
        <v>143</v>
      </c>
      <c r="J17" s="24">
        <v>8.1999999999999993</v>
      </c>
      <c r="K17" s="24">
        <v>10</v>
      </c>
      <c r="L17" s="3"/>
      <c r="N17" s="24"/>
    </row>
    <row r="18" spans="1:14" ht="13.5" thickBot="1" x14ac:dyDescent="0.25">
      <c r="A18" s="46"/>
      <c r="B18" s="33"/>
      <c r="D18" s="34"/>
      <c r="E18" s="30">
        <v>470</v>
      </c>
      <c r="F18" s="31">
        <v>560</v>
      </c>
      <c r="G18" s="15">
        <v>143</v>
      </c>
      <c r="H18" s="14">
        <v>147</v>
      </c>
      <c r="J18" s="23" t="s">
        <v>151</v>
      </c>
      <c r="K18" s="24"/>
      <c r="L18" s="24"/>
      <c r="N18" s="24"/>
    </row>
    <row r="19" spans="1:14" ht="13.5" thickBot="1" x14ac:dyDescent="0.25">
      <c r="A19" s="46"/>
      <c r="B19" s="33"/>
      <c r="D19" s="34"/>
      <c r="E19" s="31">
        <v>560</v>
      </c>
      <c r="F19" s="31">
        <v>680</v>
      </c>
      <c r="G19" s="14">
        <v>147</v>
      </c>
      <c r="H19" s="15">
        <v>150</v>
      </c>
      <c r="J19" s="24">
        <v>1</v>
      </c>
      <c r="K19" s="24">
        <v>1.5</v>
      </c>
      <c r="L19" s="25">
        <f>IF((10^(LOG(K2)-INT(LOG(K2))))-VLOOKUP((10^(LOG(K2)-INT(LOG(K2)))),C_s2:C_f2,1)&lt;VLOOKUP((10^(LOG(K2)-INT(LOG(K2)))),C_s2:C_f2,2)-(10^(LOG(K2)-INT(LOG(K2)))),VLOOKUP((10^(LOG(K2)-INT(LOG(K2)))),C_s2:C_f2,1),VLOOKUP((10^(LOG(K2)-INT(LOG(K2)))),C_s2:C_f2,2))</f>
        <v>1</v>
      </c>
      <c r="N19" s="24"/>
    </row>
    <row r="20" spans="1:14" ht="13.5" thickBot="1" x14ac:dyDescent="0.25">
      <c r="A20" s="46"/>
      <c r="B20" s="33"/>
      <c r="D20" s="34"/>
      <c r="E20" s="28">
        <v>680</v>
      </c>
      <c r="F20" s="31">
        <v>820</v>
      </c>
      <c r="G20" s="15">
        <v>150</v>
      </c>
      <c r="H20" s="14">
        <v>154</v>
      </c>
      <c r="J20" s="24">
        <v>1.5</v>
      </c>
      <c r="K20" s="24">
        <v>2.2000000000000002</v>
      </c>
      <c r="N20" s="24"/>
    </row>
    <row r="21" spans="1:14" ht="13.5" thickBot="1" x14ac:dyDescent="0.25">
      <c r="A21" s="46"/>
      <c r="B21" s="33"/>
      <c r="D21" s="34"/>
      <c r="E21" s="28">
        <v>820</v>
      </c>
      <c r="F21" s="31">
        <v>1000</v>
      </c>
      <c r="G21" s="14">
        <v>154</v>
      </c>
      <c r="H21" s="15">
        <v>158</v>
      </c>
      <c r="J21" s="24">
        <v>2.2000000000000002</v>
      </c>
      <c r="K21" s="24">
        <v>3.3</v>
      </c>
      <c r="L21" s="25"/>
      <c r="N21" s="24"/>
    </row>
    <row r="22" spans="1:14" ht="13.5" thickBot="1" x14ac:dyDescent="0.25">
      <c r="A22" s="46"/>
      <c r="B22" s="33"/>
      <c r="D22" s="34"/>
      <c r="E22" s="117" t="s">
        <v>152</v>
      </c>
      <c r="F22" s="118"/>
      <c r="G22" s="15">
        <v>158</v>
      </c>
      <c r="H22" s="14">
        <v>162</v>
      </c>
      <c r="J22" s="24">
        <v>3.3</v>
      </c>
      <c r="K22" s="24">
        <v>4.7</v>
      </c>
      <c r="L22" s="25"/>
      <c r="N22" s="24"/>
    </row>
    <row r="23" spans="1:14" ht="13.5" thickBot="1" x14ac:dyDescent="0.25">
      <c r="A23" s="46"/>
      <c r="B23" s="33"/>
      <c r="D23" s="34"/>
      <c r="E23" s="36">
        <v>100</v>
      </c>
      <c r="F23" s="37">
        <v>110</v>
      </c>
      <c r="G23" s="14">
        <v>162</v>
      </c>
      <c r="H23" s="15">
        <v>165</v>
      </c>
      <c r="J23" s="24">
        <v>4.7</v>
      </c>
      <c r="K23" s="24">
        <v>6.8</v>
      </c>
      <c r="L23" s="3"/>
    </row>
    <row r="24" spans="1:14" ht="13.5" thickBot="1" x14ac:dyDescent="0.25">
      <c r="A24" s="46"/>
      <c r="B24" s="33"/>
      <c r="D24" s="34"/>
      <c r="E24" s="37">
        <v>110</v>
      </c>
      <c r="F24" s="37">
        <v>120</v>
      </c>
      <c r="G24" s="15">
        <v>165</v>
      </c>
      <c r="H24" s="14">
        <v>169</v>
      </c>
      <c r="J24" s="24">
        <v>6.8</v>
      </c>
      <c r="K24" s="24">
        <v>10</v>
      </c>
      <c r="L24" s="3"/>
    </row>
    <row r="25" spans="1:14" ht="13.5" thickBot="1" x14ac:dyDescent="0.25">
      <c r="A25" s="46"/>
      <c r="B25" s="33"/>
      <c r="D25" s="34"/>
      <c r="E25" s="37">
        <v>120</v>
      </c>
      <c r="F25" s="37">
        <v>130</v>
      </c>
      <c r="G25" s="14">
        <v>169</v>
      </c>
      <c r="H25" s="15">
        <v>174</v>
      </c>
      <c r="J25" s="38"/>
      <c r="K25" s="38"/>
      <c r="L25" s="38"/>
    </row>
    <row r="26" spans="1:14" ht="13.5" thickBot="1" x14ac:dyDescent="0.25">
      <c r="A26" s="46"/>
      <c r="B26" s="33"/>
      <c r="D26" s="34"/>
      <c r="E26" s="37">
        <v>130</v>
      </c>
      <c r="F26" s="37">
        <v>150</v>
      </c>
      <c r="G26" s="15">
        <v>174</v>
      </c>
      <c r="H26" s="14">
        <v>178</v>
      </c>
      <c r="J26" s="38"/>
      <c r="K26" s="38"/>
      <c r="L26" s="38"/>
    </row>
    <row r="27" spans="1:14" ht="13.5" thickBot="1" x14ac:dyDescent="0.25">
      <c r="A27" s="46"/>
      <c r="B27" s="33"/>
      <c r="D27" s="34"/>
      <c r="E27" s="37">
        <v>150</v>
      </c>
      <c r="F27" s="37">
        <v>160</v>
      </c>
      <c r="G27" s="14">
        <v>178</v>
      </c>
      <c r="H27" s="15">
        <v>182</v>
      </c>
      <c r="I27" s="39"/>
      <c r="J27" s="38"/>
      <c r="K27" s="38"/>
      <c r="L27" s="38"/>
    </row>
    <row r="28" spans="1:14" ht="13.5" thickBot="1" x14ac:dyDescent="0.25">
      <c r="A28" s="46"/>
      <c r="B28" s="33"/>
      <c r="D28" s="34"/>
      <c r="E28" s="37">
        <v>160</v>
      </c>
      <c r="F28" s="37">
        <v>180</v>
      </c>
      <c r="G28" s="15">
        <v>182</v>
      </c>
      <c r="H28" s="14">
        <v>187</v>
      </c>
      <c r="I28" s="39"/>
      <c r="J28" s="38"/>
      <c r="K28" s="38"/>
      <c r="L28" s="38"/>
    </row>
    <row r="29" spans="1:14" ht="13.5" thickBot="1" x14ac:dyDescent="0.25">
      <c r="A29" s="46"/>
      <c r="B29" s="33"/>
      <c r="D29" s="34"/>
      <c r="E29" s="37">
        <v>180</v>
      </c>
      <c r="F29" s="40">
        <v>200</v>
      </c>
      <c r="G29" s="14">
        <v>187</v>
      </c>
      <c r="H29" s="15">
        <v>191</v>
      </c>
      <c r="I29" s="39"/>
      <c r="J29" s="38"/>
      <c r="K29" s="38"/>
      <c r="L29" s="38"/>
    </row>
    <row r="30" spans="1:14" ht="13.5" thickBot="1" x14ac:dyDescent="0.25">
      <c r="A30" s="46"/>
      <c r="B30" s="33"/>
      <c r="D30" s="34"/>
      <c r="E30" s="40">
        <v>200</v>
      </c>
      <c r="F30" s="36">
        <v>220</v>
      </c>
      <c r="G30" s="15">
        <v>191</v>
      </c>
      <c r="H30" s="14">
        <v>196</v>
      </c>
      <c r="I30" s="39"/>
      <c r="J30" s="38"/>
      <c r="K30" s="38"/>
      <c r="L30" s="38"/>
    </row>
    <row r="31" spans="1:14" ht="13.5" thickBot="1" x14ac:dyDescent="0.25">
      <c r="A31" s="46"/>
      <c r="B31" s="33"/>
      <c r="D31" s="34"/>
      <c r="E31" s="36">
        <v>220</v>
      </c>
      <c r="F31" s="37">
        <v>240</v>
      </c>
      <c r="G31" s="14">
        <v>196</v>
      </c>
      <c r="H31" s="15">
        <v>200</v>
      </c>
      <c r="I31" s="39"/>
      <c r="J31" s="38"/>
      <c r="K31" s="38"/>
      <c r="L31" s="38"/>
      <c r="N31" s="42"/>
    </row>
    <row r="32" spans="1:14" ht="13.5" thickBot="1" x14ac:dyDescent="0.25">
      <c r="A32" s="46"/>
      <c r="B32" s="33"/>
      <c r="D32" s="34"/>
      <c r="E32" s="37">
        <v>240</v>
      </c>
      <c r="F32" s="37">
        <v>270</v>
      </c>
      <c r="G32" s="15">
        <v>200</v>
      </c>
      <c r="H32" s="14">
        <v>205</v>
      </c>
      <c r="I32" s="39"/>
      <c r="J32" s="38"/>
      <c r="K32" s="38"/>
      <c r="L32" s="38"/>
      <c r="N32" s="42"/>
    </row>
    <row r="33" spans="1:14" s="42" customFormat="1" ht="13.5" thickBot="1" x14ac:dyDescent="0.25">
      <c r="A33" s="46"/>
      <c r="B33" s="33"/>
      <c r="C33" s="2"/>
      <c r="D33" s="34"/>
      <c r="E33" s="37">
        <v>270</v>
      </c>
      <c r="F33" s="37">
        <v>300</v>
      </c>
      <c r="G33" s="14">
        <v>205</v>
      </c>
      <c r="H33" s="15">
        <v>210</v>
      </c>
      <c r="I33" s="41"/>
      <c r="J33" s="38"/>
      <c r="K33" s="38"/>
      <c r="L33" s="38"/>
    </row>
    <row r="34" spans="1:14" s="42" customFormat="1" ht="13.5" thickBot="1" x14ac:dyDescent="0.25">
      <c r="E34" s="37">
        <v>300</v>
      </c>
      <c r="F34" s="37">
        <v>330</v>
      </c>
      <c r="G34" s="15">
        <v>210</v>
      </c>
      <c r="H34" s="14">
        <v>215</v>
      </c>
      <c r="I34" s="5"/>
      <c r="J34" s="38"/>
      <c r="K34" s="38"/>
      <c r="L34" s="38"/>
    </row>
    <row r="35" spans="1:14" s="42" customFormat="1" ht="13.5" thickBot="1" x14ac:dyDescent="0.25">
      <c r="E35" s="37">
        <v>330</v>
      </c>
      <c r="F35" s="37">
        <v>360</v>
      </c>
      <c r="G35" s="14">
        <v>215</v>
      </c>
      <c r="H35" s="15">
        <v>221</v>
      </c>
      <c r="I35" s="5"/>
      <c r="J35" s="38"/>
      <c r="K35" s="38"/>
      <c r="L35" s="38"/>
    </row>
    <row r="36" spans="1:14" s="42" customFormat="1" ht="13.5" thickBot="1" x14ac:dyDescent="0.25">
      <c r="E36" s="37">
        <v>360</v>
      </c>
      <c r="F36" s="37">
        <v>390</v>
      </c>
      <c r="G36" s="15">
        <v>221</v>
      </c>
      <c r="H36" s="14">
        <v>226</v>
      </c>
      <c r="I36" s="5"/>
      <c r="J36" s="38"/>
      <c r="K36" s="38"/>
      <c r="L36" s="38"/>
      <c r="N36" s="3"/>
    </row>
    <row r="37" spans="1:14" s="42" customFormat="1" ht="13.5" thickBot="1" x14ac:dyDescent="0.25">
      <c r="E37" s="37">
        <v>390</v>
      </c>
      <c r="F37" s="40">
        <v>430</v>
      </c>
      <c r="G37" s="14">
        <v>226</v>
      </c>
      <c r="H37" s="15">
        <v>232</v>
      </c>
      <c r="I37" s="39"/>
      <c r="J37" s="38"/>
      <c r="K37" s="38"/>
      <c r="L37" s="38"/>
      <c r="N37" s="3"/>
    </row>
    <row r="38" spans="1:14" ht="13.5" thickBot="1" x14ac:dyDescent="0.25">
      <c r="E38" s="40">
        <v>430</v>
      </c>
      <c r="F38" s="36">
        <v>470</v>
      </c>
      <c r="G38" s="15">
        <v>232</v>
      </c>
      <c r="H38" s="14">
        <v>237</v>
      </c>
      <c r="I38" s="39"/>
      <c r="J38" s="38"/>
      <c r="K38" s="38"/>
      <c r="L38" s="38"/>
    </row>
    <row r="39" spans="1:14" ht="13.5" thickBot="1" x14ac:dyDescent="0.25">
      <c r="E39" s="36">
        <v>470</v>
      </c>
      <c r="F39" s="37">
        <v>510</v>
      </c>
      <c r="G39" s="14">
        <v>237</v>
      </c>
      <c r="H39" s="15">
        <v>243</v>
      </c>
      <c r="I39" s="39"/>
      <c r="J39" s="38"/>
      <c r="K39" s="38"/>
      <c r="L39" s="38"/>
    </row>
    <row r="40" spans="1:14" ht="13.5" thickBot="1" x14ac:dyDescent="0.25">
      <c r="E40" s="37">
        <v>510</v>
      </c>
      <c r="F40" s="37">
        <v>560</v>
      </c>
      <c r="G40" s="15">
        <v>243</v>
      </c>
      <c r="H40" s="14">
        <v>249</v>
      </c>
      <c r="I40" s="39"/>
      <c r="J40" s="38"/>
      <c r="K40" s="38"/>
      <c r="L40" s="38"/>
    </row>
    <row r="41" spans="1:14" ht="13.5" thickBot="1" x14ac:dyDescent="0.25">
      <c r="E41" s="37">
        <v>560</v>
      </c>
      <c r="F41" s="37">
        <v>620</v>
      </c>
      <c r="G41" s="14">
        <v>249</v>
      </c>
      <c r="H41" s="15">
        <v>255</v>
      </c>
      <c r="I41" s="39"/>
      <c r="J41" s="38"/>
      <c r="K41" s="38"/>
      <c r="L41" s="38"/>
    </row>
    <row r="42" spans="1:14" ht="13.5" thickBot="1" x14ac:dyDescent="0.25">
      <c r="E42" s="37">
        <v>620</v>
      </c>
      <c r="F42" s="37">
        <v>680</v>
      </c>
      <c r="G42" s="15">
        <v>255</v>
      </c>
      <c r="H42" s="14">
        <v>261</v>
      </c>
      <c r="I42" s="39"/>
      <c r="J42" s="38"/>
      <c r="K42" s="38"/>
      <c r="L42" s="38"/>
    </row>
    <row r="43" spans="1:14" ht="13.5" thickBot="1" x14ac:dyDescent="0.25">
      <c r="E43" s="37">
        <v>680</v>
      </c>
      <c r="F43" s="37">
        <v>750</v>
      </c>
      <c r="G43" s="14">
        <v>261</v>
      </c>
      <c r="H43" s="15">
        <v>267</v>
      </c>
      <c r="I43" s="39"/>
      <c r="J43" s="38"/>
      <c r="K43" s="38"/>
      <c r="L43" s="38"/>
    </row>
    <row r="44" spans="1:14" ht="13.5" thickBot="1" x14ac:dyDescent="0.25">
      <c r="E44" s="37">
        <v>750</v>
      </c>
      <c r="F44" s="37">
        <v>820</v>
      </c>
      <c r="G44" s="15">
        <v>267</v>
      </c>
      <c r="H44" s="14">
        <v>274</v>
      </c>
      <c r="J44" s="38"/>
      <c r="K44" s="38"/>
      <c r="L44" s="38"/>
    </row>
    <row r="45" spans="1:14" ht="13.5" thickBot="1" x14ac:dyDescent="0.25">
      <c r="E45" s="37">
        <v>820</v>
      </c>
      <c r="F45" s="40">
        <v>910</v>
      </c>
      <c r="G45" s="14">
        <v>274</v>
      </c>
      <c r="H45" s="15">
        <v>280</v>
      </c>
      <c r="J45" s="38"/>
      <c r="K45" s="38"/>
      <c r="L45" s="38"/>
    </row>
    <row r="46" spans="1:14" ht="13.5" thickBot="1" x14ac:dyDescent="0.25">
      <c r="E46" s="40">
        <v>910</v>
      </c>
      <c r="F46" s="40">
        <v>1000</v>
      </c>
      <c r="G46" s="15">
        <v>280</v>
      </c>
      <c r="H46" s="14">
        <v>287</v>
      </c>
      <c r="J46" s="38"/>
      <c r="K46" s="38"/>
      <c r="L46" s="38"/>
    </row>
    <row r="47" spans="1:14" ht="13.5" thickBot="1" x14ac:dyDescent="0.25">
      <c r="E47" s="110" t="s">
        <v>153</v>
      </c>
      <c r="F47" s="110"/>
      <c r="G47" s="14">
        <v>287</v>
      </c>
      <c r="H47" s="15">
        <v>294</v>
      </c>
      <c r="J47" s="38"/>
      <c r="K47" s="38"/>
      <c r="L47" s="38"/>
    </row>
    <row r="48" spans="1:14" ht="13.5" thickBot="1" x14ac:dyDescent="0.25">
      <c r="E48" s="43">
        <v>100</v>
      </c>
      <c r="F48" s="43">
        <v>105</v>
      </c>
      <c r="G48" s="15">
        <v>294</v>
      </c>
      <c r="H48" s="14">
        <v>301</v>
      </c>
      <c r="J48" s="38"/>
      <c r="K48" s="38"/>
      <c r="L48" s="38"/>
    </row>
    <row r="49" spans="5:12" ht="13.5" thickBot="1" x14ac:dyDescent="0.25">
      <c r="E49" s="43">
        <v>105</v>
      </c>
      <c r="F49" s="43">
        <v>110</v>
      </c>
      <c r="G49" s="14">
        <v>301</v>
      </c>
      <c r="H49" s="15">
        <v>309</v>
      </c>
      <c r="J49" s="38"/>
      <c r="K49" s="38"/>
      <c r="L49" s="38"/>
    </row>
    <row r="50" spans="5:12" ht="13.5" thickBot="1" x14ac:dyDescent="0.25">
      <c r="E50" s="43">
        <v>110</v>
      </c>
      <c r="F50" s="43">
        <v>115</v>
      </c>
      <c r="G50" s="15">
        <v>309</v>
      </c>
      <c r="H50" s="14">
        <v>316</v>
      </c>
      <c r="J50" s="38"/>
      <c r="K50" s="38"/>
      <c r="L50" s="38"/>
    </row>
    <row r="51" spans="5:12" ht="13.5" thickBot="1" x14ac:dyDescent="0.25">
      <c r="E51" s="43">
        <v>115</v>
      </c>
      <c r="F51" s="43">
        <v>121</v>
      </c>
      <c r="G51" s="14">
        <v>316</v>
      </c>
      <c r="H51" s="15">
        <v>324</v>
      </c>
      <c r="J51" s="38"/>
      <c r="K51" s="38"/>
      <c r="L51" s="38"/>
    </row>
    <row r="52" spans="5:12" ht="13.5" thickBot="1" x14ac:dyDescent="0.25">
      <c r="E52" s="43">
        <v>121</v>
      </c>
      <c r="F52" s="43">
        <v>127</v>
      </c>
      <c r="G52" s="15">
        <v>324</v>
      </c>
      <c r="H52" s="14">
        <v>332</v>
      </c>
      <c r="J52" s="38"/>
      <c r="K52" s="38"/>
      <c r="L52" s="38"/>
    </row>
    <row r="53" spans="5:12" ht="13.5" thickBot="1" x14ac:dyDescent="0.25">
      <c r="E53" s="43">
        <v>127</v>
      </c>
      <c r="F53" s="43">
        <v>133</v>
      </c>
      <c r="G53" s="14">
        <v>332</v>
      </c>
      <c r="H53" s="15">
        <v>340</v>
      </c>
      <c r="J53" s="38"/>
      <c r="K53" s="38"/>
      <c r="L53" s="38"/>
    </row>
    <row r="54" spans="5:12" ht="13.5" thickBot="1" x14ac:dyDescent="0.25">
      <c r="E54" s="43">
        <v>133</v>
      </c>
      <c r="F54" s="43">
        <v>140</v>
      </c>
      <c r="G54" s="15">
        <v>340</v>
      </c>
      <c r="H54" s="14">
        <v>348</v>
      </c>
      <c r="J54" s="38"/>
      <c r="K54" s="38"/>
      <c r="L54" s="38"/>
    </row>
    <row r="55" spans="5:12" ht="13.5" thickBot="1" x14ac:dyDescent="0.25">
      <c r="E55" s="43">
        <v>140</v>
      </c>
      <c r="F55" s="43">
        <v>147</v>
      </c>
      <c r="G55" s="14">
        <v>348</v>
      </c>
      <c r="H55" s="15">
        <v>357</v>
      </c>
      <c r="J55" s="38"/>
      <c r="K55" s="38"/>
      <c r="L55" s="38"/>
    </row>
    <row r="56" spans="5:12" ht="13.5" thickBot="1" x14ac:dyDescent="0.25">
      <c r="E56" s="43">
        <v>147</v>
      </c>
      <c r="F56" s="43">
        <v>154</v>
      </c>
      <c r="G56" s="15">
        <v>357</v>
      </c>
      <c r="H56" s="14">
        <v>365</v>
      </c>
      <c r="J56" s="38"/>
      <c r="K56" s="38"/>
      <c r="L56" s="38"/>
    </row>
    <row r="57" spans="5:12" ht="13.5" thickBot="1" x14ac:dyDescent="0.25">
      <c r="E57" s="43">
        <v>154</v>
      </c>
      <c r="F57" s="43">
        <v>162</v>
      </c>
      <c r="G57" s="14">
        <v>365</v>
      </c>
      <c r="H57" s="15">
        <v>374</v>
      </c>
      <c r="J57" s="38"/>
      <c r="K57" s="38"/>
      <c r="L57" s="38"/>
    </row>
    <row r="58" spans="5:12" ht="13.5" thickBot="1" x14ac:dyDescent="0.25">
      <c r="E58" s="43">
        <v>162</v>
      </c>
      <c r="F58" s="43">
        <v>169</v>
      </c>
      <c r="G58" s="15">
        <v>374</v>
      </c>
      <c r="H58" s="14">
        <v>383</v>
      </c>
      <c r="J58" s="38"/>
      <c r="K58" s="38"/>
      <c r="L58" s="38"/>
    </row>
    <row r="59" spans="5:12" ht="13.5" thickBot="1" x14ac:dyDescent="0.25">
      <c r="E59" s="43">
        <v>169</v>
      </c>
      <c r="F59" s="43">
        <v>178</v>
      </c>
      <c r="G59" s="14">
        <v>383</v>
      </c>
      <c r="H59" s="15">
        <v>392</v>
      </c>
      <c r="J59" s="38"/>
      <c r="K59" s="38"/>
      <c r="L59" s="38"/>
    </row>
    <row r="60" spans="5:12" ht="13.5" thickBot="1" x14ac:dyDescent="0.25">
      <c r="E60" s="43">
        <v>178</v>
      </c>
      <c r="F60" s="43">
        <v>187</v>
      </c>
      <c r="G60" s="15">
        <v>392</v>
      </c>
      <c r="H60" s="14">
        <v>402</v>
      </c>
      <c r="J60" s="38"/>
      <c r="K60" s="38"/>
      <c r="L60" s="38"/>
    </row>
    <row r="61" spans="5:12" ht="13.5" thickBot="1" x14ac:dyDescent="0.25">
      <c r="E61" s="43">
        <v>187</v>
      </c>
      <c r="F61" s="43">
        <v>196</v>
      </c>
      <c r="G61" s="14">
        <v>402</v>
      </c>
      <c r="H61" s="15">
        <v>412</v>
      </c>
      <c r="J61" s="38"/>
      <c r="K61" s="38"/>
      <c r="L61" s="38"/>
    </row>
    <row r="62" spans="5:12" ht="13.5" thickBot="1" x14ac:dyDescent="0.25">
      <c r="E62" s="43">
        <v>196</v>
      </c>
      <c r="F62" s="43">
        <v>205</v>
      </c>
      <c r="G62" s="15">
        <v>412</v>
      </c>
      <c r="H62" s="14">
        <v>422</v>
      </c>
      <c r="J62" s="38"/>
      <c r="K62" s="38"/>
      <c r="L62" s="38"/>
    </row>
    <row r="63" spans="5:12" ht="13.5" thickBot="1" x14ac:dyDescent="0.25">
      <c r="E63" s="43">
        <v>205</v>
      </c>
      <c r="F63" s="43">
        <v>215</v>
      </c>
      <c r="G63" s="14">
        <v>422</v>
      </c>
      <c r="H63" s="15">
        <v>432</v>
      </c>
      <c r="J63" s="38"/>
      <c r="K63" s="38"/>
      <c r="L63" s="38"/>
    </row>
    <row r="64" spans="5:12" ht="13.5" thickBot="1" x14ac:dyDescent="0.25">
      <c r="E64" s="43">
        <v>215</v>
      </c>
      <c r="F64" s="43">
        <v>226</v>
      </c>
      <c r="G64" s="15">
        <v>432</v>
      </c>
      <c r="H64" s="14">
        <v>442</v>
      </c>
      <c r="J64" s="38"/>
      <c r="K64" s="38"/>
      <c r="L64" s="38"/>
    </row>
    <row r="65" spans="5:12" ht="13.5" thickBot="1" x14ac:dyDescent="0.25">
      <c r="E65" s="43">
        <v>226</v>
      </c>
      <c r="F65" s="43">
        <v>237</v>
      </c>
      <c r="G65" s="14">
        <v>442</v>
      </c>
      <c r="H65" s="15">
        <v>453</v>
      </c>
      <c r="J65" s="38"/>
      <c r="K65" s="38"/>
      <c r="L65" s="38"/>
    </row>
    <row r="66" spans="5:12" ht="13.5" thickBot="1" x14ac:dyDescent="0.25">
      <c r="E66" s="43">
        <v>237</v>
      </c>
      <c r="F66" s="43">
        <v>249</v>
      </c>
      <c r="G66" s="15">
        <v>453</v>
      </c>
      <c r="H66" s="14">
        <v>464</v>
      </c>
      <c r="J66" s="38"/>
      <c r="K66" s="38"/>
      <c r="L66" s="38"/>
    </row>
    <row r="67" spans="5:12" ht="13.5" thickBot="1" x14ac:dyDescent="0.25">
      <c r="E67" s="43">
        <v>249</v>
      </c>
      <c r="F67" s="43">
        <v>261</v>
      </c>
      <c r="G67" s="14">
        <v>464</v>
      </c>
      <c r="H67" s="15">
        <v>475</v>
      </c>
      <c r="J67" s="38"/>
      <c r="K67" s="38"/>
      <c r="L67" s="38"/>
    </row>
    <row r="68" spans="5:12" ht="13.5" thickBot="1" x14ac:dyDescent="0.25">
      <c r="E68" s="43">
        <v>261</v>
      </c>
      <c r="F68" s="43">
        <v>274</v>
      </c>
      <c r="G68" s="15">
        <v>475</v>
      </c>
      <c r="H68" s="14">
        <v>487</v>
      </c>
      <c r="J68" s="38"/>
      <c r="K68" s="38"/>
      <c r="L68" s="38"/>
    </row>
    <row r="69" spans="5:12" ht="13.5" thickBot="1" x14ac:dyDescent="0.25">
      <c r="E69" s="43">
        <v>274</v>
      </c>
      <c r="F69" s="43">
        <v>287</v>
      </c>
      <c r="G69" s="14">
        <v>487</v>
      </c>
      <c r="H69" s="15">
        <v>499</v>
      </c>
      <c r="J69" s="38"/>
      <c r="K69" s="38"/>
      <c r="L69" s="38"/>
    </row>
    <row r="70" spans="5:12" ht="13.5" thickBot="1" x14ac:dyDescent="0.25">
      <c r="E70" s="43">
        <v>287</v>
      </c>
      <c r="F70" s="43">
        <v>301</v>
      </c>
      <c r="G70" s="15">
        <v>499</v>
      </c>
      <c r="H70" s="14">
        <v>511</v>
      </c>
      <c r="J70" s="38"/>
      <c r="K70" s="38"/>
      <c r="L70" s="38"/>
    </row>
    <row r="71" spans="5:12" ht="13.5" thickBot="1" x14ac:dyDescent="0.25">
      <c r="E71" s="43">
        <v>301</v>
      </c>
      <c r="F71" s="43">
        <v>316</v>
      </c>
      <c r="G71" s="14">
        <v>511</v>
      </c>
      <c r="H71" s="15">
        <v>523</v>
      </c>
      <c r="J71" s="38"/>
      <c r="K71" s="38"/>
      <c r="L71" s="38"/>
    </row>
    <row r="72" spans="5:12" ht="13.5" thickBot="1" x14ac:dyDescent="0.25">
      <c r="E72" s="43">
        <v>316</v>
      </c>
      <c r="F72" s="43">
        <v>332</v>
      </c>
      <c r="G72" s="15">
        <v>523</v>
      </c>
      <c r="H72" s="14">
        <v>536</v>
      </c>
      <c r="J72" s="38"/>
      <c r="K72" s="38"/>
      <c r="L72" s="38"/>
    </row>
    <row r="73" spans="5:12" ht="13.5" thickBot="1" x14ac:dyDescent="0.25">
      <c r="E73" s="43">
        <v>332</v>
      </c>
      <c r="F73" s="43">
        <v>348</v>
      </c>
      <c r="G73" s="14">
        <v>536</v>
      </c>
      <c r="H73" s="15">
        <v>549</v>
      </c>
      <c r="J73" s="38"/>
      <c r="K73" s="38"/>
      <c r="L73" s="38"/>
    </row>
    <row r="74" spans="5:12" ht="13.5" thickBot="1" x14ac:dyDescent="0.25">
      <c r="E74" s="43">
        <v>348</v>
      </c>
      <c r="F74" s="43">
        <v>365</v>
      </c>
      <c r="G74" s="15">
        <v>549</v>
      </c>
      <c r="H74" s="14">
        <v>562</v>
      </c>
      <c r="J74" s="38"/>
      <c r="K74" s="38"/>
      <c r="L74" s="38"/>
    </row>
    <row r="75" spans="5:12" ht="13.5" thickBot="1" x14ac:dyDescent="0.25">
      <c r="E75" s="43">
        <v>365</v>
      </c>
      <c r="F75" s="43">
        <v>383</v>
      </c>
      <c r="G75" s="14">
        <v>562</v>
      </c>
      <c r="H75" s="15">
        <v>576</v>
      </c>
      <c r="J75" s="44"/>
      <c r="K75" s="44"/>
      <c r="L75" s="44"/>
    </row>
    <row r="76" spans="5:12" ht="13.5" thickBot="1" x14ac:dyDescent="0.25">
      <c r="E76" s="43">
        <v>383</v>
      </c>
      <c r="F76" s="43">
        <v>402</v>
      </c>
      <c r="G76" s="15">
        <v>576</v>
      </c>
      <c r="H76" s="14">
        <v>590</v>
      </c>
      <c r="J76" s="44"/>
      <c r="K76" s="44"/>
      <c r="L76" s="44"/>
    </row>
    <row r="77" spans="5:12" ht="13.5" thickBot="1" x14ac:dyDescent="0.25">
      <c r="E77" s="43">
        <v>402</v>
      </c>
      <c r="F77" s="43">
        <v>422</v>
      </c>
      <c r="G77" s="14">
        <v>590</v>
      </c>
      <c r="H77" s="15">
        <v>604</v>
      </c>
      <c r="J77" s="44"/>
      <c r="K77" s="44"/>
      <c r="L77" s="44"/>
    </row>
    <row r="78" spans="5:12" ht="13.5" thickBot="1" x14ac:dyDescent="0.25">
      <c r="E78" s="43">
        <v>422</v>
      </c>
      <c r="F78" s="43">
        <v>442</v>
      </c>
      <c r="G78" s="15">
        <v>604</v>
      </c>
      <c r="H78" s="14">
        <v>619</v>
      </c>
      <c r="J78" s="44"/>
      <c r="K78" s="44"/>
      <c r="L78" s="44"/>
    </row>
    <row r="79" spans="5:12" ht="13.5" thickBot="1" x14ac:dyDescent="0.25">
      <c r="E79" s="43">
        <v>442</v>
      </c>
      <c r="F79" s="43">
        <v>464</v>
      </c>
      <c r="G79" s="14">
        <v>619</v>
      </c>
      <c r="H79" s="15">
        <v>634</v>
      </c>
      <c r="J79" s="44"/>
      <c r="K79" s="44"/>
      <c r="L79" s="44"/>
    </row>
    <row r="80" spans="5:12" ht="13.5" thickBot="1" x14ac:dyDescent="0.25">
      <c r="E80" s="43">
        <v>464</v>
      </c>
      <c r="F80" s="43">
        <v>487</v>
      </c>
      <c r="G80" s="15">
        <v>634</v>
      </c>
      <c r="H80" s="14">
        <v>649</v>
      </c>
      <c r="J80" s="44"/>
      <c r="K80" s="44"/>
      <c r="L80" s="44"/>
    </row>
    <row r="81" spans="5:12" ht="13.5" thickBot="1" x14ac:dyDescent="0.25">
      <c r="E81" s="43">
        <v>487</v>
      </c>
      <c r="F81" s="43">
        <v>511</v>
      </c>
      <c r="G81" s="14">
        <v>649</v>
      </c>
      <c r="H81" s="15">
        <v>665</v>
      </c>
      <c r="J81" s="44"/>
      <c r="K81" s="44"/>
      <c r="L81" s="44"/>
    </row>
    <row r="82" spans="5:12" ht="13.5" thickBot="1" x14ac:dyDescent="0.25">
      <c r="E82" s="43">
        <v>511</v>
      </c>
      <c r="F82" s="43">
        <v>536</v>
      </c>
      <c r="G82" s="15">
        <v>665</v>
      </c>
      <c r="H82" s="14">
        <v>681</v>
      </c>
      <c r="J82" s="44"/>
      <c r="K82" s="44"/>
      <c r="L82" s="44"/>
    </row>
    <row r="83" spans="5:12" ht="13.5" thickBot="1" x14ac:dyDescent="0.25">
      <c r="E83" s="43">
        <v>536</v>
      </c>
      <c r="F83" s="43">
        <v>562</v>
      </c>
      <c r="G83" s="14">
        <v>681</v>
      </c>
      <c r="H83" s="15">
        <v>698</v>
      </c>
      <c r="J83" s="44"/>
      <c r="K83" s="44"/>
      <c r="L83" s="44"/>
    </row>
    <row r="84" spans="5:12" ht="13.5" thickBot="1" x14ac:dyDescent="0.25">
      <c r="E84" s="43">
        <v>562</v>
      </c>
      <c r="F84" s="43">
        <v>590</v>
      </c>
      <c r="G84" s="15">
        <v>698</v>
      </c>
      <c r="H84" s="14">
        <v>715</v>
      </c>
      <c r="J84" s="44"/>
      <c r="K84" s="44"/>
      <c r="L84" s="44"/>
    </row>
    <row r="85" spans="5:12" ht="13.5" thickBot="1" x14ac:dyDescent="0.25">
      <c r="E85" s="43">
        <v>590</v>
      </c>
      <c r="F85" s="43">
        <v>619</v>
      </c>
      <c r="G85" s="14">
        <v>715</v>
      </c>
      <c r="H85" s="15">
        <v>732</v>
      </c>
      <c r="J85" s="44"/>
      <c r="K85" s="44"/>
      <c r="L85" s="44"/>
    </row>
    <row r="86" spans="5:12" ht="13.5" thickBot="1" x14ac:dyDescent="0.25">
      <c r="E86" s="43">
        <v>619</v>
      </c>
      <c r="F86" s="43">
        <v>649</v>
      </c>
      <c r="G86" s="15">
        <v>732</v>
      </c>
      <c r="H86" s="14">
        <v>750</v>
      </c>
      <c r="J86" s="44"/>
      <c r="K86" s="44"/>
      <c r="L86" s="44"/>
    </row>
    <row r="87" spans="5:12" ht="13.5" thickBot="1" x14ac:dyDescent="0.25">
      <c r="E87" s="43">
        <v>649</v>
      </c>
      <c r="F87" s="43">
        <v>681</v>
      </c>
      <c r="G87" s="14">
        <v>750</v>
      </c>
      <c r="H87" s="15">
        <v>768</v>
      </c>
      <c r="J87" s="44"/>
      <c r="K87" s="44"/>
      <c r="L87" s="44"/>
    </row>
    <row r="88" spans="5:12" ht="13.5" thickBot="1" x14ac:dyDescent="0.25">
      <c r="E88" s="43">
        <v>681</v>
      </c>
      <c r="F88" s="43">
        <v>715</v>
      </c>
      <c r="G88" s="15">
        <v>768</v>
      </c>
      <c r="H88" s="14">
        <v>787</v>
      </c>
      <c r="J88" s="44"/>
      <c r="K88" s="44"/>
      <c r="L88" s="44"/>
    </row>
    <row r="89" spans="5:12" ht="13.5" thickBot="1" x14ac:dyDescent="0.25">
      <c r="E89" s="43">
        <v>715</v>
      </c>
      <c r="F89" s="43">
        <v>750</v>
      </c>
      <c r="G89" s="14">
        <v>787</v>
      </c>
      <c r="H89" s="15">
        <v>806</v>
      </c>
      <c r="J89" s="44"/>
      <c r="K89" s="44"/>
      <c r="L89" s="44"/>
    </row>
    <row r="90" spans="5:12" ht="13.5" thickBot="1" x14ac:dyDescent="0.25">
      <c r="E90" s="43">
        <v>750</v>
      </c>
      <c r="F90" s="43">
        <v>787</v>
      </c>
      <c r="G90" s="15">
        <v>806</v>
      </c>
      <c r="H90" s="14">
        <v>825</v>
      </c>
      <c r="J90" s="44"/>
      <c r="K90" s="44"/>
      <c r="L90" s="44"/>
    </row>
    <row r="91" spans="5:12" ht="13.5" thickBot="1" x14ac:dyDescent="0.25">
      <c r="E91" s="43">
        <v>787</v>
      </c>
      <c r="F91" s="43">
        <v>825</v>
      </c>
      <c r="G91" s="14">
        <v>825</v>
      </c>
      <c r="H91" s="15">
        <v>845</v>
      </c>
      <c r="J91" s="44"/>
      <c r="K91" s="44"/>
      <c r="L91" s="44"/>
    </row>
    <row r="92" spans="5:12" ht="13.5" thickBot="1" x14ac:dyDescent="0.25">
      <c r="E92" s="43">
        <v>825</v>
      </c>
      <c r="F92" s="43">
        <v>866</v>
      </c>
      <c r="G92" s="15">
        <v>845</v>
      </c>
      <c r="H92" s="14">
        <v>866</v>
      </c>
      <c r="J92" s="44"/>
      <c r="K92" s="44"/>
      <c r="L92" s="44"/>
    </row>
    <row r="93" spans="5:12" ht="13.5" thickBot="1" x14ac:dyDescent="0.25">
      <c r="E93" s="43">
        <v>866</v>
      </c>
      <c r="F93" s="43">
        <v>909</v>
      </c>
      <c r="G93" s="14">
        <v>866</v>
      </c>
      <c r="H93" s="15">
        <v>887</v>
      </c>
      <c r="J93" s="44"/>
      <c r="K93" s="44"/>
      <c r="L93" s="44"/>
    </row>
    <row r="94" spans="5:12" ht="13.5" thickBot="1" x14ac:dyDescent="0.25">
      <c r="E94" s="43">
        <v>909</v>
      </c>
      <c r="F94" s="43">
        <v>953</v>
      </c>
      <c r="G94" s="15">
        <v>887</v>
      </c>
      <c r="H94" s="14">
        <v>909</v>
      </c>
      <c r="J94" s="44"/>
      <c r="K94" s="44"/>
      <c r="L94" s="44"/>
    </row>
    <row r="95" spans="5:12" ht="13.5" thickBot="1" x14ac:dyDescent="0.25">
      <c r="E95" s="43">
        <v>953</v>
      </c>
      <c r="F95" s="43">
        <v>1000</v>
      </c>
      <c r="G95" s="14">
        <v>909</v>
      </c>
      <c r="H95" s="15">
        <v>931</v>
      </c>
      <c r="J95" s="44"/>
      <c r="K95" s="44"/>
      <c r="L95" s="44"/>
    </row>
    <row r="96" spans="5:12" ht="13.5" thickBot="1" x14ac:dyDescent="0.25">
      <c r="G96" s="15">
        <v>931</v>
      </c>
      <c r="H96" s="14">
        <v>953</v>
      </c>
      <c r="J96" s="44"/>
      <c r="K96" s="44"/>
      <c r="L96" s="44"/>
    </row>
    <row r="97" spans="7:12" ht="13.5" thickBot="1" x14ac:dyDescent="0.25">
      <c r="G97" s="14">
        <v>953</v>
      </c>
      <c r="H97" s="15">
        <v>976</v>
      </c>
      <c r="J97" s="44"/>
      <c r="K97" s="44"/>
      <c r="L97" s="44"/>
    </row>
    <row r="98" spans="7:12" ht="13.5" thickBot="1" x14ac:dyDescent="0.25">
      <c r="G98" s="15">
        <v>976</v>
      </c>
      <c r="H98" s="15">
        <v>1000</v>
      </c>
      <c r="J98" s="44"/>
      <c r="K98" s="44"/>
      <c r="L98" s="44"/>
    </row>
    <row r="99" spans="7:12" x14ac:dyDescent="0.2">
      <c r="J99" s="44"/>
      <c r="K99" s="44"/>
      <c r="L99" s="44"/>
    </row>
    <row r="100" spans="7:12" x14ac:dyDescent="0.2">
      <c r="J100" s="44"/>
      <c r="K100" s="44"/>
      <c r="L100" s="44"/>
    </row>
    <row r="101" spans="7:12" x14ac:dyDescent="0.2">
      <c r="J101" s="44"/>
      <c r="K101" s="44"/>
      <c r="L101" s="44"/>
    </row>
    <row r="102" spans="7:12" x14ac:dyDescent="0.2">
      <c r="J102" s="44"/>
      <c r="K102" s="44"/>
      <c r="L102" s="44"/>
    </row>
    <row r="103" spans="7:12" x14ac:dyDescent="0.2">
      <c r="J103" s="44"/>
      <c r="K103" s="44"/>
      <c r="L103" s="44"/>
    </row>
    <row r="104" spans="7:12" x14ac:dyDescent="0.2">
      <c r="J104" s="44"/>
      <c r="K104" s="44"/>
      <c r="L104" s="44"/>
    </row>
    <row r="105" spans="7:12" x14ac:dyDescent="0.2">
      <c r="J105" s="44"/>
      <c r="K105" s="44"/>
      <c r="L105" s="44"/>
    </row>
    <row r="106" spans="7:12" x14ac:dyDescent="0.2">
      <c r="J106" s="44"/>
      <c r="K106" s="44"/>
      <c r="L106" s="44"/>
    </row>
    <row r="107" spans="7:12" x14ac:dyDescent="0.2">
      <c r="J107" s="44"/>
      <c r="K107" s="44"/>
      <c r="L107" s="44"/>
    </row>
    <row r="108" spans="7:12" x14ac:dyDescent="0.2">
      <c r="J108" s="44"/>
      <c r="K108" s="44"/>
      <c r="L108" s="44"/>
    </row>
    <row r="109" spans="7:12" x14ac:dyDescent="0.2">
      <c r="J109" s="44"/>
      <c r="K109" s="44"/>
      <c r="L109" s="44"/>
    </row>
    <row r="110" spans="7:12" x14ac:dyDescent="0.2">
      <c r="J110" s="44"/>
      <c r="K110" s="44"/>
      <c r="L110" s="44"/>
    </row>
    <row r="111" spans="7:12" x14ac:dyDescent="0.2">
      <c r="J111" s="44"/>
      <c r="K111" s="44"/>
      <c r="L111" s="44"/>
    </row>
    <row r="112" spans="7:12" x14ac:dyDescent="0.2">
      <c r="J112" s="44"/>
      <c r="K112" s="44"/>
      <c r="L112" s="44"/>
    </row>
    <row r="113" spans="10:12" x14ac:dyDescent="0.2">
      <c r="J113" s="44"/>
      <c r="K113" s="44"/>
      <c r="L113" s="44"/>
    </row>
    <row r="114" spans="10:12" x14ac:dyDescent="0.2">
      <c r="J114" s="44"/>
      <c r="K114" s="44"/>
      <c r="L114" s="44"/>
    </row>
    <row r="115" spans="10:12" x14ac:dyDescent="0.2">
      <c r="J115" s="44"/>
      <c r="K115" s="44"/>
      <c r="L115" s="44"/>
    </row>
    <row r="116" spans="10:12" x14ac:dyDescent="0.2">
      <c r="J116" s="44"/>
      <c r="K116" s="44"/>
      <c r="L116" s="44"/>
    </row>
    <row r="117" spans="10:12" x14ac:dyDescent="0.2">
      <c r="J117" s="44"/>
      <c r="K117" s="44"/>
      <c r="L117" s="44"/>
    </row>
    <row r="118" spans="10:12" x14ac:dyDescent="0.2">
      <c r="J118" s="44"/>
      <c r="K118" s="44"/>
      <c r="L118" s="44"/>
    </row>
    <row r="119" spans="10:12" x14ac:dyDescent="0.2">
      <c r="J119" s="44"/>
      <c r="K119" s="44"/>
      <c r="L119" s="44"/>
    </row>
    <row r="120" spans="10:12" x14ac:dyDescent="0.2">
      <c r="J120" s="44"/>
      <c r="K120" s="44"/>
      <c r="L120" s="44"/>
    </row>
    <row r="121" spans="10:12" x14ac:dyDescent="0.2">
      <c r="J121" s="44"/>
      <c r="K121" s="44"/>
      <c r="L121" s="44"/>
    </row>
    <row r="122" spans="10:12" x14ac:dyDescent="0.2">
      <c r="J122" s="44"/>
      <c r="K122" s="44"/>
      <c r="L122" s="44"/>
    </row>
    <row r="123" spans="10:12" x14ac:dyDescent="0.2">
      <c r="J123" s="44"/>
      <c r="K123" s="44"/>
      <c r="L123" s="44"/>
    </row>
    <row r="124" spans="10:12" x14ac:dyDescent="0.2">
      <c r="J124" s="44"/>
      <c r="K124" s="44"/>
      <c r="L124" s="44"/>
    </row>
    <row r="125" spans="10:12" x14ac:dyDescent="0.2">
      <c r="J125" s="44"/>
      <c r="K125" s="44"/>
      <c r="L125" s="44"/>
    </row>
    <row r="126" spans="10:12" x14ac:dyDescent="0.2">
      <c r="J126" s="44"/>
      <c r="K126" s="44"/>
      <c r="L126" s="44"/>
    </row>
    <row r="127" spans="10:12" x14ac:dyDescent="0.2">
      <c r="J127" s="44"/>
      <c r="K127" s="44"/>
      <c r="L127" s="44"/>
    </row>
    <row r="128" spans="10:12" x14ac:dyDescent="0.2">
      <c r="J128" s="44"/>
      <c r="K128" s="44"/>
      <c r="L128" s="44"/>
    </row>
    <row r="129" spans="10:12" x14ac:dyDescent="0.2">
      <c r="J129" s="44"/>
      <c r="K129" s="44"/>
      <c r="L129" s="44"/>
    </row>
    <row r="130" spans="10:12" x14ac:dyDescent="0.2">
      <c r="J130" s="44"/>
      <c r="K130" s="44"/>
      <c r="L130" s="44"/>
    </row>
    <row r="131" spans="10:12" x14ac:dyDescent="0.2">
      <c r="J131" s="44"/>
      <c r="K131" s="44"/>
      <c r="L131" s="44"/>
    </row>
    <row r="132" spans="10:12" x14ac:dyDescent="0.2">
      <c r="J132" s="44"/>
      <c r="K132" s="44"/>
      <c r="L132" s="44"/>
    </row>
    <row r="133" spans="10:12" x14ac:dyDescent="0.2">
      <c r="J133" s="44"/>
      <c r="K133" s="44"/>
      <c r="L133" s="44"/>
    </row>
    <row r="134" spans="10:12" x14ac:dyDescent="0.2">
      <c r="J134" s="44"/>
      <c r="K134" s="44"/>
      <c r="L134" s="44"/>
    </row>
    <row r="135" spans="10:12" x14ac:dyDescent="0.2">
      <c r="J135" s="44"/>
      <c r="K135" s="44"/>
      <c r="L135" s="44"/>
    </row>
    <row r="136" spans="10:12" x14ac:dyDescent="0.2">
      <c r="J136" s="44"/>
      <c r="K136" s="44"/>
      <c r="L136" s="44"/>
    </row>
    <row r="137" spans="10:12" x14ac:dyDescent="0.2">
      <c r="J137" s="44"/>
      <c r="K137" s="44"/>
      <c r="L137" s="44"/>
    </row>
    <row r="138" spans="10:12" x14ac:dyDescent="0.2">
      <c r="J138" s="44"/>
      <c r="K138" s="44"/>
      <c r="L138" s="44"/>
    </row>
    <row r="139" spans="10:12" x14ac:dyDescent="0.2">
      <c r="J139" s="44"/>
      <c r="K139" s="44"/>
      <c r="L139" s="44"/>
    </row>
    <row r="140" spans="10:12" x14ac:dyDescent="0.2">
      <c r="J140" s="44"/>
      <c r="K140" s="44"/>
      <c r="L140" s="44"/>
    </row>
    <row r="141" spans="10:12" x14ac:dyDescent="0.2">
      <c r="J141" s="44"/>
      <c r="K141" s="44"/>
      <c r="L141" s="44"/>
    </row>
    <row r="142" spans="10:12" x14ac:dyDescent="0.2">
      <c r="J142" s="44"/>
      <c r="K142" s="44"/>
      <c r="L142" s="44"/>
    </row>
    <row r="143" spans="10:12" x14ac:dyDescent="0.2">
      <c r="J143" s="44"/>
      <c r="K143" s="44"/>
      <c r="L143" s="44"/>
    </row>
    <row r="144" spans="10:12" x14ac:dyDescent="0.2">
      <c r="J144" s="44"/>
      <c r="K144" s="44"/>
      <c r="L144" s="44"/>
    </row>
    <row r="145" spans="10:12" x14ac:dyDescent="0.2">
      <c r="J145" s="44"/>
      <c r="K145" s="44"/>
      <c r="L145" s="44"/>
    </row>
  </sheetData>
  <mergeCells count="5">
    <mergeCell ref="E47:F47"/>
    <mergeCell ref="E2:F2"/>
    <mergeCell ref="G2:H2"/>
    <mergeCell ref="E9:F9"/>
    <mergeCell ref="E22:F22"/>
  </mergeCell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96</vt:i4>
      </vt:variant>
    </vt:vector>
  </HeadingPairs>
  <TitlesOfParts>
    <vt:vector size="105" baseType="lpstr">
      <vt:lpstr>Instructions</vt:lpstr>
      <vt:lpstr>Functional Schematic</vt:lpstr>
      <vt:lpstr>Design Information</vt:lpstr>
      <vt:lpstr>Figure of T1 Current</vt:lpstr>
      <vt:lpstr>TABSET Valley Switching</vt:lpstr>
      <vt:lpstr>TCDSET Valley Switching</vt:lpstr>
      <vt:lpstr>Notice and Disclaimer</vt:lpstr>
      <vt:lpstr>Voltage Loop</vt:lpstr>
      <vt:lpstr>Standard R and C Look Up Table</vt:lpstr>
      <vt:lpstr>_imp2</vt:lpstr>
      <vt:lpstr>_ims2</vt:lpstr>
      <vt:lpstr>_ipp1</vt:lpstr>
      <vt:lpstr>_ta1</vt:lpstr>
      <vt:lpstr>_ta11</vt:lpstr>
      <vt:lpstr>_ta2</vt:lpstr>
      <vt:lpstr>_taa1</vt:lpstr>
      <vt:lpstr>_va1</vt:lpstr>
      <vt:lpstr>C_enter</vt:lpstr>
      <vt:lpstr>C_f1</vt:lpstr>
      <vt:lpstr>C_f2</vt:lpstr>
      <vt:lpstr>c_s1</vt:lpstr>
      <vt:lpstr>C_s2</vt:lpstr>
      <vt:lpstr>Center</vt:lpstr>
      <vt:lpstr>constant</vt:lpstr>
      <vt:lpstr>cossqaavg</vt:lpstr>
      <vt:lpstr>cossqaspec</vt:lpstr>
      <vt:lpstr>cossqeavg</vt:lpstr>
      <vt:lpstr>cout</vt:lpstr>
      <vt:lpstr>Cp</vt:lpstr>
      <vt:lpstr>Cstandard</vt:lpstr>
      <vt:lpstr>Cz</vt:lpstr>
      <vt:lpstr>d2a</vt:lpstr>
      <vt:lpstr>dclamp</vt:lpstr>
      <vt:lpstr>dcrlout</vt:lpstr>
      <vt:lpstr>dcrp</vt:lpstr>
      <vt:lpstr>dcrs</vt:lpstr>
      <vt:lpstr>dilmag</vt:lpstr>
      <vt:lpstr>dilout</vt:lpstr>
      <vt:lpstr>dmax</vt:lpstr>
      <vt:lpstr>dtyp</vt:lpstr>
      <vt:lpstr>E12_f</vt:lpstr>
      <vt:lpstr>E12_s</vt:lpstr>
      <vt:lpstr>E24_f</vt:lpstr>
      <vt:lpstr>E24_s</vt:lpstr>
      <vt:lpstr>E48_f</vt:lpstr>
      <vt:lpstr>E48_s</vt:lpstr>
      <vt:lpstr>E6_f</vt:lpstr>
      <vt:lpstr>E6_s</vt:lpstr>
      <vt:lpstr>E96_f</vt:lpstr>
      <vt:lpstr>E96_s</vt:lpstr>
      <vt:lpstr>Eff</vt:lpstr>
      <vt:lpstr>esrcout</vt:lpstr>
      <vt:lpstr>fc</vt:lpstr>
      <vt:lpstr>fpp</vt:lpstr>
      <vt:lpstr>fs</vt:lpstr>
      <vt:lpstr>iloutrms</vt:lpstr>
      <vt:lpstr>imp</vt:lpstr>
      <vt:lpstr>ims</vt:lpstr>
      <vt:lpstr>ipp</vt:lpstr>
      <vt:lpstr>iprms</vt:lpstr>
      <vt:lpstr>iprms1</vt:lpstr>
      <vt:lpstr>iprms2</vt:lpstr>
      <vt:lpstr>ips</vt:lpstr>
      <vt:lpstr>isrms</vt:lpstr>
      <vt:lpstr>isrms1</vt:lpstr>
      <vt:lpstr>isrms2</vt:lpstr>
      <vt:lpstr>isrms3</vt:lpstr>
      <vt:lpstr>llk</vt:lpstr>
      <vt:lpstr>lmag</vt:lpstr>
      <vt:lpstr>lmag1</vt:lpstr>
      <vt:lpstr>lmag2</vt:lpstr>
      <vt:lpstr>lout</vt:lpstr>
      <vt:lpstr>ls</vt:lpstr>
      <vt:lpstr>n1divd1</vt:lpstr>
      <vt:lpstr>pbudget</vt:lpstr>
      <vt:lpstr>pout</vt:lpstr>
      <vt:lpstr>QAg</vt:lpstr>
      <vt:lpstr>qeg</vt:lpstr>
      <vt:lpstr>rdsonqa</vt:lpstr>
      <vt:lpstr>rdsonqe</vt:lpstr>
      <vt:lpstr>rf</vt:lpstr>
      <vt:lpstr>RII</vt:lpstr>
      <vt:lpstr>rload</vt:lpstr>
      <vt:lpstr>RS</vt:lpstr>
      <vt:lpstr>sta</vt:lpstr>
      <vt:lpstr>stb</vt:lpstr>
      <vt:lpstr>tabset</vt:lpstr>
      <vt:lpstr>tafset</vt:lpstr>
      <vt:lpstr>tcdset</vt:lpstr>
      <vt:lpstr>tdelay</vt:lpstr>
      <vt:lpstr>thu</vt:lpstr>
      <vt:lpstr>tr</vt:lpstr>
      <vt:lpstr>vadel</vt:lpstr>
      <vt:lpstr>vdsqe</vt:lpstr>
      <vt:lpstr>vg</vt:lpstr>
      <vt:lpstr>vin</vt:lpstr>
      <vt:lpstr>VINMAX</vt:lpstr>
      <vt:lpstr>VINMIAX</vt:lpstr>
      <vt:lpstr>VINMIN</vt:lpstr>
      <vt:lpstr>VOUT</vt:lpstr>
      <vt:lpstr>voutmin</vt:lpstr>
      <vt:lpstr>vrdson</vt:lpstr>
      <vt:lpstr>Vslope1</vt:lpstr>
      <vt:lpstr>Vslope2</vt:lpstr>
      <vt:lpstr>VTRAN</vt:lpstr>
    </vt:vector>
  </TitlesOfParts>
  <Company>Texas Instruments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O'Loughlin</dc:creator>
  <cp:lastModifiedBy>Mohammed Ghouse Khan</cp:lastModifiedBy>
  <cp:lastPrinted>2010-06-11T18:34:05Z</cp:lastPrinted>
  <dcterms:created xsi:type="dcterms:W3CDTF">2010-04-19T17:22:29Z</dcterms:created>
  <dcterms:modified xsi:type="dcterms:W3CDTF">2025-05-28T10:36:35Z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bb46c77-3b58-4101-b463-cd3b3d516e4a_Enabled">
    <vt:lpwstr>true</vt:lpwstr>
  </property>
  <property fmtid="{D5CDD505-2E9C-101B-9397-08002B2CF9AE}" pid="3" name="MSIP_Label_3bb46c77-3b58-4101-b463-cd3b3d516e4a_SetDate">
    <vt:lpwstr>2025-05-14T05:07:10Z</vt:lpwstr>
  </property>
  <property fmtid="{D5CDD505-2E9C-101B-9397-08002B2CF9AE}" pid="4" name="MSIP_Label_3bb46c77-3b58-4101-b463-cd3b3d516e4a_Method">
    <vt:lpwstr>Privileged</vt:lpwstr>
  </property>
  <property fmtid="{D5CDD505-2E9C-101B-9397-08002B2CF9AE}" pid="5" name="MSIP_Label_3bb46c77-3b58-4101-b463-cd3b3d516e4a_Name">
    <vt:lpwstr>Non-Business</vt:lpwstr>
  </property>
  <property fmtid="{D5CDD505-2E9C-101B-9397-08002B2CF9AE}" pid="6" name="MSIP_Label_3bb46c77-3b58-4101-b463-cd3b3d516e4a_SiteId">
    <vt:lpwstr>311b3378-8e8a-4b5e-a33f-e80a3d8ba60a</vt:lpwstr>
  </property>
  <property fmtid="{D5CDD505-2E9C-101B-9397-08002B2CF9AE}" pid="7" name="MSIP_Label_3bb46c77-3b58-4101-b463-cd3b3d516e4a_ActionId">
    <vt:lpwstr>c21337ad-09b9-4087-8045-1a72e5d3111b</vt:lpwstr>
  </property>
  <property fmtid="{D5CDD505-2E9C-101B-9397-08002B2CF9AE}" pid="8" name="MSIP_Label_3bb46c77-3b58-4101-b463-cd3b3d516e4a_ContentBits">
    <vt:lpwstr>0</vt:lpwstr>
  </property>
  <property fmtid="{D5CDD505-2E9C-101B-9397-08002B2CF9AE}" pid="9" name="MSIP_Label_3bb46c77-3b58-4101-b463-cd3b3d516e4a_Tag">
    <vt:lpwstr>10, 0, 1, 1</vt:lpwstr>
  </property>
</Properties>
</file>