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Admin\OneDrive\Masaüstü\ARTI\PSFB\uc28950\Teknik Dosyalar\"/>
    </mc:Choice>
  </mc:AlternateContent>
  <xr:revisionPtr revIDLastSave="0" documentId="13_ncr:1_{60549E35-6A5B-4BF8-9C18-D4A8C6C2E0D4}" xr6:coauthVersionLast="47" xr6:coauthVersionMax="47" xr10:uidLastSave="{00000000-0000-0000-0000-000000000000}"/>
  <bookViews>
    <workbookView xWindow="-108" yWindow="-108" windowWidth="23256" windowHeight="12456" tabRatio="806" activeTab="2" xr2:uid="{00000000-000D-0000-FFFF-FFFF00000000}"/>
  </bookViews>
  <sheets>
    <sheet name="Instructions" sheetId="2" r:id="rId1"/>
    <sheet name="Functional Schematic" sheetId="7" r:id="rId2"/>
    <sheet name="Design Information" sheetId="1" r:id="rId3"/>
    <sheet name="Figure of T1 Current" sheetId="8" r:id="rId4"/>
    <sheet name="TABSET Valley Switching" sheetId="9" r:id="rId5"/>
    <sheet name="TCDSET Valley Switching" sheetId="10" r:id="rId6"/>
    <sheet name="Notice and Disclaimer" sheetId="11" r:id="rId7"/>
    <sheet name="Voltage Loop" sheetId="6" state="hidden" r:id="rId8"/>
    <sheet name="Standard R and C Look Up Table" sheetId="3" state="hidden" r:id="rId9"/>
  </sheets>
  <externalReferences>
    <externalReference r:id="rId10"/>
  </externalReferences>
  <definedNames>
    <definedName name="_imp2">'Design Information'!$C$40</definedName>
    <definedName name="_ims2">'Design Information'!$C$32</definedName>
    <definedName name="_ipp1">'Design Information'!$C$112</definedName>
    <definedName name="_st1">'Design Information'!#REF!</definedName>
    <definedName name="_st10">'Standard R and C Look Up Table'!#REF!</definedName>
    <definedName name="_st11">'Standard R and C Look Up Table'!#REF!</definedName>
    <definedName name="_st12">'Standard R and C Look Up Table'!#REF!</definedName>
    <definedName name="_st13">'Standard R and C Look Up Table'!#REF!</definedName>
    <definedName name="_st14">'Standard R and C Look Up Table'!#REF!</definedName>
    <definedName name="_st15">'Standard R and C Look Up Table'!#REF!</definedName>
    <definedName name="_st16">'Standard R and C Look Up Table'!#REF!</definedName>
    <definedName name="_st17">'Standard R and C Look Up Table'!#REF!</definedName>
    <definedName name="_st18">'Standard R and C Look Up Table'!#REF!</definedName>
    <definedName name="_st2">'Design Information'!#REF!</definedName>
    <definedName name="_st3">'Standard R and C Look Up Table'!#REF!</definedName>
    <definedName name="_st4">'Standard R and C Look Up Table'!#REF!</definedName>
    <definedName name="_st5">'Standard R and C Look Up Table'!#REF!</definedName>
    <definedName name="_st6">'Standard R and C Look Up Table'!#REF!</definedName>
    <definedName name="_st7">'Standard R and C Look Up Table'!#REF!</definedName>
    <definedName name="_st8">'Standard R and C Look Up Table'!#REF!</definedName>
    <definedName name="_st9">'Standard R and C Look Up Table'!#REF!</definedName>
    <definedName name="_std2">'Design Information'!#REF!</definedName>
    <definedName name="_ta1">'Design Information'!$C$25</definedName>
    <definedName name="_ta11">'Design Information'!$C$25</definedName>
    <definedName name="_ta2">'Design Information'!$C$111</definedName>
    <definedName name="_taa1">'Design Information'!$C$26</definedName>
    <definedName name="_va1">'Design Information'!$C$120</definedName>
    <definedName name="C_enter">'Standard R and C Look Up Table'!$K$2</definedName>
    <definedName name="C_f1">'Standard R and C Look Up Table'!$K$17</definedName>
    <definedName name="C_f2">'Standard R and C Look Up Table'!$K$24</definedName>
    <definedName name="c_s1">'Standard R and C Look Up Table'!$J$6</definedName>
    <definedName name="C_s2">'Standard R and C Look Up Table'!$J$19</definedName>
    <definedName name="Center">'Standard R and C Look Up Table'!$K$2</definedName>
    <definedName name="constant">'Design Information'!$C$132</definedName>
    <definedName name="cossqaavg">'Design Information'!$C$56</definedName>
    <definedName name="cossqaspec">'Design Information'!$C$53</definedName>
    <definedName name="cossqeavg">'Design Information'!$C$90</definedName>
    <definedName name="cout">'Design Information'!$C$80</definedName>
    <definedName name="Cp">'Design Information'!$C$151</definedName>
    <definedName name="CPC">'[1]Design Information'!$C$87</definedName>
    <definedName name="Cstandard">'Standard R and C Look Up Table'!$K$3</definedName>
    <definedName name="Cz">'Design Information'!$C$146</definedName>
    <definedName name="CZC">'[1]Design Information'!$C$85</definedName>
    <definedName name="d2a">'Design Information'!$C$135</definedName>
    <definedName name="dclamp">'Design Information'!$C$102</definedName>
    <definedName name="dcrlout">'Design Information'!$C$69</definedName>
    <definedName name="dcrp">'Design Information'!$C$45</definedName>
    <definedName name="dcrs">'Design Information'!$C$46</definedName>
    <definedName name="dilmag">'Design Information'!$C$37</definedName>
    <definedName name="dilout">'Design Information'!$C$28</definedName>
    <definedName name="dmax">'Design Information'!$C$24</definedName>
    <definedName name="dtyp">'Design Information'!$C$27</definedName>
    <definedName name="E12_f">'Standard R and C Look Up Table'!$F$21</definedName>
    <definedName name="E12_s">'Standard R and C Look Up Table'!$E$10</definedName>
    <definedName name="E24_f">'Standard R and C Look Up Table'!$F$46</definedName>
    <definedName name="E24_s">'Standard R and C Look Up Table'!$E$23</definedName>
    <definedName name="E48_f">'Standard R and C Look Up Table'!$F$95</definedName>
    <definedName name="E48_s">'Standard R and C Look Up Table'!$E$48</definedName>
    <definedName name="E6_f">'Standard R and C Look Up Table'!$F$8</definedName>
    <definedName name="E6_s">'Standard R and C Look Up Table'!$E$3</definedName>
    <definedName name="E96_f">'Standard R and C Look Up Table'!$H$98</definedName>
    <definedName name="E96_s">'Standard R and C Look Up Table'!$G$3</definedName>
    <definedName name="Eff">'Design Information'!$B$17</definedName>
    <definedName name="esrcout">'Design Information'!$C$81</definedName>
    <definedName name="fc">'Design Information'!$C$130</definedName>
    <definedName name="fpp">'Design Information'!$C$129</definedName>
    <definedName name="fs">'Design Information'!$C$18</definedName>
    <definedName name="iloutrms">'Design Information'!$C$67</definedName>
    <definedName name="imp">'Design Information'!$C$39</definedName>
    <definedName name="ims">'Design Information'!$C$31</definedName>
    <definedName name="ipp">'Design Information'!$C$38</definedName>
    <definedName name="iprms">'Design Information'!$C$43</definedName>
    <definedName name="iprms1">'Design Information'!$C$41</definedName>
    <definedName name="iprms2">'Design Information'!$C$42</definedName>
    <definedName name="ips">'Design Information'!$C$30</definedName>
    <definedName name="isrms">'Design Information'!$C$36</definedName>
    <definedName name="isrms1">'Design Information'!$C$33</definedName>
    <definedName name="isrms2">'Design Information'!$C$34</definedName>
    <definedName name="isrms3">'Design Information'!$C$35</definedName>
    <definedName name="LAVG">'[1]Design Information'!$C$29</definedName>
    <definedName name="llk">'Design Information'!$C$47</definedName>
    <definedName name="lmag">'Design Information'!$C$29</definedName>
    <definedName name="lmag1">'Design Information'!$C$29</definedName>
    <definedName name="lmag2">'Design Information'!$C$44</definedName>
    <definedName name="lout">'Design Information'!$C$68</definedName>
    <definedName name="ls">'Design Information'!$C$61</definedName>
    <definedName name="n1divd1">'Design Information'!$C$134</definedName>
    <definedName name="NCT">'[1]Design Information'!$C$40</definedName>
    <definedName name="pbudget">'Design Information'!$C$22</definedName>
    <definedName name="pout">'Design Information'!$D$16</definedName>
    <definedName name="QAg">'Design Information'!$C$54</definedName>
    <definedName name="qeg">'Design Information'!$C$86</definedName>
    <definedName name="rdsonqa">'Design Information'!$C$52</definedName>
    <definedName name="rdsonqe">'Design Information'!$C$87</definedName>
    <definedName name="rf">'Design Information'!$C$141</definedName>
    <definedName name="RII">'Design Information'!$C$128</definedName>
    <definedName name="rload">'Design Information'!$C$131</definedName>
    <definedName name="RS">'Design Information'!$C$115</definedName>
    <definedName name="RZC">'[1]Design Information'!$C$83</definedName>
    <definedName name="sta">'Standard R and C Look Up Table'!$L$6</definedName>
    <definedName name="stb">'Standard R and C Look Up Table'!$L$19</definedName>
    <definedName name="std">'Design Information'!#REF!</definedName>
    <definedName name="tabset">'Design Information'!$C$182</definedName>
    <definedName name="tafset">'Design Information'!$C$200</definedName>
    <definedName name="tcdset">'Design Information'!$C$194</definedName>
    <definedName name="tdelay">'Design Information'!$C$100</definedName>
    <definedName name="temp">#REF!</definedName>
    <definedName name="thu">'Design Information'!$C$73</definedName>
    <definedName name="tr">'Design Information'!$C$95</definedName>
    <definedName name="vadel">'Design Information'!$C$188</definedName>
    <definedName name="vdsqe">'Design Information'!$C$85</definedName>
    <definedName name="vg">'Design Information'!$C$51</definedName>
    <definedName name="VINMAX">'Design Information'!$D$13</definedName>
    <definedName name="VINMIAX">'Design Information'!$D$13</definedName>
    <definedName name="VINMIN">'Design Information'!$B$13</definedName>
    <definedName name="vin">'Design Information'!$C$13</definedName>
    <definedName name="vinerror">'Design Information'!#REF!</definedName>
    <definedName name="VOUT">'Design Information'!$C$14</definedName>
    <definedName name="voutmin">'Design Information'!$B$14</definedName>
    <definedName name="vrdson">'Design Information'!$C$23</definedName>
    <definedName name="Vslope1">'Design Information'!$C$221</definedName>
    <definedName name="Vslope2">'Design Information'!$C$222</definedName>
    <definedName name="VTRAN">'Design Information'!$D$15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 r="C36" i="6" s="1"/>
  <c r="C27" i="1"/>
  <c r="D27" i="1" s="1"/>
  <c r="C85" i="1"/>
  <c r="C90" i="1" s="1"/>
  <c r="C74" i="1"/>
  <c r="C28" i="1"/>
  <c r="C31" i="1" s="1"/>
  <c r="C112" i="1"/>
  <c r="C113" i="1" s="1"/>
  <c r="C114" i="1" s="1"/>
  <c r="C221" i="1"/>
  <c r="C206" i="1"/>
  <c r="C207" i="1" s="1"/>
  <c r="C208" i="1" s="1"/>
  <c r="C202" i="1"/>
  <c r="C203" i="1" s="1"/>
  <c r="C204" i="1" s="1"/>
  <c r="C184" i="1"/>
  <c r="C185" i="1" s="1"/>
  <c r="C186" i="1" s="1"/>
  <c r="C56" i="1"/>
  <c r="C99" i="1" s="1"/>
  <c r="C100" i="1" s="1"/>
  <c r="C181" i="1" s="1"/>
  <c r="C188" i="1"/>
  <c r="C195" i="1" s="1"/>
  <c r="C196" i="1" s="1"/>
  <c r="F18" i="1"/>
  <c r="F13" i="1"/>
  <c r="C22" i="1"/>
  <c r="C81" i="1"/>
  <c r="C95" i="1"/>
  <c r="F17" i="1"/>
  <c r="E121" i="1"/>
  <c r="E120" i="1"/>
  <c r="C199" i="1"/>
  <c r="F14" i="1"/>
  <c r="C101" i="1"/>
  <c r="E104" i="1"/>
  <c r="C4" i="3"/>
  <c r="C216" i="1"/>
  <c r="C217" i="1" s="1"/>
  <c r="C131" i="1"/>
  <c r="C96" i="6" s="1"/>
  <c r="C80" i="1"/>
  <c r="C129" i="1"/>
  <c r="E3" i="6" s="1"/>
  <c r="I3" i="6"/>
  <c r="K3" i="6" s="1"/>
  <c r="J3" i="6"/>
  <c r="I2" i="6"/>
  <c r="K2" i="6" s="1"/>
  <c r="J2" i="6"/>
  <c r="R2" i="6"/>
  <c r="C130" i="1"/>
  <c r="C135" i="1" s="1"/>
  <c r="A2" i="6"/>
  <c r="A3" i="6" s="1"/>
  <c r="A4" i="6" s="1"/>
  <c r="B4" i="6" s="1"/>
  <c r="I4" i="6" s="1"/>
  <c r="C7" i="3"/>
  <c r="C212" i="1"/>
  <c r="C213" i="1" s="1"/>
  <c r="C175" i="1"/>
  <c r="C178" i="1" s="1"/>
  <c r="C177" i="1"/>
  <c r="C176" i="1" s="1"/>
  <c r="C147" i="1"/>
  <c r="L6" i="3"/>
  <c r="K3" i="3" s="1"/>
  <c r="L19" i="3"/>
  <c r="C5" i="3"/>
  <c r="C8" i="3"/>
  <c r="C126" i="1"/>
  <c r="C127" i="1" s="1"/>
  <c r="C122" i="1"/>
  <c r="C123" i="1"/>
  <c r="C118" i="1"/>
  <c r="C6" i="3"/>
  <c r="C73" i="1"/>
  <c r="C75" i="1" s="1"/>
  <c r="C84" i="6"/>
  <c r="C220" i="1"/>
  <c r="C67" i="1"/>
  <c r="C70" i="1" s="1"/>
  <c r="C49" i="6"/>
  <c r="C48" i="6"/>
  <c r="C33" i="6"/>
  <c r="C27" i="6"/>
  <c r="C35" i="6"/>
  <c r="C23" i="6"/>
  <c r="C95" i="6"/>
  <c r="C2" i="6"/>
  <c r="C67" i="6"/>
  <c r="C40" i="6"/>
  <c r="C22" i="6"/>
  <c r="C52" i="6"/>
  <c r="C91" i="6"/>
  <c r="C38" i="6"/>
  <c r="C39" i="6"/>
  <c r="C17" i="6"/>
  <c r="C51" i="6"/>
  <c r="C76" i="6"/>
  <c r="A5" i="6"/>
  <c r="C142" i="1"/>
  <c r="C145" i="1" s="1"/>
  <c r="C26" i="6" l="1"/>
  <c r="C70" i="6"/>
  <c r="C32" i="6"/>
  <c r="C30" i="6"/>
  <c r="C189" i="1"/>
  <c r="C190" i="1" s="1"/>
  <c r="C144" i="1"/>
  <c r="C143" i="1" s="1"/>
  <c r="C134" i="1"/>
  <c r="C136" i="1" s="1"/>
  <c r="E2" i="6"/>
  <c r="C228" i="1"/>
  <c r="C230" i="1" s="1"/>
  <c r="C231" i="1" s="1"/>
  <c r="C35" i="1"/>
  <c r="C45" i="6"/>
  <c r="C76" i="1"/>
  <c r="C82" i="1" s="1"/>
  <c r="C30" i="1"/>
  <c r="C47" i="6"/>
  <c r="C101" i="6"/>
  <c r="C86" i="6"/>
  <c r="C98" i="6"/>
  <c r="C63" i="6"/>
  <c r="C92" i="6"/>
  <c r="C88" i="6"/>
  <c r="C9" i="6"/>
  <c r="C20" i="6"/>
  <c r="C7" i="6"/>
  <c r="C71" i="6"/>
  <c r="C19" i="6"/>
  <c r="C94" i="6"/>
  <c r="C43" i="6"/>
  <c r="D3" i="6"/>
  <c r="F3" i="6" s="1"/>
  <c r="C80" i="6"/>
  <c r="C4" i="6"/>
  <c r="C97" i="6"/>
  <c r="C73" i="6"/>
  <c r="C44" i="6"/>
  <c r="C132" i="1"/>
  <c r="C83" i="6"/>
  <c r="C34" i="6"/>
  <c r="C222" i="1"/>
  <c r="C223" i="1" s="1"/>
  <c r="C224" i="1" s="1"/>
  <c r="C225" i="1" s="1"/>
  <c r="C60" i="6"/>
  <c r="D2" i="6"/>
  <c r="F2" i="6" s="1"/>
  <c r="G2" i="6" s="1"/>
  <c r="C72" i="6"/>
  <c r="C15" i="6"/>
  <c r="C41" i="6"/>
  <c r="C46" i="6"/>
  <c r="C24" i="6"/>
  <c r="C90" i="6"/>
  <c r="C61" i="6"/>
  <c r="C81" i="6"/>
  <c r="C89" i="6"/>
  <c r="C65" i="6"/>
  <c r="C74" i="6"/>
  <c r="C12" i="6"/>
  <c r="C102" i="1"/>
  <c r="C117" i="1" s="1"/>
  <c r="C193" i="1"/>
  <c r="C66" i="1"/>
  <c r="E68" i="1" s="1"/>
  <c r="C29" i="1"/>
  <c r="C13" i="6"/>
  <c r="C5" i="6"/>
  <c r="C68" i="6"/>
  <c r="C29" i="6"/>
  <c r="C78" i="6"/>
  <c r="C82" i="6"/>
  <c r="C87" i="6"/>
  <c r="C56" i="6"/>
  <c r="C57" i="6"/>
  <c r="C53" i="6"/>
  <c r="C66" i="6"/>
  <c r="C99" i="6"/>
  <c r="C55" i="6"/>
  <c r="C21" i="6"/>
  <c r="C16" i="6"/>
  <c r="C50" i="6"/>
  <c r="C31" i="6"/>
  <c r="C11" i="6"/>
  <c r="C93" i="6"/>
  <c r="C75" i="6"/>
  <c r="C10" i="6"/>
  <c r="C28" i="6"/>
  <c r="C59" i="6"/>
  <c r="C100" i="6"/>
  <c r="C6" i="6"/>
  <c r="C58" i="6"/>
  <c r="C62" i="6"/>
  <c r="C8" i="6"/>
  <c r="C79" i="6"/>
  <c r="C14" i="6"/>
  <c r="C54" i="6"/>
  <c r="C25" i="6"/>
  <c r="C3" i="6"/>
  <c r="C64" i="6"/>
  <c r="C37" i="6"/>
  <c r="C42" i="6"/>
  <c r="C18" i="6"/>
  <c r="C69" i="6"/>
  <c r="C85" i="6"/>
  <c r="C77" i="6"/>
  <c r="B5" i="6"/>
  <c r="A6" i="6"/>
  <c r="C149" i="1"/>
  <c r="C148" i="1" s="1"/>
  <c r="C150" i="1"/>
  <c r="J4" i="6"/>
  <c r="K4" i="6" s="1"/>
  <c r="D4" i="6"/>
  <c r="E4" i="6"/>
  <c r="C133" i="1"/>
  <c r="C137" i="1" l="1"/>
  <c r="C138" i="1" s="1"/>
  <c r="C139" i="1" s="1"/>
  <c r="C140" i="1" s="1"/>
  <c r="C103" i="1"/>
  <c r="C104" i="1" s="1"/>
  <c r="F4" i="6"/>
  <c r="G4" i="6" s="1"/>
  <c r="L4" i="6" s="1"/>
  <c r="C34" i="1"/>
  <c r="C32" i="1"/>
  <c r="C33" i="1"/>
  <c r="G3" i="6"/>
  <c r="H3" i="6" s="1"/>
  <c r="C37" i="1"/>
  <c r="E44" i="1"/>
  <c r="I5" i="6"/>
  <c r="E5" i="6"/>
  <c r="J5" i="6"/>
  <c r="D5" i="6"/>
  <c r="F5" i="6" s="1"/>
  <c r="G5" i="6" s="1"/>
  <c r="H2" i="6"/>
  <c r="L2" i="6"/>
  <c r="A7" i="6"/>
  <c r="B6" i="6"/>
  <c r="H4" i="6" l="1"/>
  <c r="C36" i="1"/>
  <c r="L3" i="6"/>
  <c r="C38" i="1"/>
  <c r="C39" i="1"/>
  <c r="B7" i="6"/>
  <c r="A8" i="6"/>
  <c r="M4" i="6"/>
  <c r="N4" i="6"/>
  <c r="O4" i="6" s="1"/>
  <c r="N2" i="6"/>
  <c r="O2" i="6" s="1"/>
  <c r="M2" i="6"/>
  <c r="H5" i="6"/>
  <c r="K5" i="6"/>
  <c r="L5" i="6" s="1"/>
  <c r="D6" i="6"/>
  <c r="J6" i="6"/>
  <c r="I6" i="6"/>
  <c r="K6" i="6" s="1"/>
  <c r="E6" i="6"/>
  <c r="C91" i="1" l="1"/>
  <c r="C96" i="1"/>
  <c r="N3" i="6"/>
  <c r="O3" i="6" s="1"/>
  <c r="M3" i="6"/>
  <c r="C40" i="1"/>
  <c r="C42" i="1" s="1"/>
  <c r="C60" i="1"/>
  <c r="E60" i="1" s="1"/>
  <c r="C41" i="1"/>
  <c r="M5" i="6"/>
  <c r="N5" i="6"/>
  <c r="O5" i="6" s="1"/>
  <c r="F6" i="6"/>
  <c r="G6" i="6" s="1"/>
  <c r="B8" i="6"/>
  <c r="A9" i="6"/>
  <c r="D7" i="6"/>
  <c r="J7" i="6"/>
  <c r="I7" i="6"/>
  <c r="E7" i="6"/>
  <c r="C43" i="1" l="1"/>
  <c r="C63" i="1" s="1"/>
  <c r="F7" i="6"/>
  <c r="G7" i="6" s="1"/>
  <c r="H7" i="6" s="1"/>
  <c r="C116" i="1"/>
  <c r="C105" i="1"/>
  <c r="C108" i="1" s="1"/>
  <c r="K7" i="6"/>
  <c r="B9" i="6"/>
  <c r="A10" i="6"/>
  <c r="D8" i="6"/>
  <c r="F8" i="6" s="1"/>
  <c r="G8" i="6" s="1"/>
  <c r="E8" i="6"/>
  <c r="J8" i="6"/>
  <c r="I8" i="6"/>
  <c r="H6" i="6"/>
  <c r="L6" i="6"/>
  <c r="K8" i="6" l="1"/>
  <c r="L8" i="6" s="1"/>
  <c r="L7" i="6"/>
  <c r="N7" i="6" s="1"/>
  <c r="O7" i="6" s="1"/>
  <c r="C48" i="1"/>
  <c r="C49" i="1" s="1"/>
  <c r="E49" i="1" s="1"/>
  <c r="C57" i="1"/>
  <c r="H8" i="6"/>
  <c r="A11" i="6"/>
  <c r="B10" i="6"/>
  <c r="J9" i="6"/>
  <c r="I9" i="6"/>
  <c r="E9" i="6"/>
  <c r="D9" i="6"/>
  <c r="F9" i="6" s="1"/>
  <c r="G9" i="6" s="1"/>
  <c r="N6" i="6"/>
  <c r="O6" i="6" s="1"/>
  <c r="M6" i="6"/>
  <c r="C58" i="1" l="1"/>
  <c r="E58" i="1" s="1"/>
  <c r="M7" i="6"/>
  <c r="K9" i="6"/>
  <c r="L9" i="6" s="1"/>
  <c r="I10" i="6"/>
  <c r="D10" i="6"/>
  <c r="J10" i="6"/>
  <c r="E10" i="6"/>
  <c r="A12" i="6"/>
  <c r="B11" i="6"/>
  <c r="N8" i="6"/>
  <c r="O8" i="6" s="1"/>
  <c r="M8" i="6"/>
  <c r="H9" i="6"/>
  <c r="C64" i="1" l="1"/>
  <c r="E64" i="1" s="1"/>
  <c r="K10" i="6"/>
  <c r="M9" i="6"/>
  <c r="N9" i="6"/>
  <c r="O9" i="6" s="1"/>
  <c r="J11" i="6"/>
  <c r="D11" i="6"/>
  <c r="F11" i="6" s="1"/>
  <c r="G11" i="6" s="1"/>
  <c r="E11" i="6"/>
  <c r="I11" i="6"/>
  <c r="A13" i="6"/>
  <c r="B12" i="6"/>
  <c r="F10" i="6"/>
  <c r="G10" i="6" s="1"/>
  <c r="K11" i="6" l="1"/>
  <c r="L11" i="6" s="1"/>
  <c r="C71" i="1"/>
  <c r="E71" i="1" s="1"/>
  <c r="H11" i="6"/>
  <c r="E12" i="6"/>
  <c r="J12" i="6"/>
  <c r="I12" i="6"/>
  <c r="K12" i="6" s="1"/>
  <c r="D12" i="6"/>
  <c r="F12" i="6" s="1"/>
  <c r="G12" i="6" s="1"/>
  <c r="A14" i="6"/>
  <c r="B13" i="6"/>
  <c r="L10" i="6"/>
  <c r="H10" i="6"/>
  <c r="C83" i="1" l="1"/>
  <c r="C97" i="1" s="1"/>
  <c r="B14" i="6"/>
  <c r="A15" i="6"/>
  <c r="J13" i="6"/>
  <c r="D13" i="6"/>
  <c r="F13" i="6" s="1"/>
  <c r="G13" i="6" s="1"/>
  <c r="E13" i="6"/>
  <c r="I13" i="6"/>
  <c r="H12" i="6"/>
  <c r="L12" i="6"/>
  <c r="N11" i="6"/>
  <c r="O11" i="6" s="1"/>
  <c r="M11" i="6"/>
  <c r="M10" i="6"/>
  <c r="N10" i="6"/>
  <c r="O10" i="6" s="1"/>
  <c r="K13" i="6" l="1"/>
  <c r="L13" i="6" s="1"/>
  <c r="E83" i="1"/>
  <c r="E97" i="1"/>
  <c r="C109" i="1"/>
  <c r="E109" i="1" s="1"/>
  <c r="N12" i="6"/>
  <c r="O12" i="6" s="1"/>
  <c r="M12" i="6"/>
  <c r="H13" i="6"/>
  <c r="B15" i="6"/>
  <c r="A16" i="6"/>
  <c r="J14" i="6"/>
  <c r="I14" i="6"/>
  <c r="E14" i="6"/>
  <c r="D14" i="6"/>
  <c r="F14" i="6" s="1"/>
  <c r="G14" i="6" s="1"/>
  <c r="K14" i="6" l="1"/>
  <c r="L14" i="6" s="1"/>
  <c r="B16" i="6"/>
  <c r="A17" i="6"/>
  <c r="J15" i="6"/>
  <c r="D15" i="6"/>
  <c r="E15" i="6"/>
  <c r="I15" i="6"/>
  <c r="K15" i="6" s="1"/>
  <c r="N13" i="6"/>
  <c r="O13" i="6" s="1"/>
  <c r="M13" i="6"/>
  <c r="H14" i="6"/>
  <c r="F15" i="6" l="1"/>
  <c r="G15" i="6" s="1"/>
  <c r="H15" i="6" s="1"/>
  <c r="M14" i="6"/>
  <c r="N14" i="6"/>
  <c r="O14" i="6" s="1"/>
  <c r="B17" i="6"/>
  <c r="A18" i="6"/>
  <c r="D16" i="6"/>
  <c r="I16" i="6"/>
  <c r="E16" i="6"/>
  <c r="J16" i="6"/>
  <c r="K16" i="6" l="1"/>
  <c r="F16" i="6"/>
  <c r="G16" i="6" s="1"/>
  <c r="H16" i="6" s="1"/>
  <c r="L15" i="6"/>
  <c r="M15" i="6" s="1"/>
  <c r="B18" i="6"/>
  <c r="A19" i="6"/>
  <c r="I17" i="6"/>
  <c r="E17" i="6"/>
  <c r="D17" i="6"/>
  <c r="F17" i="6" s="1"/>
  <c r="G17" i="6" s="1"/>
  <c r="J17" i="6"/>
  <c r="K17" i="6" l="1"/>
  <c r="L17" i="6" s="1"/>
  <c r="L16" i="6"/>
  <c r="M16" i="6" s="1"/>
  <c r="N15" i="6"/>
  <c r="O15" i="6" s="1"/>
  <c r="A20" i="6"/>
  <c r="B19" i="6"/>
  <c r="H17" i="6"/>
  <c r="J18" i="6"/>
  <c r="D18" i="6"/>
  <c r="F18" i="6" s="1"/>
  <c r="G18" i="6" s="1"/>
  <c r="I18" i="6"/>
  <c r="K18" i="6" s="1"/>
  <c r="E18" i="6"/>
  <c r="N16" i="6" l="1"/>
  <c r="O16" i="6" s="1"/>
  <c r="H18" i="6"/>
  <c r="L18" i="6"/>
  <c r="E19" i="6"/>
  <c r="D19" i="6"/>
  <c r="F19" i="6" s="1"/>
  <c r="G19" i="6" s="1"/>
  <c r="I19" i="6"/>
  <c r="J19" i="6"/>
  <c r="N17" i="6"/>
  <c r="O17" i="6" s="1"/>
  <c r="M17" i="6"/>
  <c r="B20" i="6"/>
  <c r="A21" i="6"/>
  <c r="H19" i="6" l="1"/>
  <c r="B21" i="6"/>
  <c r="A22" i="6"/>
  <c r="K19" i="6"/>
  <c r="L19" i="6" s="1"/>
  <c r="M18" i="6"/>
  <c r="N18" i="6"/>
  <c r="O18" i="6" s="1"/>
  <c r="J20" i="6"/>
  <c r="I20" i="6"/>
  <c r="D20" i="6"/>
  <c r="F20" i="6" s="1"/>
  <c r="G20" i="6" s="1"/>
  <c r="E20" i="6"/>
  <c r="K20" i="6" l="1"/>
  <c r="L20" i="6" s="1"/>
  <c r="M19" i="6"/>
  <c r="N19" i="6"/>
  <c r="O19" i="6" s="1"/>
  <c r="B22" i="6"/>
  <c r="A23" i="6"/>
  <c r="I21" i="6"/>
  <c r="E21" i="6"/>
  <c r="J21" i="6"/>
  <c r="D21" i="6"/>
  <c r="H20" i="6"/>
  <c r="F21" i="6" l="1"/>
  <c r="G21" i="6" s="1"/>
  <c r="K21" i="6"/>
  <c r="A24" i="6"/>
  <c r="B23" i="6"/>
  <c r="E22" i="6"/>
  <c r="J22" i="6"/>
  <c r="D22" i="6"/>
  <c r="F22" i="6" s="1"/>
  <c r="G22" i="6" s="1"/>
  <c r="I22" i="6"/>
  <c r="K22" i="6" s="1"/>
  <c r="M20" i="6"/>
  <c r="N20" i="6"/>
  <c r="O20" i="6" s="1"/>
  <c r="L21" i="6" l="1"/>
  <c r="M21" i="6" s="1"/>
  <c r="H21" i="6"/>
  <c r="H22" i="6"/>
  <c r="L22" i="6"/>
  <c r="E23" i="6"/>
  <c r="D23" i="6"/>
  <c r="J23" i="6"/>
  <c r="I23" i="6"/>
  <c r="A25" i="6"/>
  <c r="B24" i="6"/>
  <c r="K23" i="6" l="1"/>
  <c r="N21" i="6"/>
  <c r="O21" i="6" s="1"/>
  <c r="F23" i="6"/>
  <c r="G23" i="6" s="1"/>
  <c r="E24" i="6"/>
  <c r="I24" i="6"/>
  <c r="D24" i="6"/>
  <c r="F24" i="6" s="1"/>
  <c r="G24" i="6" s="1"/>
  <c r="J24" i="6"/>
  <c r="M22" i="6"/>
  <c r="N22" i="6"/>
  <c r="O22" i="6" s="1"/>
  <c r="B25" i="6"/>
  <c r="A26" i="6"/>
  <c r="L23" i="6" l="1"/>
  <c r="N23" i="6" s="1"/>
  <c r="O23" i="6" s="1"/>
  <c r="H23" i="6"/>
  <c r="K24" i="6"/>
  <c r="L24" i="6" s="1"/>
  <c r="H24" i="6"/>
  <c r="A27" i="6"/>
  <c r="B26" i="6"/>
  <c r="I25" i="6"/>
  <c r="E25" i="6"/>
  <c r="R25" i="6"/>
  <c r="J25" i="6"/>
  <c r="D25" i="6"/>
  <c r="F25" i="6" s="1"/>
  <c r="G25" i="6" s="1"/>
  <c r="M23" i="6" l="1"/>
  <c r="K25" i="6"/>
  <c r="L25" i="6" s="1"/>
  <c r="D26" i="6"/>
  <c r="F26" i="6" s="1"/>
  <c r="G26" i="6" s="1"/>
  <c r="E26" i="6"/>
  <c r="J26" i="6"/>
  <c r="I26" i="6"/>
  <c r="K26" i="6" s="1"/>
  <c r="B27" i="6"/>
  <c r="A28" i="6"/>
  <c r="N24" i="6"/>
  <c r="O24" i="6" s="1"/>
  <c r="M24" i="6"/>
  <c r="H25" i="6"/>
  <c r="A29" i="6" l="1"/>
  <c r="B28" i="6"/>
  <c r="E27" i="6"/>
  <c r="J27" i="6"/>
  <c r="D27" i="6"/>
  <c r="F27" i="6" s="1"/>
  <c r="G27" i="6" s="1"/>
  <c r="I27" i="6"/>
  <c r="M25" i="6"/>
  <c r="N25" i="6"/>
  <c r="O25" i="6" s="1"/>
  <c r="L26" i="6"/>
  <c r="H26" i="6"/>
  <c r="K27" i="6" l="1"/>
  <c r="L27" i="6" s="1"/>
  <c r="H27" i="6"/>
  <c r="D28" i="6"/>
  <c r="J28" i="6"/>
  <c r="I28" i="6"/>
  <c r="K28" i="6" s="1"/>
  <c r="E28" i="6"/>
  <c r="N26" i="6"/>
  <c r="O26" i="6" s="1"/>
  <c r="M26" i="6"/>
  <c r="A30" i="6"/>
  <c r="B29" i="6"/>
  <c r="F28" i="6" l="1"/>
  <c r="G28" i="6" s="1"/>
  <c r="H28" i="6" s="1"/>
  <c r="I29" i="6"/>
  <c r="D29" i="6"/>
  <c r="E29" i="6"/>
  <c r="J29" i="6"/>
  <c r="B30" i="6"/>
  <c r="A31" i="6"/>
  <c r="N27" i="6"/>
  <c r="O27" i="6" s="1"/>
  <c r="M27" i="6"/>
  <c r="L28" i="6" l="1"/>
  <c r="N28" i="6" s="1"/>
  <c r="O28" i="6" s="1"/>
  <c r="F29" i="6"/>
  <c r="G29" i="6" s="1"/>
  <c r="K29" i="6"/>
  <c r="B31" i="6"/>
  <c r="A32" i="6"/>
  <c r="D30" i="6"/>
  <c r="F30" i="6" s="1"/>
  <c r="G30" i="6" s="1"/>
  <c r="I30" i="6"/>
  <c r="J30" i="6"/>
  <c r="E30" i="6"/>
  <c r="L29" i="6" l="1"/>
  <c r="M29" i="6" s="1"/>
  <c r="H29" i="6"/>
  <c r="M28" i="6"/>
  <c r="K30" i="6"/>
  <c r="L30" i="6" s="1"/>
  <c r="H30" i="6"/>
  <c r="A33" i="6"/>
  <c r="B32" i="6"/>
  <c r="E31" i="6"/>
  <c r="D31" i="6"/>
  <c r="F31" i="6" s="1"/>
  <c r="G31" i="6" s="1"/>
  <c r="I31" i="6"/>
  <c r="J31" i="6"/>
  <c r="K31" i="6" l="1"/>
  <c r="L31" i="6" s="1"/>
  <c r="N29" i="6"/>
  <c r="O29" i="6" s="1"/>
  <c r="H31" i="6"/>
  <c r="A34" i="6"/>
  <c r="B33" i="6"/>
  <c r="J32" i="6"/>
  <c r="I32" i="6"/>
  <c r="E32" i="6"/>
  <c r="D32" i="6"/>
  <c r="F32" i="6" s="1"/>
  <c r="G32" i="6" s="1"/>
  <c r="M30" i="6"/>
  <c r="N30" i="6"/>
  <c r="O30" i="6" s="1"/>
  <c r="K32" i="6" l="1"/>
  <c r="L32" i="6" s="1"/>
  <c r="H32" i="6"/>
  <c r="E33" i="6"/>
  <c r="J33" i="6"/>
  <c r="I33" i="6"/>
  <c r="D33" i="6"/>
  <c r="F33" i="6" s="1"/>
  <c r="G33" i="6" s="1"/>
  <c r="A35" i="6"/>
  <c r="B34" i="6"/>
  <c r="N31" i="6"/>
  <c r="O31" i="6" s="1"/>
  <c r="M31" i="6"/>
  <c r="K33" i="6" l="1"/>
  <c r="L33" i="6" s="1"/>
  <c r="E34" i="6"/>
  <c r="I34" i="6"/>
  <c r="D34" i="6"/>
  <c r="J34" i="6"/>
  <c r="H33" i="6"/>
  <c r="B35" i="6"/>
  <c r="A36" i="6"/>
  <c r="M32" i="6"/>
  <c r="N32" i="6"/>
  <c r="O32" i="6" s="1"/>
  <c r="K34" i="6" l="1"/>
  <c r="F34" i="6"/>
  <c r="G34" i="6" s="1"/>
  <c r="H34" i="6" s="1"/>
  <c r="B36" i="6"/>
  <c r="A37" i="6"/>
  <c r="N33" i="6"/>
  <c r="O33" i="6" s="1"/>
  <c r="M33" i="6"/>
  <c r="I35" i="6"/>
  <c r="D35" i="6"/>
  <c r="F35" i="6" s="1"/>
  <c r="G35" i="6" s="1"/>
  <c r="E35" i="6"/>
  <c r="J35" i="6"/>
  <c r="K35" i="6" l="1"/>
  <c r="L35" i="6" s="1"/>
  <c r="L34" i="6"/>
  <c r="N34" i="6" s="1"/>
  <c r="O34" i="6" s="1"/>
  <c r="H35" i="6"/>
  <c r="A38" i="6"/>
  <c r="B37" i="6"/>
  <c r="I36" i="6"/>
  <c r="E36" i="6"/>
  <c r="D36" i="6"/>
  <c r="F36" i="6" s="1"/>
  <c r="G36" i="6" s="1"/>
  <c r="J36" i="6"/>
  <c r="K36" i="6" l="1"/>
  <c r="L36" i="6" s="1"/>
  <c r="M34" i="6"/>
  <c r="I37" i="6"/>
  <c r="J37" i="6"/>
  <c r="D37" i="6"/>
  <c r="E37" i="6"/>
  <c r="B38" i="6"/>
  <c r="A39" i="6"/>
  <c r="H36" i="6"/>
  <c r="N35" i="6"/>
  <c r="O35" i="6" s="1"/>
  <c r="M35" i="6"/>
  <c r="K37" i="6" l="1"/>
  <c r="F37" i="6"/>
  <c r="G37" i="6" s="1"/>
  <c r="N36" i="6"/>
  <c r="O36" i="6" s="1"/>
  <c r="M36" i="6"/>
  <c r="B39" i="6"/>
  <c r="A40" i="6"/>
  <c r="E38" i="6"/>
  <c r="J38" i="6"/>
  <c r="I38" i="6"/>
  <c r="D38" i="6"/>
  <c r="F38" i="6" s="1"/>
  <c r="G38" i="6" s="1"/>
  <c r="L37" i="6" l="1"/>
  <c r="N37" i="6" s="1"/>
  <c r="O37" i="6" s="1"/>
  <c r="H37" i="6"/>
  <c r="B40" i="6"/>
  <c r="A41" i="6"/>
  <c r="K38" i="6"/>
  <c r="L38" i="6" s="1"/>
  <c r="J39" i="6"/>
  <c r="D39" i="6"/>
  <c r="I39" i="6"/>
  <c r="K39" i="6" s="1"/>
  <c r="E39" i="6"/>
  <c r="H38" i="6"/>
  <c r="M37" i="6" l="1"/>
  <c r="N38" i="6"/>
  <c r="O38" i="6" s="1"/>
  <c r="M38" i="6"/>
  <c r="F39" i="6"/>
  <c r="G39" i="6" s="1"/>
  <c r="B41" i="6"/>
  <c r="A42" i="6"/>
  <c r="J40" i="6"/>
  <c r="D40" i="6"/>
  <c r="I40" i="6"/>
  <c r="E40" i="6"/>
  <c r="K40" i="6" l="1"/>
  <c r="F40" i="6"/>
  <c r="G40" i="6" s="1"/>
  <c r="I41" i="6"/>
  <c r="J41" i="6"/>
  <c r="D41" i="6"/>
  <c r="E41" i="6"/>
  <c r="H39" i="6"/>
  <c r="L39" i="6"/>
  <c r="B42" i="6"/>
  <c r="A43" i="6"/>
  <c r="L40" i="6" l="1"/>
  <c r="M40" i="6" s="1"/>
  <c r="H40" i="6"/>
  <c r="F41" i="6"/>
  <c r="G41" i="6" s="1"/>
  <c r="H41" i="6" s="1"/>
  <c r="K41" i="6"/>
  <c r="N39" i="6"/>
  <c r="O39" i="6" s="1"/>
  <c r="M39" i="6"/>
  <c r="E42" i="6"/>
  <c r="I42" i="6"/>
  <c r="J42" i="6"/>
  <c r="D42" i="6"/>
  <c r="F42" i="6" s="1"/>
  <c r="G42" i="6" s="1"/>
  <c r="A44" i="6"/>
  <c r="B43" i="6"/>
  <c r="N40" i="6" l="1"/>
  <c r="O40" i="6" s="1"/>
  <c r="K42" i="6"/>
  <c r="L42" i="6" s="1"/>
  <c r="L41" i="6"/>
  <c r="N41" i="6" s="1"/>
  <c r="O41" i="6" s="1"/>
  <c r="H42" i="6"/>
  <c r="D43" i="6"/>
  <c r="E43" i="6"/>
  <c r="J43" i="6"/>
  <c r="I43" i="6"/>
  <c r="A45" i="6"/>
  <c r="B44" i="6"/>
  <c r="M41" i="6" l="1"/>
  <c r="K43" i="6"/>
  <c r="F43" i="6"/>
  <c r="G43" i="6" s="1"/>
  <c r="M42" i="6"/>
  <c r="N42" i="6"/>
  <c r="O42" i="6" s="1"/>
  <c r="J44" i="6"/>
  <c r="D44" i="6"/>
  <c r="E44" i="6"/>
  <c r="I44" i="6"/>
  <c r="B45" i="6"/>
  <c r="A46" i="6"/>
  <c r="K44" i="6" l="1"/>
  <c r="F44" i="6"/>
  <c r="G44" i="6" s="1"/>
  <c r="R45" i="6"/>
  <c r="J45" i="6"/>
  <c r="I45" i="6"/>
  <c r="D45" i="6"/>
  <c r="F45" i="6" s="1"/>
  <c r="G45" i="6" s="1"/>
  <c r="E45" i="6"/>
  <c r="B46" i="6"/>
  <c r="A47" i="6"/>
  <c r="H43" i="6"/>
  <c r="L43" i="6"/>
  <c r="K45" i="6" l="1"/>
  <c r="L45" i="6" s="1"/>
  <c r="L44" i="6"/>
  <c r="M44" i="6" s="1"/>
  <c r="H44" i="6"/>
  <c r="H45" i="6"/>
  <c r="N43" i="6"/>
  <c r="O43" i="6" s="1"/>
  <c r="M43" i="6"/>
  <c r="E46" i="6"/>
  <c r="D46" i="6"/>
  <c r="F46" i="6" s="1"/>
  <c r="G46" i="6" s="1"/>
  <c r="I46" i="6"/>
  <c r="J46" i="6"/>
  <c r="B47" i="6"/>
  <c r="A48" i="6"/>
  <c r="K46" i="6" l="1"/>
  <c r="L46" i="6" s="1"/>
  <c r="N44" i="6"/>
  <c r="O44" i="6" s="1"/>
  <c r="H46" i="6"/>
  <c r="D47" i="6"/>
  <c r="E47" i="6"/>
  <c r="J47" i="6"/>
  <c r="I47" i="6"/>
  <c r="K47" i="6" s="1"/>
  <c r="A49" i="6"/>
  <c r="B48" i="6"/>
  <c r="M45" i="6"/>
  <c r="N45" i="6"/>
  <c r="O45" i="6" s="1"/>
  <c r="F47" i="6" l="1"/>
  <c r="G47" i="6" s="1"/>
  <c r="L47" i="6" s="1"/>
  <c r="E48" i="6"/>
  <c r="J48" i="6"/>
  <c r="I48" i="6"/>
  <c r="K48" i="6" s="1"/>
  <c r="D48" i="6"/>
  <c r="F48" i="6" s="1"/>
  <c r="G48" i="6" s="1"/>
  <c r="N46" i="6"/>
  <c r="O46" i="6" s="1"/>
  <c r="M46" i="6"/>
  <c r="A50" i="6"/>
  <c r="B49" i="6"/>
  <c r="H47" i="6" l="1"/>
  <c r="N47" i="6"/>
  <c r="O47" i="6" s="1"/>
  <c r="M47" i="6"/>
  <c r="L48" i="6"/>
  <c r="H48" i="6"/>
  <c r="I49" i="6"/>
  <c r="D49" i="6"/>
  <c r="F49" i="6" s="1"/>
  <c r="G49" i="6" s="1"/>
  <c r="E49" i="6"/>
  <c r="J49" i="6"/>
  <c r="B50" i="6"/>
  <c r="A51" i="6"/>
  <c r="K49" i="6" l="1"/>
  <c r="L49" i="6" s="1"/>
  <c r="N48" i="6"/>
  <c r="O48" i="6" s="1"/>
  <c r="M48" i="6"/>
  <c r="H49" i="6"/>
  <c r="B51" i="6"/>
  <c r="A52" i="6"/>
  <c r="J50" i="6"/>
  <c r="I50" i="6"/>
  <c r="E50" i="6"/>
  <c r="D50" i="6"/>
  <c r="K50" i="6" l="1"/>
  <c r="F50" i="6"/>
  <c r="G50" i="6" s="1"/>
  <c r="H50" i="6" s="1"/>
  <c r="A53" i="6"/>
  <c r="B52" i="6"/>
  <c r="J51" i="6"/>
  <c r="E51" i="6"/>
  <c r="D51" i="6"/>
  <c r="F51" i="6" s="1"/>
  <c r="G51" i="6" s="1"/>
  <c r="I51" i="6"/>
  <c r="K51" i="6" s="1"/>
  <c r="N49" i="6"/>
  <c r="O49" i="6" s="1"/>
  <c r="M49" i="6"/>
  <c r="L50" i="6" l="1"/>
  <c r="M50" i="6" s="1"/>
  <c r="L51" i="6"/>
  <c r="H51" i="6"/>
  <c r="D52" i="6"/>
  <c r="F52" i="6" s="1"/>
  <c r="G52" i="6" s="1"/>
  <c r="E52" i="6"/>
  <c r="J52" i="6"/>
  <c r="I52" i="6"/>
  <c r="A54" i="6"/>
  <c r="B53" i="6"/>
  <c r="K52" i="6" l="1"/>
  <c r="L52" i="6" s="1"/>
  <c r="N50" i="6"/>
  <c r="O50" i="6" s="1"/>
  <c r="H52" i="6"/>
  <c r="E53" i="6"/>
  <c r="D53" i="6"/>
  <c r="F53" i="6" s="1"/>
  <c r="G53" i="6" s="1"/>
  <c r="J53" i="6"/>
  <c r="I53" i="6"/>
  <c r="K53" i="6" s="1"/>
  <c r="A55" i="6"/>
  <c r="B54" i="6"/>
  <c r="M51" i="6"/>
  <c r="N51" i="6"/>
  <c r="O51" i="6" s="1"/>
  <c r="J54" i="6" l="1"/>
  <c r="D54" i="6"/>
  <c r="F54" i="6" s="1"/>
  <c r="G54" i="6" s="1"/>
  <c r="I54" i="6"/>
  <c r="E54" i="6"/>
  <c r="B55" i="6"/>
  <c r="A56" i="6"/>
  <c r="L53" i="6"/>
  <c r="H53" i="6"/>
  <c r="N52" i="6"/>
  <c r="O52" i="6" s="1"/>
  <c r="M52" i="6"/>
  <c r="K54" i="6" l="1"/>
  <c r="L54" i="6" s="1"/>
  <c r="B56" i="6"/>
  <c r="A57" i="6"/>
  <c r="N53" i="6"/>
  <c r="O53" i="6" s="1"/>
  <c r="M53" i="6"/>
  <c r="J55" i="6"/>
  <c r="D55" i="6"/>
  <c r="F55" i="6" s="1"/>
  <c r="G55" i="6" s="1"/>
  <c r="E55" i="6"/>
  <c r="I55" i="6"/>
  <c r="H54" i="6"/>
  <c r="K55" i="6" l="1"/>
  <c r="L55" i="6" s="1"/>
  <c r="H55" i="6"/>
  <c r="B57" i="6"/>
  <c r="A58" i="6"/>
  <c r="N54" i="6"/>
  <c r="O54" i="6" s="1"/>
  <c r="M54" i="6"/>
  <c r="E56" i="6"/>
  <c r="D56" i="6"/>
  <c r="F56" i="6" s="1"/>
  <c r="G56" i="6" s="1"/>
  <c r="J56" i="6"/>
  <c r="I56" i="6"/>
  <c r="K56" i="6" l="1"/>
  <c r="L56" i="6" s="1"/>
  <c r="H56" i="6"/>
  <c r="B58" i="6"/>
  <c r="A59" i="6"/>
  <c r="I57" i="6"/>
  <c r="J57" i="6"/>
  <c r="E57" i="6"/>
  <c r="D57" i="6"/>
  <c r="F57" i="6" s="1"/>
  <c r="G57" i="6" s="1"/>
  <c r="M55" i="6"/>
  <c r="N55" i="6"/>
  <c r="O55" i="6" s="1"/>
  <c r="K57" i="6" l="1"/>
  <c r="L57" i="6" s="1"/>
  <c r="H57" i="6"/>
  <c r="A60" i="6"/>
  <c r="B59" i="6"/>
  <c r="I58" i="6"/>
  <c r="D58" i="6"/>
  <c r="F58" i="6" s="1"/>
  <c r="G58" i="6" s="1"/>
  <c r="E58" i="6"/>
  <c r="J58" i="6"/>
  <c r="M56" i="6"/>
  <c r="N56" i="6"/>
  <c r="O56" i="6" s="1"/>
  <c r="K58" i="6" l="1"/>
  <c r="L58" i="6" s="1"/>
  <c r="H58" i="6"/>
  <c r="J59" i="6"/>
  <c r="D59" i="6"/>
  <c r="F59" i="6" s="1"/>
  <c r="G59" i="6" s="1"/>
  <c r="E59" i="6"/>
  <c r="I59" i="6"/>
  <c r="A61" i="6"/>
  <c r="B60" i="6"/>
  <c r="M57" i="6"/>
  <c r="N57" i="6"/>
  <c r="O57" i="6" s="1"/>
  <c r="K59" i="6" l="1"/>
  <c r="L59" i="6" s="1"/>
  <c r="E60" i="6"/>
  <c r="I60" i="6"/>
  <c r="J60" i="6"/>
  <c r="D60" i="6"/>
  <c r="F60" i="6" s="1"/>
  <c r="G60" i="6" s="1"/>
  <c r="H59" i="6"/>
  <c r="B61" i="6"/>
  <c r="A62" i="6"/>
  <c r="N58" i="6"/>
  <c r="O58" i="6" s="1"/>
  <c r="M58" i="6"/>
  <c r="K60" i="6" l="1"/>
  <c r="L60" i="6" s="1"/>
  <c r="A63" i="6"/>
  <c r="B62" i="6"/>
  <c r="J61" i="6"/>
  <c r="I61" i="6"/>
  <c r="D61" i="6"/>
  <c r="F61" i="6" s="1"/>
  <c r="G61" i="6" s="1"/>
  <c r="E61" i="6"/>
  <c r="N59" i="6"/>
  <c r="O59" i="6" s="1"/>
  <c r="M59" i="6"/>
  <c r="H60" i="6"/>
  <c r="K61" i="6" l="1"/>
  <c r="L61" i="6" s="1"/>
  <c r="H61" i="6"/>
  <c r="J62" i="6"/>
  <c r="D62" i="6"/>
  <c r="F62" i="6" s="1"/>
  <c r="G62" i="6" s="1"/>
  <c r="I62" i="6"/>
  <c r="K62" i="6" s="1"/>
  <c r="E62" i="6"/>
  <c r="M60" i="6"/>
  <c r="N60" i="6"/>
  <c r="O60" i="6" s="1"/>
  <c r="B63" i="6"/>
  <c r="A64" i="6"/>
  <c r="H62" i="6" l="1"/>
  <c r="L62" i="6"/>
  <c r="N61" i="6"/>
  <c r="O61" i="6" s="1"/>
  <c r="M61" i="6"/>
  <c r="A65" i="6"/>
  <c r="B64" i="6"/>
  <c r="D63" i="6"/>
  <c r="F63" i="6" s="1"/>
  <c r="G63" i="6" s="1"/>
  <c r="J63" i="6"/>
  <c r="I63" i="6"/>
  <c r="E63" i="6"/>
  <c r="H63" i="6" l="1"/>
  <c r="D64" i="6"/>
  <c r="J64" i="6"/>
  <c r="E64" i="6"/>
  <c r="I64" i="6"/>
  <c r="K64" i="6" s="1"/>
  <c r="B65" i="6"/>
  <c r="A66" i="6"/>
  <c r="N62" i="6"/>
  <c r="O62" i="6" s="1"/>
  <c r="M62" i="6"/>
  <c r="K63" i="6"/>
  <c r="L63" i="6" s="1"/>
  <c r="F64" i="6" l="1"/>
  <c r="G64" i="6" s="1"/>
  <c r="H64" i="6" s="1"/>
  <c r="N63" i="6"/>
  <c r="O63" i="6" s="1"/>
  <c r="M63" i="6"/>
  <c r="B66" i="6"/>
  <c r="A67" i="6"/>
  <c r="I65" i="6"/>
  <c r="J65" i="6"/>
  <c r="E65" i="6"/>
  <c r="D65" i="6"/>
  <c r="F65" i="6" s="1"/>
  <c r="G65" i="6" s="1"/>
  <c r="K65" i="6" l="1"/>
  <c r="L65" i="6" s="1"/>
  <c r="L64" i="6"/>
  <c r="M64" i="6" s="1"/>
  <c r="B67" i="6"/>
  <c r="A68" i="6"/>
  <c r="E66" i="6"/>
  <c r="J66" i="6"/>
  <c r="D66" i="6"/>
  <c r="F66" i="6" s="1"/>
  <c r="G66" i="6" s="1"/>
  <c r="I66" i="6"/>
  <c r="K66" i="6" s="1"/>
  <c r="H65" i="6"/>
  <c r="N64" i="6" l="1"/>
  <c r="O64" i="6" s="1"/>
  <c r="B68" i="6"/>
  <c r="A69" i="6"/>
  <c r="H66" i="6"/>
  <c r="L66" i="6"/>
  <c r="J67" i="6"/>
  <c r="I67" i="6"/>
  <c r="K67" i="6" s="1"/>
  <c r="D67" i="6"/>
  <c r="F67" i="6" s="1"/>
  <c r="G67" i="6" s="1"/>
  <c r="E67" i="6"/>
  <c r="M65" i="6"/>
  <c r="N65" i="6"/>
  <c r="O65" i="6" s="1"/>
  <c r="M66" i="6" l="1"/>
  <c r="N66" i="6"/>
  <c r="O66" i="6" s="1"/>
  <c r="L67" i="6"/>
  <c r="H67" i="6"/>
  <c r="B69" i="6"/>
  <c r="A70" i="6"/>
  <c r="J68" i="6"/>
  <c r="I68" i="6"/>
  <c r="K68" i="6" s="1"/>
  <c r="E68" i="6"/>
  <c r="D68" i="6"/>
  <c r="F68" i="6" s="1"/>
  <c r="G68" i="6" s="1"/>
  <c r="B70" i="6" l="1"/>
  <c r="A71" i="6"/>
  <c r="D69" i="6"/>
  <c r="F69" i="6" s="1"/>
  <c r="G69" i="6" s="1"/>
  <c r="J69" i="6"/>
  <c r="I69" i="6"/>
  <c r="K69" i="6" s="1"/>
  <c r="E69" i="6"/>
  <c r="N67" i="6"/>
  <c r="O67" i="6" s="1"/>
  <c r="M67" i="6"/>
  <c r="H68" i="6"/>
  <c r="L68" i="6"/>
  <c r="H69" i="6" l="1"/>
  <c r="L69" i="6"/>
  <c r="N68" i="6"/>
  <c r="O68" i="6" s="1"/>
  <c r="M68" i="6"/>
  <c r="A72" i="6"/>
  <c r="B71" i="6"/>
  <c r="E70" i="6"/>
  <c r="D70" i="6"/>
  <c r="F70" i="6" s="1"/>
  <c r="G70" i="6" s="1"/>
  <c r="J70" i="6"/>
  <c r="I70" i="6"/>
  <c r="K70" i="6" s="1"/>
  <c r="I71" i="6" l="1"/>
  <c r="E71" i="6"/>
  <c r="D71" i="6"/>
  <c r="F71" i="6" s="1"/>
  <c r="G71" i="6" s="1"/>
  <c r="J71" i="6"/>
  <c r="A73" i="6"/>
  <c r="B72" i="6"/>
  <c r="L70" i="6"/>
  <c r="H70" i="6"/>
  <c r="M69" i="6"/>
  <c r="N69" i="6"/>
  <c r="O69" i="6" s="1"/>
  <c r="E72" i="6" l="1"/>
  <c r="J72" i="6"/>
  <c r="D72" i="6"/>
  <c r="F72" i="6" s="1"/>
  <c r="G72" i="6" s="1"/>
  <c r="I72" i="6"/>
  <c r="M70" i="6"/>
  <c r="N70" i="6"/>
  <c r="O70" i="6" s="1"/>
  <c r="B73" i="6"/>
  <c r="A74" i="6"/>
  <c r="H71" i="6"/>
  <c r="K71" i="6"/>
  <c r="L71" i="6" s="1"/>
  <c r="K72" i="6" l="1"/>
  <c r="L72" i="6" s="1"/>
  <c r="M71" i="6"/>
  <c r="N71" i="6"/>
  <c r="O71" i="6" s="1"/>
  <c r="A75" i="6"/>
  <c r="B74" i="6"/>
  <c r="I73" i="6"/>
  <c r="K73" i="6" s="1"/>
  <c r="D73" i="6"/>
  <c r="F73" i="6" s="1"/>
  <c r="G73" i="6" s="1"/>
  <c r="E73" i="6"/>
  <c r="J73" i="6"/>
  <c r="H72" i="6"/>
  <c r="H73" i="6" l="1"/>
  <c r="L73" i="6"/>
  <c r="J74" i="6"/>
  <c r="I74" i="6"/>
  <c r="K74" i="6" s="1"/>
  <c r="E74" i="6"/>
  <c r="D74" i="6"/>
  <c r="F74" i="6" s="1"/>
  <c r="G74" i="6" s="1"/>
  <c r="B75" i="6"/>
  <c r="A76" i="6"/>
  <c r="M72" i="6"/>
  <c r="N72" i="6"/>
  <c r="O72" i="6" s="1"/>
  <c r="B76" i="6" l="1"/>
  <c r="A77" i="6"/>
  <c r="L74" i="6"/>
  <c r="H74" i="6"/>
  <c r="M73" i="6"/>
  <c r="N73" i="6"/>
  <c r="O73" i="6" s="1"/>
  <c r="I75" i="6"/>
  <c r="K75" i="6" s="1"/>
  <c r="E75" i="6"/>
  <c r="J75" i="6"/>
  <c r="D75" i="6"/>
  <c r="F75" i="6" l="1"/>
  <c r="G75" i="6" s="1"/>
  <c r="L75" i="6" s="1"/>
  <c r="M74" i="6"/>
  <c r="N74" i="6"/>
  <c r="O74" i="6" s="1"/>
  <c r="A78" i="6"/>
  <c r="B77" i="6"/>
  <c r="J76" i="6"/>
  <c r="E76" i="6"/>
  <c r="I76" i="6"/>
  <c r="D76" i="6"/>
  <c r="F76" i="6" s="1"/>
  <c r="G76" i="6" s="1"/>
  <c r="H75" i="6" l="1"/>
  <c r="D77" i="6"/>
  <c r="F77" i="6" s="1"/>
  <c r="G77" i="6" s="1"/>
  <c r="E77" i="6"/>
  <c r="J77" i="6"/>
  <c r="I77" i="6"/>
  <c r="K77" i="6" s="1"/>
  <c r="B78" i="6"/>
  <c r="A79" i="6"/>
  <c r="M75" i="6"/>
  <c r="N75" i="6"/>
  <c r="O75" i="6" s="1"/>
  <c r="H76" i="6"/>
  <c r="K76" i="6"/>
  <c r="L76" i="6" s="1"/>
  <c r="M76" i="6" l="1"/>
  <c r="N76" i="6"/>
  <c r="O76" i="6" s="1"/>
  <c r="B79" i="6"/>
  <c r="A80" i="6"/>
  <c r="I78" i="6"/>
  <c r="E78" i="6"/>
  <c r="D78" i="6"/>
  <c r="F78" i="6" s="1"/>
  <c r="G78" i="6" s="1"/>
  <c r="J78" i="6"/>
  <c r="H77" i="6"/>
  <c r="L77" i="6"/>
  <c r="K78" i="6" l="1"/>
  <c r="L78" i="6" s="1"/>
  <c r="H78" i="6"/>
  <c r="A81" i="6"/>
  <c r="B80" i="6"/>
  <c r="E79" i="6"/>
  <c r="D79" i="6"/>
  <c r="F79" i="6" s="1"/>
  <c r="G79" i="6" s="1"/>
  <c r="J79" i="6"/>
  <c r="I79" i="6"/>
  <c r="K79" i="6" s="1"/>
  <c r="N77" i="6"/>
  <c r="O77" i="6" s="1"/>
  <c r="M77" i="6"/>
  <c r="H79" i="6" l="1"/>
  <c r="L79" i="6"/>
  <c r="D80" i="6"/>
  <c r="F80" i="6" s="1"/>
  <c r="G80" i="6" s="1"/>
  <c r="J80" i="6"/>
  <c r="E80" i="6"/>
  <c r="I80" i="6"/>
  <c r="B81" i="6"/>
  <c r="A82" i="6"/>
  <c r="M78" i="6"/>
  <c r="N78" i="6"/>
  <c r="O78" i="6" s="1"/>
  <c r="K80" i="6" l="1"/>
  <c r="L80" i="6" s="1"/>
  <c r="D81" i="6"/>
  <c r="F81" i="6" s="1"/>
  <c r="G81" i="6" s="1"/>
  <c r="E81" i="6"/>
  <c r="J81" i="6"/>
  <c r="I81" i="6"/>
  <c r="K81" i="6" s="1"/>
  <c r="H80" i="6"/>
  <c r="A83" i="6"/>
  <c r="B82" i="6"/>
  <c r="N79" i="6"/>
  <c r="O79" i="6" s="1"/>
  <c r="M79" i="6"/>
  <c r="E82" i="6" l="1"/>
  <c r="J82" i="6"/>
  <c r="I82" i="6"/>
  <c r="K82" i="6" s="1"/>
  <c r="D82" i="6"/>
  <c r="F82" i="6" s="1"/>
  <c r="G82" i="6" s="1"/>
  <c r="B83" i="6"/>
  <c r="A84" i="6"/>
  <c r="N80" i="6"/>
  <c r="O80" i="6" s="1"/>
  <c r="M80" i="6"/>
  <c r="H81" i="6"/>
  <c r="L81" i="6"/>
  <c r="B84" i="6" l="1"/>
  <c r="A85" i="6"/>
  <c r="N81" i="6"/>
  <c r="O81" i="6" s="1"/>
  <c r="M81" i="6"/>
  <c r="D83" i="6"/>
  <c r="F83" i="6" s="1"/>
  <c r="G83" i="6" s="1"/>
  <c r="J83" i="6"/>
  <c r="E83" i="6"/>
  <c r="I83" i="6"/>
  <c r="K83" i="6" s="1"/>
  <c r="H82" i="6"/>
  <c r="L82" i="6"/>
  <c r="L83" i="6" l="1"/>
  <c r="H83" i="6"/>
  <c r="N82" i="6"/>
  <c r="O82" i="6" s="1"/>
  <c r="M82" i="6"/>
  <c r="B85" i="6"/>
  <c r="A86" i="6"/>
  <c r="J84" i="6"/>
  <c r="R84" i="6"/>
  <c r="I84" i="6"/>
  <c r="D84" i="6"/>
  <c r="F84" i="6" s="1"/>
  <c r="G84" i="6" s="1"/>
  <c r="E84" i="6"/>
  <c r="K84" i="6" l="1"/>
  <c r="L84" i="6" s="1"/>
  <c r="A87" i="6"/>
  <c r="B86" i="6"/>
  <c r="J85" i="6"/>
  <c r="D85" i="6"/>
  <c r="F85" i="6" s="1"/>
  <c r="G85" i="6" s="1"/>
  <c r="E85" i="6"/>
  <c r="I85" i="6"/>
  <c r="K85" i="6" s="1"/>
  <c r="H84" i="6"/>
  <c r="M83" i="6"/>
  <c r="N83" i="6"/>
  <c r="O83" i="6" s="1"/>
  <c r="N84" i="6" l="1"/>
  <c r="O84" i="6" s="1"/>
  <c r="M84" i="6"/>
  <c r="H85" i="6"/>
  <c r="L85" i="6"/>
  <c r="E86" i="6"/>
  <c r="D86" i="6"/>
  <c r="F86" i="6" s="1"/>
  <c r="G86" i="6" s="1"/>
  <c r="J86" i="6"/>
  <c r="I86" i="6"/>
  <c r="B87" i="6"/>
  <c r="A88" i="6"/>
  <c r="K86" i="6" l="1"/>
  <c r="N85" i="6"/>
  <c r="O85" i="6" s="1"/>
  <c r="M85" i="6"/>
  <c r="H86" i="6"/>
  <c r="L86" i="6"/>
  <c r="A89" i="6"/>
  <c r="B88" i="6"/>
  <c r="J87" i="6"/>
  <c r="D87" i="6"/>
  <c r="F87" i="6" s="1"/>
  <c r="G87" i="6" s="1"/>
  <c r="E87" i="6"/>
  <c r="I87" i="6"/>
  <c r="K87" i="6" s="1"/>
  <c r="H87" i="6" l="1"/>
  <c r="L87" i="6"/>
  <c r="J88" i="6"/>
  <c r="I88" i="6"/>
  <c r="K88" i="6" s="1"/>
  <c r="E88" i="6"/>
  <c r="D88" i="6"/>
  <c r="F88" i="6" s="1"/>
  <c r="G88" i="6" s="1"/>
  <c r="M86" i="6"/>
  <c r="N86" i="6"/>
  <c r="O86" i="6" s="1"/>
  <c r="A90" i="6"/>
  <c r="B89" i="6"/>
  <c r="N87" i="6" l="1"/>
  <c r="O87" i="6" s="1"/>
  <c r="M87" i="6"/>
  <c r="H88" i="6"/>
  <c r="L88" i="6"/>
  <c r="J89" i="6"/>
  <c r="E89" i="6"/>
  <c r="D89" i="6"/>
  <c r="F89" i="6" s="1"/>
  <c r="G89" i="6" s="1"/>
  <c r="I89" i="6"/>
  <c r="K89" i="6" s="1"/>
  <c r="A91" i="6"/>
  <c r="B90" i="6"/>
  <c r="N88" i="6" l="1"/>
  <c r="O88" i="6" s="1"/>
  <c r="M88" i="6"/>
  <c r="L89" i="6"/>
  <c r="H89" i="6"/>
  <c r="I90" i="6"/>
  <c r="K90" i="6" s="1"/>
  <c r="E90" i="6"/>
  <c r="J90" i="6"/>
  <c r="D90" i="6"/>
  <c r="F90" i="6" s="1"/>
  <c r="G90" i="6" s="1"/>
  <c r="A92" i="6"/>
  <c r="B91" i="6"/>
  <c r="H90" i="6" l="1"/>
  <c r="L90" i="6"/>
  <c r="M89" i="6"/>
  <c r="N89" i="6"/>
  <c r="O89" i="6" s="1"/>
  <c r="J91" i="6"/>
  <c r="E91" i="6"/>
  <c r="I91" i="6"/>
  <c r="D91" i="6"/>
  <c r="F91" i="6" s="1"/>
  <c r="G91" i="6" s="1"/>
  <c r="A93" i="6"/>
  <c r="B92" i="6"/>
  <c r="K91" i="6" l="1"/>
  <c r="L91" i="6" s="1"/>
  <c r="H91" i="6"/>
  <c r="M90" i="6"/>
  <c r="N90" i="6"/>
  <c r="O90" i="6" s="1"/>
  <c r="J92" i="6"/>
  <c r="D92" i="6"/>
  <c r="F92" i="6" s="1"/>
  <c r="G92" i="6" s="1"/>
  <c r="I92" i="6"/>
  <c r="K92" i="6" s="1"/>
  <c r="E92" i="6"/>
  <c r="A94" i="6"/>
  <c r="B93" i="6"/>
  <c r="H92" i="6" l="1"/>
  <c r="L92" i="6"/>
  <c r="I93" i="6"/>
  <c r="D93" i="6"/>
  <c r="F93" i="6" s="1"/>
  <c r="G93" i="6" s="1"/>
  <c r="E93" i="6"/>
  <c r="J93" i="6"/>
  <c r="B94" i="6"/>
  <c r="A95" i="6"/>
  <c r="M91" i="6"/>
  <c r="N91" i="6"/>
  <c r="O91" i="6" s="1"/>
  <c r="D94" i="6" l="1"/>
  <c r="F94" i="6" s="1"/>
  <c r="G94" i="6" s="1"/>
  <c r="J94" i="6"/>
  <c r="E94" i="6"/>
  <c r="I94" i="6"/>
  <c r="A96" i="6"/>
  <c r="B95" i="6"/>
  <c r="H93" i="6"/>
  <c r="K93" i="6"/>
  <c r="L93" i="6" s="1"/>
  <c r="M92" i="6"/>
  <c r="N92" i="6"/>
  <c r="O92" i="6" s="1"/>
  <c r="N93" i="6" l="1"/>
  <c r="O93" i="6" s="1"/>
  <c r="M93" i="6"/>
  <c r="I95" i="6"/>
  <c r="K95" i="6" s="1"/>
  <c r="E95" i="6"/>
  <c r="D95" i="6"/>
  <c r="F95" i="6" s="1"/>
  <c r="G95" i="6" s="1"/>
  <c r="J95" i="6"/>
  <c r="B96" i="6"/>
  <c r="A97" i="6"/>
  <c r="K94" i="6"/>
  <c r="L94" i="6" s="1"/>
  <c r="H94" i="6"/>
  <c r="N94" i="6" l="1"/>
  <c r="O94" i="6" s="1"/>
  <c r="M94" i="6"/>
  <c r="B97" i="6"/>
  <c r="A98" i="6"/>
  <c r="J96" i="6"/>
  <c r="I96" i="6"/>
  <c r="K96" i="6" s="1"/>
  <c r="D96" i="6"/>
  <c r="F96" i="6" s="1"/>
  <c r="G96" i="6" s="1"/>
  <c r="E96" i="6"/>
  <c r="H95" i="6"/>
  <c r="L95" i="6"/>
  <c r="B98" i="6" l="1"/>
  <c r="A99" i="6"/>
  <c r="D97" i="6"/>
  <c r="F97" i="6" s="1"/>
  <c r="G97" i="6" s="1"/>
  <c r="I97" i="6"/>
  <c r="E97" i="6"/>
  <c r="J97" i="6"/>
  <c r="M95" i="6"/>
  <c r="N95" i="6"/>
  <c r="O95" i="6" s="1"/>
  <c r="L96" i="6"/>
  <c r="H96" i="6"/>
  <c r="H97" i="6" l="1"/>
  <c r="K97" i="6"/>
  <c r="L97" i="6" s="1"/>
  <c r="A100" i="6"/>
  <c r="B99" i="6"/>
  <c r="M96" i="6"/>
  <c r="N96" i="6"/>
  <c r="O96" i="6" s="1"/>
  <c r="E98" i="6"/>
  <c r="J98" i="6"/>
  <c r="I98" i="6"/>
  <c r="D98" i="6"/>
  <c r="F98" i="6" s="1"/>
  <c r="G98" i="6" s="1"/>
  <c r="K98" i="6" l="1"/>
  <c r="L98" i="6" s="1"/>
  <c r="M97" i="6"/>
  <c r="N97" i="6"/>
  <c r="O97" i="6" s="1"/>
  <c r="H98" i="6"/>
  <c r="I99" i="6"/>
  <c r="E99" i="6"/>
  <c r="J99" i="6"/>
  <c r="D99" i="6"/>
  <c r="F99" i="6" s="1"/>
  <c r="G99" i="6" s="1"/>
  <c r="A101" i="6"/>
  <c r="B101" i="6" s="1"/>
  <c r="B100" i="6"/>
  <c r="K99" i="6" l="1"/>
  <c r="L99" i="6" s="1"/>
  <c r="H99" i="6"/>
  <c r="N98" i="6"/>
  <c r="O98" i="6" s="1"/>
  <c r="M98" i="6"/>
  <c r="J100" i="6"/>
  <c r="D100" i="6"/>
  <c r="F100" i="6" s="1"/>
  <c r="G100" i="6" s="1"/>
  <c r="E100" i="6"/>
  <c r="I100" i="6"/>
  <c r="K100" i="6" s="1"/>
  <c r="R101" i="6"/>
  <c r="D101" i="6"/>
  <c r="F101" i="6" s="1"/>
  <c r="G101" i="6" s="1"/>
  <c r="E101" i="6"/>
  <c r="J101" i="6"/>
  <c r="I101" i="6"/>
  <c r="K101" i="6" s="1"/>
  <c r="L100" i="6" l="1"/>
  <c r="H100" i="6"/>
  <c r="M99" i="6"/>
  <c r="N99" i="6"/>
  <c r="O99" i="6" s="1"/>
  <c r="H101" i="6"/>
  <c r="L101" i="6"/>
  <c r="M101" i="6" l="1"/>
  <c r="N101" i="6"/>
  <c r="O101" i="6" s="1"/>
  <c r="M100" i="6"/>
  <c r="N100" i="6"/>
  <c r="O100" i="6" s="1"/>
</calcChain>
</file>

<file path=xl/sharedStrings.xml><?xml version="1.0" encoding="utf-8"?>
<sst xmlns="http://schemas.openxmlformats.org/spreadsheetml/2006/main" count="620" uniqueCount="342">
  <si>
    <t>This spreadsheet guides the User through the design process for a CONTINUOUS CONDUCTION MODE PFC BOOST converter using the UCC28019 controller.</t>
  </si>
  <si>
    <t>1. The Macros must be ENABLED.</t>
  </si>
  <si>
    <t>2. The Analysis ToolPak Add-In must be checked.</t>
  </si>
  <si>
    <t>• This feature can be found in the Tools Menu.</t>
  </si>
  <si>
    <t>• Select Add-Ins</t>
  </si>
  <si>
    <t>• Check the box next to Analysis ToolPak</t>
  </si>
  <si>
    <t>3. Enter the desired design parameters in the YELLOW shaded boxes</t>
  </si>
  <si>
    <t>5. Actual standard values must be entered for the spreadsheet to calculate the gain-phase plots.</t>
  </si>
  <si>
    <t>Design Specifications</t>
  </si>
  <si>
    <t>Description</t>
  </si>
  <si>
    <t xml:space="preserve">Minimum </t>
  </si>
  <si>
    <t>Maximum</t>
  </si>
  <si>
    <t xml:space="preserve">Typical </t>
  </si>
  <si>
    <t>Input Voltage</t>
  </si>
  <si>
    <t>Output Voltage</t>
  </si>
  <si>
    <t>Allowable Output Voltage
Transients (90% Load Step)</t>
  </si>
  <si>
    <t>Unit</t>
  </si>
  <si>
    <t>V</t>
  </si>
  <si>
    <t>W</t>
  </si>
  <si>
    <t xml:space="preserve"> </t>
  </si>
  <si>
    <t>kHz</t>
  </si>
  <si>
    <r>
      <t>Output Power (P</t>
    </r>
    <r>
      <rPr>
        <b/>
        <vertAlign val="subscript"/>
        <sz val="12"/>
        <rFont val="Arial"/>
        <family val="2"/>
      </rPr>
      <t>OUT</t>
    </r>
    <r>
      <rPr>
        <b/>
        <sz val="12"/>
        <rFont val="Arial"/>
        <family val="2"/>
      </rPr>
      <t>)</t>
    </r>
  </si>
  <si>
    <r>
      <t>Inductor (L</t>
    </r>
    <r>
      <rPr>
        <b/>
        <vertAlign val="subscript"/>
        <sz val="12"/>
        <rFont val="Arial"/>
        <family val="2"/>
      </rPr>
      <t>OUT</t>
    </r>
    <r>
      <rPr>
        <b/>
        <sz val="12"/>
        <rFont val="Arial"/>
        <family val="2"/>
      </rPr>
      <t>) Switching Frequency</t>
    </r>
  </si>
  <si>
    <t>Full Load Efficiency</t>
  </si>
  <si>
    <r>
      <t>P</t>
    </r>
    <r>
      <rPr>
        <b/>
        <vertAlign val="subscript"/>
        <sz val="12"/>
        <rFont val="Arial"/>
        <family val="2"/>
      </rPr>
      <t>BUDGET</t>
    </r>
  </si>
  <si>
    <r>
      <t>V</t>
    </r>
    <r>
      <rPr>
        <b/>
        <vertAlign val="subscript"/>
        <sz val="12"/>
        <rFont val="Arial"/>
        <family val="2"/>
      </rPr>
      <t>RDSON</t>
    </r>
  </si>
  <si>
    <t>a1</t>
  </si>
  <si>
    <t>Variable</t>
  </si>
  <si>
    <r>
      <t>T1 Transformer Turns Ratio=N</t>
    </r>
    <r>
      <rPr>
        <b/>
        <vertAlign val="subscript"/>
        <sz val="12"/>
        <rFont val="Arial"/>
        <family val="2"/>
      </rPr>
      <t>P</t>
    </r>
    <r>
      <rPr>
        <b/>
        <sz val="12"/>
        <rFont val="Arial"/>
        <family val="2"/>
      </rPr>
      <t>/N</t>
    </r>
    <r>
      <rPr>
        <b/>
        <vertAlign val="subscript"/>
        <sz val="12"/>
        <rFont val="Arial"/>
        <family val="2"/>
      </rPr>
      <t>S</t>
    </r>
  </si>
  <si>
    <t>Maximum Duty Cycle Nominal</t>
  </si>
  <si>
    <t>Typical Duty Cycle</t>
  </si>
  <si>
    <r>
      <t>D</t>
    </r>
    <r>
      <rPr>
        <b/>
        <vertAlign val="subscript"/>
        <sz val="12"/>
        <rFont val="Arial"/>
        <family val="2"/>
      </rPr>
      <t>MAX</t>
    </r>
  </si>
  <si>
    <r>
      <t>D</t>
    </r>
    <r>
      <rPr>
        <b/>
        <vertAlign val="subscript"/>
        <sz val="12"/>
        <rFont val="Arial"/>
        <family val="2"/>
      </rPr>
      <t>TYP</t>
    </r>
  </si>
  <si>
    <t>Inductor Ripple Current</t>
  </si>
  <si>
    <t>A</t>
  </si>
  <si>
    <r>
      <t>L</t>
    </r>
    <r>
      <rPr>
        <b/>
        <vertAlign val="subscript"/>
        <sz val="12"/>
        <rFont val="Arial"/>
        <family val="2"/>
      </rPr>
      <t>MAG</t>
    </r>
  </si>
  <si>
    <t>mH</t>
  </si>
  <si>
    <r>
      <t>I</t>
    </r>
    <r>
      <rPr>
        <b/>
        <vertAlign val="subscript"/>
        <sz val="12"/>
        <rFont val="Arial"/>
        <family val="2"/>
      </rPr>
      <t>PS</t>
    </r>
  </si>
  <si>
    <r>
      <t>I</t>
    </r>
    <r>
      <rPr>
        <b/>
        <vertAlign val="subscript"/>
        <sz val="12"/>
        <rFont val="Arial"/>
        <family val="2"/>
      </rPr>
      <t>MS</t>
    </r>
  </si>
  <si>
    <r>
      <t>I</t>
    </r>
    <r>
      <rPr>
        <b/>
        <vertAlign val="subscript"/>
        <sz val="12"/>
        <rFont val="Arial"/>
        <family val="2"/>
      </rPr>
      <t>SRMS1</t>
    </r>
  </si>
  <si>
    <r>
      <t>I</t>
    </r>
    <r>
      <rPr>
        <b/>
        <vertAlign val="subscript"/>
        <sz val="12"/>
        <rFont val="Arial"/>
        <family val="2"/>
      </rPr>
      <t>MS2</t>
    </r>
  </si>
  <si>
    <r>
      <t>I</t>
    </r>
    <r>
      <rPr>
        <b/>
        <vertAlign val="subscript"/>
        <sz val="12"/>
        <rFont val="Arial"/>
        <family val="2"/>
      </rPr>
      <t>SRMS2</t>
    </r>
  </si>
  <si>
    <r>
      <t>I</t>
    </r>
    <r>
      <rPr>
        <b/>
        <vertAlign val="subscript"/>
        <sz val="12"/>
        <rFont val="Arial"/>
        <family val="2"/>
      </rPr>
      <t>SRMS3</t>
    </r>
  </si>
  <si>
    <r>
      <t>I</t>
    </r>
    <r>
      <rPr>
        <b/>
        <vertAlign val="subscript"/>
        <sz val="12"/>
        <rFont val="Arial"/>
        <family val="2"/>
      </rPr>
      <t>SRMS</t>
    </r>
  </si>
  <si>
    <r>
      <t>dIL</t>
    </r>
    <r>
      <rPr>
        <b/>
        <vertAlign val="subscript"/>
        <sz val="12"/>
        <rFont val="Arial"/>
        <family val="2"/>
      </rPr>
      <t>MAG</t>
    </r>
  </si>
  <si>
    <r>
      <t>I</t>
    </r>
    <r>
      <rPr>
        <b/>
        <vertAlign val="subscript"/>
        <sz val="12"/>
        <rFont val="Arial"/>
        <family val="2"/>
      </rPr>
      <t>PP</t>
    </r>
  </si>
  <si>
    <r>
      <t>I</t>
    </r>
    <r>
      <rPr>
        <b/>
        <vertAlign val="subscript"/>
        <sz val="12"/>
        <rFont val="Arial"/>
        <family val="2"/>
      </rPr>
      <t>MP</t>
    </r>
  </si>
  <si>
    <r>
      <t>I</t>
    </r>
    <r>
      <rPr>
        <b/>
        <vertAlign val="subscript"/>
        <sz val="12"/>
        <rFont val="Arial"/>
        <family val="2"/>
      </rPr>
      <t>MP2</t>
    </r>
  </si>
  <si>
    <r>
      <t>I</t>
    </r>
    <r>
      <rPr>
        <b/>
        <vertAlign val="subscript"/>
        <sz val="12"/>
        <rFont val="Arial"/>
        <family val="2"/>
      </rPr>
      <t>PRMS1</t>
    </r>
  </si>
  <si>
    <r>
      <t>I</t>
    </r>
    <r>
      <rPr>
        <b/>
        <vertAlign val="subscript"/>
        <sz val="12"/>
        <rFont val="Arial"/>
        <family val="2"/>
      </rPr>
      <t>PRMS2</t>
    </r>
  </si>
  <si>
    <r>
      <t>DCR</t>
    </r>
    <r>
      <rPr>
        <b/>
        <vertAlign val="subscript"/>
        <sz val="12"/>
        <rFont val="Arial"/>
        <family val="2"/>
      </rPr>
      <t>P</t>
    </r>
  </si>
  <si>
    <r>
      <t>I</t>
    </r>
    <r>
      <rPr>
        <b/>
        <vertAlign val="subscript"/>
        <sz val="12"/>
        <rFont val="Arial"/>
        <family val="2"/>
      </rPr>
      <t>PRMS</t>
    </r>
  </si>
  <si>
    <r>
      <t>DCR</t>
    </r>
    <r>
      <rPr>
        <b/>
        <vertAlign val="subscript"/>
        <sz val="12"/>
        <rFont val="Arial"/>
        <family val="2"/>
      </rPr>
      <t>S</t>
    </r>
  </si>
  <si>
    <r>
      <t>P</t>
    </r>
    <r>
      <rPr>
        <b/>
        <vertAlign val="subscript"/>
        <sz val="12"/>
        <rFont val="Arial"/>
        <family val="2"/>
      </rPr>
      <t>T1</t>
    </r>
  </si>
  <si>
    <t>Transformer Primary DC Resistance</t>
  </si>
  <si>
    <t>Transformer Secondary DC Resistance</t>
  </si>
  <si>
    <t>Estimated transform loss, 2X Copper Losses</t>
  </si>
  <si>
    <t>Recalculate Power Budget</t>
  </si>
  <si>
    <t>QA, QB, QC, QD FET selection:</t>
  </si>
  <si>
    <r>
      <t>R</t>
    </r>
    <r>
      <rPr>
        <b/>
        <vertAlign val="subscript"/>
        <sz val="12"/>
        <rFont val="Arial"/>
        <family val="2"/>
      </rPr>
      <t>ds(on)QA</t>
    </r>
  </si>
  <si>
    <t>FET drain to source on resistance</t>
  </si>
  <si>
    <t>FET Specified Coss</t>
  </si>
  <si>
    <t>pF</t>
  </si>
  <si>
    <r>
      <t>C</t>
    </r>
    <r>
      <rPr>
        <b/>
        <vertAlign val="subscript"/>
        <sz val="12"/>
        <rFont val="Arial"/>
        <family val="2"/>
      </rPr>
      <t>OSS_QA_SPEC</t>
    </r>
  </si>
  <si>
    <r>
      <t>V</t>
    </r>
    <r>
      <rPr>
        <b/>
        <vertAlign val="subscript"/>
        <sz val="12"/>
        <rFont val="Arial"/>
        <family val="2"/>
      </rPr>
      <t>dsQA</t>
    </r>
  </si>
  <si>
    <r>
      <t>Calculate average C</t>
    </r>
    <r>
      <rPr>
        <b/>
        <vertAlign val="subscript"/>
        <sz val="12"/>
        <rFont val="Arial"/>
        <family val="2"/>
      </rPr>
      <t xml:space="preserve">OSS </t>
    </r>
  </si>
  <si>
    <r>
      <t>C</t>
    </r>
    <r>
      <rPr>
        <b/>
        <vertAlign val="subscript"/>
        <sz val="12"/>
        <rFont val="Arial"/>
        <family val="2"/>
      </rPr>
      <t>OSS_QA_AVG</t>
    </r>
  </si>
  <si>
    <r>
      <t>P</t>
    </r>
    <r>
      <rPr>
        <b/>
        <vertAlign val="subscript"/>
        <sz val="12"/>
        <rFont val="Arial"/>
        <family val="2"/>
      </rPr>
      <t>QA</t>
    </r>
  </si>
  <si>
    <t xml:space="preserve">Calculate QA losses </t>
  </si>
  <si>
    <r>
      <t>V</t>
    </r>
    <r>
      <rPr>
        <b/>
        <vertAlign val="subscript"/>
        <sz val="12"/>
        <rFont val="Arial"/>
        <family val="2"/>
      </rPr>
      <t>g</t>
    </r>
  </si>
  <si>
    <r>
      <t>QA</t>
    </r>
    <r>
      <rPr>
        <b/>
        <vertAlign val="subscript"/>
        <sz val="12"/>
        <rFont val="Arial"/>
        <family val="2"/>
      </rPr>
      <t>g</t>
    </r>
  </si>
  <si>
    <t>nC</t>
  </si>
  <si>
    <t>Primary Magnetizing Inductance</t>
  </si>
  <si>
    <r>
      <t>L</t>
    </r>
    <r>
      <rPr>
        <b/>
        <vertAlign val="subscript"/>
        <sz val="12"/>
        <rFont val="Arial"/>
        <family val="2"/>
      </rPr>
      <t>S</t>
    </r>
  </si>
  <si>
    <t>uH</t>
  </si>
  <si>
    <r>
      <t>DCR</t>
    </r>
    <r>
      <rPr>
        <b/>
        <vertAlign val="subscript"/>
        <sz val="12"/>
        <rFont val="Arial"/>
        <family val="2"/>
      </rPr>
      <t>LS</t>
    </r>
  </si>
  <si>
    <r>
      <t>L</t>
    </r>
    <r>
      <rPr>
        <b/>
        <vertAlign val="subscript"/>
        <sz val="12"/>
        <rFont val="Arial"/>
        <family val="2"/>
      </rPr>
      <t>S</t>
    </r>
    <r>
      <rPr>
        <b/>
        <sz val="12"/>
        <rFont val="Arial"/>
        <family val="2"/>
      </rPr>
      <t xml:space="preserve"> DC Resistance</t>
    </r>
  </si>
  <si>
    <r>
      <t>Estimate L</t>
    </r>
    <r>
      <rPr>
        <b/>
        <vertAlign val="subscript"/>
        <sz val="12"/>
        <rFont val="Arial"/>
        <family val="2"/>
      </rPr>
      <t xml:space="preserve">S </t>
    </r>
    <r>
      <rPr>
        <b/>
        <sz val="12"/>
        <rFont val="Arial"/>
        <family val="2"/>
      </rPr>
      <t>power loss (P</t>
    </r>
    <r>
      <rPr>
        <b/>
        <vertAlign val="subscript"/>
        <sz val="12"/>
        <rFont val="Arial"/>
        <family val="2"/>
      </rPr>
      <t>LS</t>
    </r>
    <r>
      <rPr>
        <b/>
        <sz val="12"/>
        <rFont val="Arial"/>
        <family val="2"/>
      </rPr>
      <t xml:space="preserve">) </t>
    </r>
  </si>
  <si>
    <r>
      <t>P</t>
    </r>
    <r>
      <rPr>
        <b/>
        <vertAlign val="subscript"/>
        <sz val="12"/>
        <rFont val="Arial"/>
        <family val="2"/>
      </rPr>
      <t>LS</t>
    </r>
  </si>
  <si>
    <r>
      <t>L</t>
    </r>
    <r>
      <rPr>
        <b/>
        <vertAlign val="subscript"/>
        <sz val="12"/>
        <rFont val="Arial"/>
        <family val="2"/>
      </rPr>
      <t>OUT</t>
    </r>
  </si>
  <si>
    <r>
      <t>DCR</t>
    </r>
    <r>
      <rPr>
        <b/>
        <vertAlign val="subscript"/>
        <sz val="12"/>
        <rFont val="Arial"/>
        <family val="2"/>
      </rPr>
      <t>LOUT</t>
    </r>
  </si>
  <si>
    <r>
      <t>Estimate L</t>
    </r>
    <r>
      <rPr>
        <b/>
        <vertAlign val="subscript"/>
        <sz val="12"/>
        <rFont val="Arial"/>
        <family val="2"/>
      </rPr>
      <t xml:space="preserve">OUT </t>
    </r>
    <r>
      <rPr>
        <b/>
        <sz val="12"/>
        <rFont val="Arial"/>
        <family val="2"/>
      </rPr>
      <t>power loss</t>
    </r>
  </si>
  <si>
    <r>
      <t>P</t>
    </r>
    <r>
      <rPr>
        <b/>
        <vertAlign val="subscript"/>
        <sz val="12"/>
        <rFont val="Arial"/>
        <family val="2"/>
      </rPr>
      <t>LOUT</t>
    </r>
  </si>
  <si>
    <r>
      <t>Calculate L</t>
    </r>
    <r>
      <rPr>
        <b/>
        <vertAlign val="subscript"/>
        <sz val="12"/>
        <rFont val="Arial"/>
        <family val="2"/>
      </rPr>
      <t>OUT</t>
    </r>
    <r>
      <rPr>
        <b/>
        <sz val="12"/>
        <rFont val="Arial"/>
        <family val="2"/>
      </rPr>
      <t xml:space="preserve"> RMS Current</t>
    </r>
  </si>
  <si>
    <r>
      <t>I</t>
    </r>
    <r>
      <rPr>
        <b/>
        <vertAlign val="subscript"/>
        <sz val="12"/>
        <rFont val="Arial"/>
        <family val="2"/>
      </rPr>
      <t>LOUT_RMS</t>
    </r>
  </si>
  <si>
    <t>Calculated Shim Inductance</t>
  </si>
  <si>
    <t>Calculate Output Inductance</t>
  </si>
  <si>
    <r>
      <t>t</t>
    </r>
    <r>
      <rPr>
        <b/>
        <vertAlign val="subscript"/>
        <sz val="12"/>
        <rFont val="Arial"/>
        <family val="2"/>
      </rPr>
      <t>HU</t>
    </r>
  </si>
  <si>
    <r>
      <t>Time it takes L</t>
    </r>
    <r>
      <rPr>
        <b/>
        <vertAlign val="subscript"/>
        <sz val="12"/>
        <rFont val="Arial"/>
        <family val="2"/>
      </rPr>
      <t xml:space="preserve">OUT </t>
    </r>
    <r>
      <rPr>
        <b/>
        <sz val="12"/>
        <rFont val="Arial"/>
        <family val="2"/>
      </rPr>
      <t>to change 90% of its full load current</t>
    </r>
  </si>
  <si>
    <t>us</t>
  </si>
  <si>
    <r>
      <t>ESR</t>
    </r>
    <r>
      <rPr>
        <b/>
        <vertAlign val="subscript"/>
        <sz val="12"/>
        <rFont val="Arial"/>
        <family val="2"/>
      </rPr>
      <t>COUT</t>
    </r>
  </si>
  <si>
    <r>
      <t>C</t>
    </r>
    <r>
      <rPr>
        <b/>
        <vertAlign val="subscript"/>
        <sz val="12"/>
        <rFont val="Arial"/>
        <family val="2"/>
      </rPr>
      <t>OUT</t>
    </r>
  </si>
  <si>
    <t>uF</t>
  </si>
  <si>
    <t>n</t>
  </si>
  <si>
    <t>Single Capacitor Capacitance</t>
  </si>
  <si>
    <t>Single Capacitor ESR</t>
  </si>
  <si>
    <t>Total Output Capacitance</t>
  </si>
  <si>
    <r>
      <t>I</t>
    </r>
    <r>
      <rPr>
        <b/>
        <vertAlign val="subscript"/>
        <sz val="12"/>
        <rFont val="Arial"/>
        <family val="2"/>
      </rPr>
      <t>COUT_RMS</t>
    </r>
  </si>
  <si>
    <t>Output Capacitance RMS Current</t>
  </si>
  <si>
    <t>Calculate Output Capacitance Loss</t>
  </si>
  <si>
    <r>
      <t>P</t>
    </r>
    <r>
      <rPr>
        <b/>
        <vertAlign val="subscript"/>
        <sz val="12"/>
        <rFont val="Arial"/>
        <family val="2"/>
      </rPr>
      <t>COUT</t>
    </r>
  </si>
  <si>
    <r>
      <t>V</t>
    </r>
    <r>
      <rPr>
        <b/>
        <vertAlign val="subscript"/>
        <sz val="12"/>
        <rFont val="Arial"/>
        <family val="2"/>
      </rPr>
      <t>DROP</t>
    </r>
  </si>
  <si>
    <t>Minimum Input During Line Dropout</t>
  </si>
  <si>
    <r>
      <t>C</t>
    </r>
    <r>
      <rPr>
        <b/>
        <vertAlign val="subscript"/>
        <sz val="12"/>
        <rFont val="Arial"/>
        <family val="2"/>
      </rPr>
      <t>IN</t>
    </r>
  </si>
  <si>
    <t>Calculate Minimum Input Capacitance</t>
  </si>
  <si>
    <r>
      <t>High Frequency C</t>
    </r>
    <r>
      <rPr>
        <b/>
        <vertAlign val="subscript"/>
        <sz val="12"/>
        <rFont val="Arial"/>
        <family val="2"/>
      </rPr>
      <t>IN</t>
    </r>
    <r>
      <rPr>
        <b/>
        <sz val="12"/>
        <rFont val="Arial"/>
        <family val="2"/>
      </rPr>
      <t xml:space="preserve"> RMS Current</t>
    </r>
  </si>
  <si>
    <r>
      <t>I</t>
    </r>
    <r>
      <rPr>
        <b/>
        <vertAlign val="subscript"/>
        <sz val="12"/>
        <rFont val="Arial"/>
        <family val="2"/>
      </rPr>
      <t>CINRMS</t>
    </r>
  </si>
  <si>
    <r>
      <t>ESR</t>
    </r>
    <r>
      <rPr>
        <b/>
        <vertAlign val="subscript"/>
        <sz val="12"/>
        <rFont val="Arial"/>
        <family val="2"/>
      </rPr>
      <t>CIN</t>
    </r>
  </si>
  <si>
    <r>
      <t>P</t>
    </r>
    <r>
      <rPr>
        <b/>
        <vertAlign val="subscript"/>
        <sz val="12"/>
        <rFont val="Arial"/>
        <family val="2"/>
      </rPr>
      <t>CIN</t>
    </r>
  </si>
  <si>
    <t>Select FETs QE and QF:</t>
  </si>
  <si>
    <r>
      <t>QE</t>
    </r>
    <r>
      <rPr>
        <b/>
        <vertAlign val="subscript"/>
        <sz val="12"/>
        <rFont val="Arial"/>
        <family val="2"/>
      </rPr>
      <t>g</t>
    </r>
  </si>
  <si>
    <r>
      <t>R</t>
    </r>
    <r>
      <rPr>
        <b/>
        <vertAlign val="subscript"/>
        <sz val="12"/>
        <rFont val="Arial"/>
        <family val="2"/>
      </rPr>
      <t>ds(on)QE</t>
    </r>
  </si>
  <si>
    <t>QE and QF Gate Charge</t>
  </si>
  <si>
    <t xml:space="preserve">Set Initial Power Budget </t>
  </si>
  <si>
    <t>Estimated FET Voltage Drop</t>
  </si>
  <si>
    <t>QA FET Gate Charge</t>
  </si>
  <si>
    <r>
      <t>Voltage Across Drain to Source Where C</t>
    </r>
    <r>
      <rPr>
        <b/>
        <vertAlign val="subscript"/>
        <sz val="12"/>
        <rFont val="Arial"/>
        <family val="2"/>
      </rPr>
      <t xml:space="preserve">OSS </t>
    </r>
    <r>
      <rPr>
        <b/>
        <sz val="12"/>
        <color indexed="8"/>
        <rFont val="Arial"/>
        <family val="2"/>
      </rPr>
      <t>was Measured, Data Sheet Parameter</t>
    </r>
  </si>
  <si>
    <r>
      <t>V</t>
    </r>
    <r>
      <rPr>
        <b/>
        <vertAlign val="subscript"/>
        <sz val="12"/>
        <rFont val="Arial"/>
        <family val="2"/>
      </rPr>
      <t>dsQE</t>
    </r>
  </si>
  <si>
    <r>
      <t>V</t>
    </r>
    <r>
      <rPr>
        <b/>
        <vertAlign val="subscript"/>
        <sz val="12"/>
        <rFont val="Arial"/>
        <family val="2"/>
      </rPr>
      <t>dsQE_SPEC</t>
    </r>
  </si>
  <si>
    <r>
      <t>Voltage Specified at C</t>
    </r>
    <r>
      <rPr>
        <b/>
        <vertAlign val="subscript"/>
        <sz val="12"/>
        <rFont val="Arial"/>
        <family val="2"/>
      </rPr>
      <t>OSS</t>
    </r>
    <r>
      <rPr>
        <b/>
        <sz val="12"/>
        <rFont val="Arial"/>
        <family val="2"/>
      </rPr>
      <t xml:space="preserve"> Specified in the Data Sheet</t>
    </r>
  </si>
  <si>
    <r>
      <t>C</t>
    </r>
    <r>
      <rPr>
        <b/>
        <vertAlign val="subscript"/>
        <sz val="12"/>
        <rFont val="Arial"/>
        <family val="2"/>
      </rPr>
      <t>OSS_SPEC</t>
    </r>
  </si>
  <si>
    <r>
      <t>Specified QE and QF C</t>
    </r>
    <r>
      <rPr>
        <b/>
        <vertAlign val="subscript"/>
        <sz val="12"/>
        <rFont val="Arial"/>
        <family val="2"/>
      </rPr>
      <t xml:space="preserve">OSS </t>
    </r>
    <r>
      <rPr>
        <b/>
        <sz val="12"/>
        <rFont val="Arial"/>
        <family val="2"/>
      </rPr>
      <t>From the Data Sheet</t>
    </r>
  </si>
  <si>
    <r>
      <t>C</t>
    </r>
    <r>
      <rPr>
        <b/>
        <vertAlign val="subscript"/>
        <sz val="12"/>
        <rFont val="Arial"/>
        <family val="2"/>
      </rPr>
      <t>OSS_QE_AVG</t>
    </r>
  </si>
  <si>
    <r>
      <t>Average QE and QF C</t>
    </r>
    <r>
      <rPr>
        <b/>
        <vertAlign val="subscript"/>
        <sz val="12"/>
        <rFont val="Arial"/>
        <family val="2"/>
      </rPr>
      <t>OSS</t>
    </r>
  </si>
  <si>
    <t>QE and QF RMS Current</t>
  </si>
  <si>
    <r>
      <t>I</t>
    </r>
    <r>
      <rPr>
        <b/>
        <vertAlign val="subscript"/>
        <sz val="12"/>
        <rFont val="Arial"/>
        <family val="2"/>
      </rPr>
      <t>QE_RMS</t>
    </r>
  </si>
  <si>
    <r>
      <t>QE</t>
    </r>
    <r>
      <rPr>
        <b/>
        <vertAlign val="subscript"/>
        <sz val="12"/>
        <rFont val="Arial"/>
        <family val="2"/>
      </rPr>
      <t>MILLER_MAX</t>
    </r>
  </si>
  <si>
    <r>
      <t>QE</t>
    </r>
    <r>
      <rPr>
        <b/>
        <vertAlign val="subscript"/>
        <sz val="12"/>
        <rFont val="Arial"/>
        <family val="2"/>
      </rPr>
      <t>MILLER_MIN</t>
    </r>
  </si>
  <si>
    <t>Maximum Gate Charge at the end of the Miller Plateau</t>
  </si>
  <si>
    <t>Peak Current Gate of QE and QF is Driven with</t>
  </si>
  <si>
    <r>
      <t>I</t>
    </r>
    <r>
      <rPr>
        <b/>
        <vertAlign val="subscript"/>
        <sz val="12"/>
        <rFont val="Arial"/>
        <family val="2"/>
      </rPr>
      <t>P</t>
    </r>
  </si>
  <si>
    <r>
      <t>t</t>
    </r>
    <r>
      <rPr>
        <b/>
        <vertAlign val="subscript"/>
        <sz val="12"/>
        <rFont val="Arial"/>
        <family val="2"/>
      </rPr>
      <t>r</t>
    </r>
    <r>
      <rPr>
        <b/>
        <sz val="12"/>
        <rFont val="Arial"/>
        <family val="2"/>
      </rPr>
      <t xml:space="preserve"> ≈ t</t>
    </r>
    <r>
      <rPr>
        <b/>
        <vertAlign val="subscript"/>
        <sz val="12"/>
        <rFont val="Arial"/>
        <family val="2"/>
      </rPr>
      <t>f</t>
    </r>
  </si>
  <si>
    <t>ns</t>
  </si>
  <si>
    <t>Estimate QE FET Losses</t>
  </si>
  <si>
    <r>
      <t>P</t>
    </r>
    <r>
      <rPr>
        <b/>
        <vertAlign val="subscript"/>
        <sz val="12"/>
        <rFont val="Arial"/>
        <family val="2"/>
      </rPr>
      <t>QE</t>
    </r>
  </si>
  <si>
    <t>Maximum Voltage Across QE and QF</t>
  </si>
  <si>
    <t>a2</t>
  </si>
  <si>
    <r>
      <t>Select CT and Enter Turns Ratio a2 = I</t>
    </r>
    <r>
      <rPr>
        <b/>
        <vertAlign val="subscript"/>
        <sz val="12"/>
        <rFont val="Arial"/>
        <family val="2"/>
      </rPr>
      <t>P</t>
    </r>
    <r>
      <rPr>
        <b/>
        <sz val="12"/>
        <rFont val="Arial"/>
        <family val="2"/>
      </rPr>
      <t>/I</t>
    </r>
    <r>
      <rPr>
        <b/>
        <vertAlign val="subscript"/>
        <sz val="12"/>
        <rFont val="Arial"/>
        <family val="2"/>
      </rPr>
      <t>S</t>
    </r>
  </si>
  <si>
    <t>Std. Resistors</t>
  </si>
  <si>
    <t>Capacitors</t>
  </si>
  <si>
    <t>Enter resistor value</t>
  </si>
  <si>
    <t>E6</t>
  </si>
  <si>
    <t>E96</t>
  </si>
  <si>
    <t>Cap value</t>
  </si>
  <si>
    <t>Closest E6 Value</t>
  </si>
  <si>
    <t>Closest E12 Value</t>
  </si>
  <si>
    <t>C values up to 10nF</t>
  </si>
  <si>
    <t>Closest E24 Value</t>
  </si>
  <si>
    <t>Closest E48 Value</t>
  </si>
  <si>
    <t>Closest E96 Value</t>
  </si>
  <si>
    <t>E12</t>
  </si>
  <si>
    <t>C values greater than 10nF</t>
  </si>
  <si>
    <t>E24</t>
  </si>
  <si>
    <t>E48</t>
  </si>
  <si>
    <r>
      <t>R</t>
    </r>
    <r>
      <rPr>
        <b/>
        <vertAlign val="subscript"/>
        <sz val="12"/>
        <rFont val="Arial"/>
        <family val="2"/>
      </rPr>
      <t>S</t>
    </r>
  </si>
  <si>
    <t>Calculate Current Sense Resistor</t>
  </si>
  <si>
    <t>Ω</t>
  </si>
  <si>
    <r>
      <t>I</t>
    </r>
    <r>
      <rPr>
        <b/>
        <vertAlign val="subscript"/>
        <sz val="12"/>
        <rFont val="Arial"/>
        <family val="2"/>
      </rPr>
      <t>P1</t>
    </r>
  </si>
  <si>
    <r>
      <t>Calculate nominal peak current (I</t>
    </r>
    <r>
      <rPr>
        <b/>
        <vertAlign val="subscript"/>
        <sz val="12"/>
        <rFont val="Arial"/>
        <family val="2"/>
      </rPr>
      <t>P1</t>
    </r>
    <r>
      <rPr>
        <b/>
        <sz val="12"/>
        <rFont val="Arial"/>
        <family val="2"/>
      </rPr>
      <t>) at V</t>
    </r>
    <r>
      <rPr>
        <b/>
        <vertAlign val="subscript"/>
        <sz val="12"/>
        <rFont val="Arial"/>
        <family val="2"/>
      </rPr>
      <t>INMIN</t>
    </r>
  </si>
  <si>
    <t>Select Current Sense Resistor for Your Design</t>
  </si>
  <si>
    <t>Estimate Rs Power Loss</t>
  </si>
  <si>
    <r>
      <t>P</t>
    </r>
    <r>
      <rPr>
        <b/>
        <vertAlign val="subscript"/>
        <sz val="12"/>
        <rFont val="Arial"/>
        <family val="2"/>
      </rPr>
      <t>RS</t>
    </r>
  </si>
  <si>
    <r>
      <t>V</t>
    </r>
    <r>
      <rPr>
        <b/>
        <vertAlign val="subscript"/>
        <sz val="12"/>
        <rFont val="Arial"/>
        <family val="2"/>
      </rPr>
      <t>DA</t>
    </r>
  </si>
  <si>
    <r>
      <t>Maximum Diode D</t>
    </r>
    <r>
      <rPr>
        <b/>
        <vertAlign val="subscript"/>
        <sz val="12"/>
        <rFont val="Arial"/>
        <family val="2"/>
      </rPr>
      <t>A</t>
    </r>
    <r>
      <rPr>
        <b/>
        <sz val="12"/>
        <rFont val="Arial"/>
        <family val="2"/>
      </rPr>
      <t xml:space="preserve"> Reverse Voltage</t>
    </r>
  </si>
  <si>
    <r>
      <t>t</t>
    </r>
    <r>
      <rPr>
        <b/>
        <vertAlign val="subscript"/>
        <sz val="12"/>
        <rFont val="Arial"/>
        <family val="2"/>
      </rPr>
      <t>DELAY</t>
    </r>
  </si>
  <si>
    <t>fr</t>
  </si>
  <si>
    <t>Calculate Resonant Tank Frequency</t>
  </si>
  <si>
    <t>Possible Delay That will Be Required for ZVS</t>
  </si>
  <si>
    <r>
      <t>D</t>
    </r>
    <r>
      <rPr>
        <b/>
        <vertAlign val="subscript"/>
        <sz val="12"/>
        <rFont val="Arial"/>
        <family val="2"/>
      </rPr>
      <t>CLAMP</t>
    </r>
  </si>
  <si>
    <r>
      <t>t</t>
    </r>
    <r>
      <rPr>
        <b/>
        <vertAlign val="subscript"/>
        <sz val="12"/>
        <rFont val="Arial"/>
        <family val="2"/>
      </rPr>
      <t>DELAY</t>
    </r>
    <r>
      <rPr>
        <b/>
        <sz val="12"/>
        <rFont val="Arial"/>
        <family val="2"/>
      </rPr>
      <t xml:space="preserve"> will act as a duty cycle clamp</t>
    </r>
  </si>
  <si>
    <t>Switching Cycle Period</t>
  </si>
  <si>
    <t>ts</t>
  </si>
  <si>
    <t>Shim Inductance Used</t>
  </si>
  <si>
    <t>Output Inductance Used</t>
  </si>
  <si>
    <t>Selecting Power Transformer (T1)</t>
  </si>
  <si>
    <t>Number of Output Capacitors Used</t>
  </si>
  <si>
    <t>Input Capacitance Used</t>
  </si>
  <si>
    <r>
      <t>Estimate D</t>
    </r>
    <r>
      <rPr>
        <b/>
        <vertAlign val="subscript"/>
        <sz val="12"/>
        <rFont val="Arial"/>
        <family val="2"/>
      </rPr>
      <t>A</t>
    </r>
    <r>
      <rPr>
        <b/>
        <sz val="12"/>
        <rFont val="Arial"/>
        <family val="2"/>
      </rPr>
      <t xml:space="preserve"> Losses</t>
    </r>
  </si>
  <si>
    <r>
      <t>P</t>
    </r>
    <r>
      <rPr>
        <b/>
        <vertAlign val="subscript"/>
        <sz val="12"/>
        <rFont val="Arial"/>
        <family val="2"/>
      </rPr>
      <t>DA</t>
    </r>
  </si>
  <si>
    <t>V1</t>
  </si>
  <si>
    <r>
      <t>R</t>
    </r>
    <r>
      <rPr>
        <b/>
        <vertAlign val="subscript"/>
        <sz val="12"/>
        <rFont val="Arial"/>
        <family val="2"/>
      </rPr>
      <t>B</t>
    </r>
  </si>
  <si>
    <t>Select Standard Resistor</t>
  </si>
  <si>
    <r>
      <t>R</t>
    </r>
    <r>
      <rPr>
        <b/>
        <vertAlign val="subscript"/>
        <sz val="12"/>
        <rFont val="Arial"/>
        <family val="2"/>
      </rPr>
      <t>A</t>
    </r>
  </si>
  <si>
    <t>Calculated Resistance</t>
  </si>
  <si>
    <r>
      <t>R</t>
    </r>
    <r>
      <rPr>
        <b/>
        <vertAlign val="subscript"/>
        <sz val="12"/>
        <rFont val="Arial"/>
        <family val="2"/>
      </rPr>
      <t>C</t>
    </r>
  </si>
  <si>
    <r>
      <t>R</t>
    </r>
    <r>
      <rPr>
        <b/>
        <vertAlign val="subscript"/>
        <sz val="12"/>
        <rFont val="Arial"/>
        <family val="2"/>
      </rPr>
      <t>I</t>
    </r>
  </si>
  <si>
    <r>
      <t>f</t>
    </r>
    <r>
      <rPr>
        <b/>
        <vertAlign val="subscript"/>
        <sz val="12"/>
        <rFont val="Arial"/>
        <family val="2"/>
      </rPr>
      <t>C</t>
    </r>
  </si>
  <si>
    <t>Voltage Loop Crossover Frequency</t>
  </si>
  <si>
    <r>
      <t>R</t>
    </r>
    <r>
      <rPr>
        <b/>
        <vertAlign val="subscript"/>
        <sz val="12"/>
        <rFont val="Arial"/>
        <family val="2"/>
      </rPr>
      <t>LOAD</t>
    </r>
  </si>
  <si>
    <t>a1*a2*rload/rs</t>
  </si>
  <si>
    <t>Constant</t>
  </si>
  <si>
    <t>n1/d1</t>
  </si>
  <si>
    <t>n1divd1</t>
  </si>
  <si>
    <t>1/d2</t>
  </si>
  <si>
    <t>n1/(d1*d2)</t>
  </si>
  <si>
    <t>a1*a2*rload/rs*(n1/(d1*d2))</t>
  </si>
  <si>
    <t>absolute maximum(a1*a2*rload/rs*(n1/(d1*d2)))</t>
  </si>
  <si>
    <t>n1</t>
  </si>
  <si>
    <t>|Gco(fc)|</t>
  </si>
  <si>
    <r>
      <t>R</t>
    </r>
    <r>
      <rPr>
        <b/>
        <vertAlign val="subscript"/>
        <sz val="12"/>
        <rFont val="Arial"/>
        <family val="2"/>
      </rPr>
      <t>F</t>
    </r>
  </si>
  <si>
    <t>Calculate Feedback Resistor</t>
  </si>
  <si>
    <r>
      <t>C</t>
    </r>
    <r>
      <rPr>
        <b/>
        <vertAlign val="subscript"/>
        <sz val="12"/>
        <rFont val="Arial"/>
        <family val="2"/>
      </rPr>
      <t>Z</t>
    </r>
  </si>
  <si>
    <t>nF</t>
  </si>
  <si>
    <t>Calculate Pole Capacitor</t>
  </si>
  <si>
    <t>Calculate Zero Capacitor</t>
  </si>
  <si>
    <t>mΩ</t>
  </si>
  <si>
    <t>Output Capacitance ESR  ≤</t>
  </si>
  <si>
    <t>Output Capacitance Cout  ≥</t>
  </si>
  <si>
    <t>kΩ</t>
  </si>
  <si>
    <r>
      <t>C</t>
    </r>
    <r>
      <rPr>
        <b/>
        <vertAlign val="subscript"/>
        <sz val="12"/>
        <rFont val="Arial"/>
        <family val="2"/>
      </rPr>
      <t>P</t>
    </r>
  </si>
  <si>
    <t>Cz</t>
  </si>
  <si>
    <t>values up to 10 nF</t>
  </si>
  <si>
    <t>values greater than 10nf</t>
  </si>
  <si>
    <r>
      <t>t</t>
    </r>
    <r>
      <rPr>
        <b/>
        <vertAlign val="subscript"/>
        <sz val="12"/>
        <rFont val="Arial"/>
        <family val="2"/>
      </rPr>
      <t>SS</t>
    </r>
  </si>
  <si>
    <t>Soft Start Time</t>
  </si>
  <si>
    <t>ms</t>
  </si>
  <si>
    <r>
      <t>C</t>
    </r>
    <r>
      <rPr>
        <b/>
        <vertAlign val="subscript"/>
        <sz val="12"/>
        <rFont val="Arial"/>
        <family val="2"/>
      </rPr>
      <t>SS</t>
    </r>
  </si>
  <si>
    <t>values greater than 10 nf</t>
  </si>
  <si>
    <r>
      <t>t</t>
    </r>
    <r>
      <rPr>
        <b/>
        <vertAlign val="subscript"/>
        <sz val="12"/>
        <rFont val="Arial"/>
        <family val="2"/>
      </rPr>
      <t>ABSET</t>
    </r>
  </si>
  <si>
    <r>
      <t>R</t>
    </r>
    <r>
      <rPr>
        <b/>
        <vertAlign val="subscript"/>
        <sz val="12"/>
        <rFont val="Arial"/>
        <family val="2"/>
      </rPr>
      <t>DELAB</t>
    </r>
  </si>
  <si>
    <r>
      <t>R</t>
    </r>
    <r>
      <rPr>
        <b/>
        <vertAlign val="subscript"/>
        <sz val="12"/>
        <rFont val="Arial"/>
        <family val="2"/>
      </rPr>
      <t>DELCD</t>
    </r>
  </si>
  <si>
    <r>
      <t>t</t>
    </r>
    <r>
      <rPr>
        <b/>
        <vertAlign val="subscript"/>
        <sz val="12"/>
        <rFont val="Arial"/>
        <family val="2"/>
      </rPr>
      <t>CDSET</t>
    </r>
  </si>
  <si>
    <r>
      <t>Set to half of t</t>
    </r>
    <r>
      <rPr>
        <b/>
        <vertAlign val="subscript"/>
        <sz val="12"/>
        <rFont val="Arial"/>
        <family val="2"/>
      </rPr>
      <t>ABSET</t>
    </r>
  </si>
  <si>
    <r>
      <t>R</t>
    </r>
    <r>
      <rPr>
        <b/>
        <vertAlign val="subscript"/>
        <sz val="12"/>
        <rFont val="Arial"/>
        <family val="2"/>
      </rPr>
      <t>DELEF</t>
    </r>
  </si>
  <si>
    <t>Setting Minimum on Time</t>
  </si>
  <si>
    <t>Minimum on Time</t>
  </si>
  <si>
    <r>
      <t>t</t>
    </r>
    <r>
      <rPr>
        <b/>
        <vertAlign val="subscript"/>
        <sz val="12"/>
        <rFont val="Arial"/>
        <family val="2"/>
      </rPr>
      <t>MIN</t>
    </r>
  </si>
  <si>
    <r>
      <t>R</t>
    </r>
    <r>
      <rPr>
        <b/>
        <vertAlign val="subscript"/>
        <sz val="12"/>
        <rFont val="Arial"/>
        <family val="2"/>
      </rPr>
      <t>TMIN</t>
    </r>
  </si>
  <si>
    <r>
      <t>Calculate R</t>
    </r>
    <r>
      <rPr>
        <b/>
        <vertAlign val="subscript"/>
        <sz val="12"/>
        <rFont val="Arial"/>
        <family val="2"/>
      </rPr>
      <t>TMIN</t>
    </r>
  </si>
  <si>
    <t>Setup PWM Switching Frequency</t>
  </si>
  <si>
    <r>
      <t>Calculate R</t>
    </r>
    <r>
      <rPr>
        <b/>
        <vertAlign val="subscript"/>
        <sz val="12"/>
        <rFont val="Arial"/>
        <family val="2"/>
      </rPr>
      <t>T</t>
    </r>
    <r>
      <rPr>
        <b/>
        <sz val="12"/>
        <rFont val="Arial"/>
        <family val="2"/>
      </rPr>
      <t xml:space="preserve"> Value</t>
    </r>
  </si>
  <si>
    <r>
      <t>R</t>
    </r>
    <r>
      <rPr>
        <b/>
        <vertAlign val="subscript"/>
        <sz val="12"/>
        <rFont val="Arial"/>
        <family val="2"/>
      </rPr>
      <t>T</t>
    </r>
  </si>
  <si>
    <t>Setup Slope Compensation</t>
  </si>
  <si>
    <t>V/us</t>
  </si>
  <si>
    <r>
      <t>Calculate V</t>
    </r>
    <r>
      <rPr>
        <b/>
        <vertAlign val="subscript"/>
        <sz val="12"/>
        <rFont val="Arial"/>
        <family val="2"/>
      </rPr>
      <t>SLOPE</t>
    </r>
  </si>
  <si>
    <r>
      <t>V</t>
    </r>
    <r>
      <rPr>
        <b/>
        <vertAlign val="subscript"/>
        <sz val="12"/>
        <rFont val="Arial"/>
        <family val="2"/>
      </rPr>
      <t>SLOPE</t>
    </r>
  </si>
  <si>
    <r>
      <t>Calculate R</t>
    </r>
    <r>
      <rPr>
        <b/>
        <vertAlign val="subscript"/>
        <sz val="12"/>
        <rFont val="Arial"/>
        <family val="2"/>
      </rPr>
      <t>SUM</t>
    </r>
  </si>
  <si>
    <r>
      <t>R</t>
    </r>
    <r>
      <rPr>
        <b/>
        <vertAlign val="subscript"/>
        <sz val="12"/>
        <rFont val="Arial"/>
        <family val="2"/>
      </rPr>
      <t>SUM</t>
    </r>
  </si>
  <si>
    <r>
      <t>Voltage across R</t>
    </r>
    <r>
      <rPr>
        <b/>
        <vertAlign val="subscript"/>
        <sz val="12"/>
        <rFont val="Arial"/>
        <family val="2"/>
      </rPr>
      <t>S</t>
    </r>
    <r>
      <rPr>
        <b/>
        <sz val="12"/>
        <rFont val="Arial"/>
        <family val="2"/>
      </rPr>
      <t xml:space="preserve"> at 15% load</t>
    </r>
  </si>
  <si>
    <r>
      <t>V</t>
    </r>
    <r>
      <rPr>
        <b/>
        <vertAlign val="subscript"/>
        <sz val="12"/>
        <rFont val="Arial"/>
        <family val="2"/>
      </rPr>
      <t>RS</t>
    </r>
  </si>
  <si>
    <r>
      <t>R</t>
    </r>
    <r>
      <rPr>
        <b/>
        <vertAlign val="subscript"/>
        <sz val="12"/>
        <rFont val="Arial"/>
        <family val="2"/>
      </rPr>
      <t>G</t>
    </r>
  </si>
  <si>
    <r>
      <t>R</t>
    </r>
    <r>
      <rPr>
        <b/>
        <vertAlign val="subscript"/>
        <sz val="12"/>
        <rFont val="Arial"/>
        <family val="2"/>
      </rPr>
      <t>E</t>
    </r>
  </si>
  <si>
    <r>
      <t>Calculate R</t>
    </r>
    <r>
      <rPr>
        <b/>
        <vertAlign val="subscript"/>
        <sz val="12"/>
        <rFont val="Arial"/>
        <family val="2"/>
      </rPr>
      <t xml:space="preserve">E </t>
    </r>
  </si>
  <si>
    <r>
      <t>Δ</t>
    </r>
    <r>
      <rPr>
        <b/>
        <sz val="12"/>
        <rFont val="Arial"/>
        <family val="2"/>
      </rPr>
      <t>I</t>
    </r>
    <r>
      <rPr>
        <b/>
        <vertAlign val="subscript"/>
        <sz val="12"/>
        <rFont val="Arial"/>
        <family val="2"/>
      </rPr>
      <t>LOUT</t>
    </r>
  </si>
  <si>
    <t>Partial RMS Current</t>
  </si>
  <si>
    <t>Counter</t>
  </si>
  <si>
    <t>Gco n1/d1</t>
  </si>
  <si>
    <t>Gco 1/d2</t>
  </si>
  <si>
    <t>Gco n1/(d1*d2)</t>
  </si>
  <si>
    <t>Gco(f)</t>
  </si>
  <si>
    <t>|Gco(f)|</t>
  </si>
  <si>
    <t>Gc n1/n1</t>
  </si>
  <si>
    <t>Gc 1/n2</t>
  </si>
  <si>
    <t>Gc(f)</t>
  </si>
  <si>
    <t>Gc(f)*Gco(f)</t>
  </si>
  <si>
    <t>TvdB(f)</t>
  </si>
  <si>
    <r>
      <t>ӨT</t>
    </r>
    <r>
      <rPr>
        <vertAlign val="subscript"/>
        <sz val="10"/>
        <rFont val="Arial"/>
        <family val="2"/>
      </rPr>
      <t>V</t>
    </r>
    <r>
      <rPr>
        <sz val="10"/>
        <rFont val="Arial"/>
      </rPr>
      <t>(f)</t>
    </r>
  </si>
  <si>
    <t>frequency</t>
  </si>
  <si>
    <t>TvdB(f)
MathCad Check</t>
  </si>
  <si>
    <r>
      <t>ӨT</t>
    </r>
    <r>
      <rPr>
        <vertAlign val="subscript"/>
        <sz val="10"/>
        <rFont val="Arial"/>
        <family val="2"/>
      </rPr>
      <t>V</t>
    </r>
    <r>
      <rPr>
        <sz val="10"/>
        <rFont val="Arial"/>
      </rPr>
      <t>(f)
MathCAD
Check</t>
    </r>
  </si>
  <si>
    <t>Frequency</t>
  </si>
  <si>
    <t>ӨTv(f)</t>
  </si>
  <si>
    <t>T1 Primary Magnetizing Inductance &gt; or =</t>
  </si>
  <si>
    <r>
      <t>Calculate T1 Secondary RMS Current (I</t>
    </r>
    <r>
      <rPr>
        <b/>
        <vertAlign val="subscript"/>
        <sz val="12"/>
        <rFont val="Arial"/>
        <family val="2"/>
      </rPr>
      <t>SRMS</t>
    </r>
    <r>
      <rPr>
        <b/>
        <sz val="12"/>
        <rFont val="Arial"/>
        <family val="2"/>
      </rPr>
      <t>)</t>
    </r>
  </si>
  <si>
    <r>
      <t>L</t>
    </r>
    <r>
      <rPr>
        <b/>
        <vertAlign val="subscript"/>
        <sz val="12"/>
        <rFont val="Arial"/>
        <family val="2"/>
      </rPr>
      <t>OUT</t>
    </r>
    <r>
      <rPr>
        <b/>
        <sz val="12"/>
        <rFont val="Arial"/>
        <family val="2"/>
      </rPr>
      <t xml:space="preserve"> equivalent series resistance</t>
    </r>
  </si>
  <si>
    <t>Total Equivalent Series Resistance</t>
  </si>
  <si>
    <t>QE and QF on Resistance</t>
  </si>
  <si>
    <t>Minimum Gate Charge at the beginning of the Miller Plateau</t>
  </si>
  <si>
    <r>
      <t>Approximate QE and QF V</t>
    </r>
    <r>
      <rPr>
        <b/>
        <vertAlign val="subscript"/>
        <sz val="12"/>
        <rFont val="Arial"/>
        <family val="2"/>
      </rPr>
      <t>ds</t>
    </r>
    <r>
      <rPr>
        <b/>
        <sz val="12"/>
        <rFont val="Arial"/>
        <family val="2"/>
      </rPr>
      <t xml:space="preserve"> Rise and Fall Times</t>
    </r>
  </si>
  <si>
    <t>Equivalent Series Resistance</t>
  </si>
  <si>
    <r>
      <t>Estimate C</t>
    </r>
    <r>
      <rPr>
        <b/>
        <vertAlign val="subscript"/>
        <sz val="12"/>
        <rFont val="Arial"/>
        <family val="2"/>
      </rPr>
      <t>IN</t>
    </r>
    <r>
      <rPr>
        <b/>
        <sz val="12"/>
        <rFont val="Arial"/>
        <family val="2"/>
      </rPr>
      <t xml:space="preserve"> Power Dissipation</t>
    </r>
  </si>
  <si>
    <t>Programmed Voltage Reference, Needs to be &lt; 5V</t>
  </si>
  <si>
    <t>Load Impedance at 10% Load</t>
  </si>
  <si>
    <t>Calculate Soft Start Capacitor</t>
  </si>
  <si>
    <t>Calculate 1/4 LC Tank Frequency and set AB Initial Delay</t>
  </si>
  <si>
    <t>Calculate AB timing resistor</t>
  </si>
  <si>
    <r>
      <t>Set Initial CD delay to AB Delay t</t>
    </r>
    <r>
      <rPr>
        <b/>
        <vertAlign val="subscript"/>
        <sz val="12"/>
        <rFont val="Arial"/>
        <family val="2"/>
      </rPr>
      <t>ABSET</t>
    </r>
    <r>
      <rPr>
        <b/>
        <sz val="12"/>
        <rFont val="Arial"/>
        <family val="2"/>
      </rPr>
      <t xml:space="preserve"> = t</t>
    </r>
    <r>
      <rPr>
        <b/>
        <vertAlign val="subscript"/>
        <sz val="12"/>
        <rFont val="Arial"/>
        <family val="2"/>
      </rPr>
      <t>CDSET</t>
    </r>
  </si>
  <si>
    <r>
      <t>Calculate Magnetizing Current during I</t>
    </r>
    <r>
      <rPr>
        <b/>
        <vertAlign val="subscript"/>
        <sz val="12"/>
        <rFont val="Arial"/>
        <family val="2"/>
      </rPr>
      <t>LOUT</t>
    </r>
    <r>
      <rPr>
        <b/>
        <sz val="12"/>
        <rFont val="Arial"/>
        <family val="2"/>
      </rPr>
      <t xml:space="preserve"> down slope</t>
    </r>
  </si>
  <si>
    <t>Setup DCM Comparator</t>
  </si>
  <si>
    <t>Voltage Applied to FET Gate ≈ VDD</t>
  </si>
  <si>
    <r>
      <t>Double pole of G</t>
    </r>
    <r>
      <rPr>
        <b/>
        <vertAlign val="subscript"/>
        <sz val="12"/>
        <rFont val="Arial"/>
        <family val="2"/>
      </rPr>
      <t>CO</t>
    </r>
    <r>
      <rPr>
        <b/>
        <sz val="12"/>
        <rFont val="Arial"/>
        <family val="2"/>
      </rPr>
      <t>(f)</t>
    </r>
  </si>
  <si>
    <r>
      <t>f</t>
    </r>
    <r>
      <rPr>
        <b/>
        <vertAlign val="subscript"/>
        <sz val="12"/>
        <rFont val="Arial"/>
        <family val="2"/>
      </rPr>
      <t>PP</t>
    </r>
  </si>
  <si>
    <r>
      <t>Select Shim Inductor (L</t>
    </r>
    <r>
      <rPr>
        <b/>
        <vertAlign val="subscript"/>
        <sz val="12"/>
        <color indexed="9"/>
        <rFont val="Arial"/>
        <family val="2"/>
      </rPr>
      <t>S</t>
    </r>
    <r>
      <rPr>
        <b/>
        <sz val="12"/>
        <color indexed="9"/>
        <rFont val="Arial"/>
        <family val="2"/>
      </rPr>
      <t>)</t>
    </r>
  </si>
  <si>
    <r>
      <t>Selecting Output Inductor (L</t>
    </r>
    <r>
      <rPr>
        <b/>
        <vertAlign val="subscript"/>
        <sz val="12"/>
        <color indexed="9"/>
        <rFont val="Arial"/>
        <family val="2"/>
      </rPr>
      <t>OUT</t>
    </r>
    <r>
      <rPr>
        <b/>
        <sz val="12"/>
        <color indexed="9"/>
        <rFont val="Arial"/>
        <family val="2"/>
      </rPr>
      <t>)</t>
    </r>
  </si>
  <si>
    <r>
      <t>Selecting Output Capacitance (C</t>
    </r>
    <r>
      <rPr>
        <b/>
        <vertAlign val="subscript"/>
        <sz val="12"/>
        <color indexed="9"/>
        <rFont val="Arial"/>
        <family val="2"/>
      </rPr>
      <t>OUT</t>
    </r>
    <r>
      <rPr>
        <b/>
        <sz val="12"/>
        <color indexed="9"/>
        <rFont val="Arial"/>
        <family val="2"/>
      </rPr>
      <t>)</t>
    </r>
  </si>
  <si>
    <r>
      <t>Input Capacitance Calculations (C</t>
    </r>
    <r>
      <rPr>
        <b/>
        <vertAlign val="subscript"/>
        <sz val="12"/>
        <color indexed="9"/>
        <rFont val="Arial"/>
        <family val="2"/>
      </rPr>
      <t>IN</t>
    </r>
    <r>
      <rPr>
        <b/>
        <sz val="12"/>
        <color indexed="9"/>
        <rFont val="Arial"/>
        <family val="2"/>
      </rPr>
      <t>)</t>
    </r>
  </si>
  <si>
    <t>Recalculate Power Budget 
This is the remaining power left for the CT network, IC and IC sensing resistors</t>
  </si>
  <si>
    <r>
      <t>Setting up Voltage Amplifier Reference G</t>
    </r>
    <r>
      <rPr>
        <b/>
        <vertAlign val="subscript"/>
        <sz val="12"/>
        <color indexed="9"/>
        <rFont val="Arial"/>
        <family val="2"/>
      </rPr>
      <t>C</t>
    </r>
    <r>
      <rPr>
        <b/>
        <sz val="12"/>
        <color indexed="9"/>
        <rFont val="Arial"/>
        <family val="2"/>
      </rPr>
      <t>(f)</t>
    </r>
  </si>
  <si>
    <r>
      <t>Select Soft Start Capacitor (C</t>
    </r>
    <r>
      <rPr>
        <b/>
        <vertAlign val="subscript"/>
        <sz val="12"/>
        <color indexed="9"/>
        <rFont val="Arial"/>
        <family val="2"/>
      </rPr>
      <t>SS</t>
    </r>
    <r>
      <rPr>
        <b/>
        <sz val="12"/>
        <color indexed="9"/>
        <rFont val="Arial"/>
        <family val="2"/>
      </rPr>
      <t>)</t>
    </r>
  </si>
  <si>
    <t>It is recommended that you read this application note before using this design tool</t>
  </si>
  <si>
    <t>Please Refer to Figure of T1 Current</t>
  </si>
  <si>
    <r>
      <t>Primary Magnetizing Current Based on L</t>
    </r>
    <r>
      <rPr>
        <b/>
        <vertAlign val="subscript"/>
        <sz val="12"/>
        <rFont val="Arial"/>
        <family val="2"/>
      </rPr>
      <t>MAG</t>
    </r>
  </si>
  <si>
    <r>
      <t>Calculate T1 Primary RMS Current (I</t>
    </r>
    <r>
      <rPr>
        <b/>
        <vertAlign val="subscript"/>
        <sz val="12"/>
        <rFont val="Arial"/>
        <family val="2"/>
      </rPr>
      <t>PRMS</t>
    </r>
    <r>
      <rPr>
        <b/>
        <sz val="12"/>
        <rFont val="Arial"/>
        <family val="2"/>
      </rPr>
      <t>)</t>
    </r>
  </si>
  <si>
    <r>
      <t>Setting up the current sense network (CT, R</t>
    </r>
    <r>
      <rPr>
        <b/>
        <vertAlign val="subscript"/>
        <sz val="12"/>
        <color indexed="9"/>
        <rFont val="Arial"/>
        <family val="2"/>
      </rPr>
      <t>S</t>
    </r>
    <r>
      <rPr>
        <b/>
        <sz val="12"/>
        <color indexed="9"/>
        <rFont val="Arial"/>
        <family val="2"/>
      </rPr>
      <t>, R</t>
    </r>
    <r>
      <rPr>
        <b/>
        <vertAlign val="subscript"/>
        <sz val="12"/>
        <color indexed="9"/>
        <rFont val="Arial"/>
        <family val="2"/>
      </rPr>
      <t xml:space="preserve">RE, </t>
    </r>
    <r>
      <rPr>
        <b/>
        <sz val="12"/>
        <color indexed="9"/>
        <rFont val="Arial"/>
        <family val="2"/>
      </rPr>
      <t>D</t>
    </r>
    <r>
      <rPr>
        <b/>
        <vertAlign val="subscript"/>
        <sz val="12"/>
        <color indexed="9"/>
        <rFont val="Arial"/>
        <family val="2"/>
      </rPr>
      <t>A</t>
    </r>
    <r>
      <rPr>
        <b/>
        <sz val="12"/>
        <color indexed="9"/>
        <rFont val="Arial"/>
        <family val="2"/>
      </rPr>
      <t>):</t>
    </r>
  </si>
  <si>
    <t>Closest Standard Capacitor Value</t>
  </si>
  <si>
    <t>Closest Standard Resistor Value (E48)</t>
  </si>
  <si>
    <t>4. The spreadsheet will calculate the ideal values and display the results in red type.</t>
  </si>
  <si>
    <r>
      <t>L</t>
    </r>
    <r>
      <rPr>
        <b/>
        <vertAlign val="subscript"/>
        <sz val="12"/>
        <rFont val="Arial"/>
        <family val="2"/>
      </rPr>
      <t>LK</t>
    </r>
  </si>
  <si>
    <t>Measured Transformer Primary Leakage Inductance</t>
  </si>
  <si>
    <t>&gt; Invalid parameters entered in yellow cells</t>
  </si>
  <si>
    <t>&gt; Design cannot calculate realistic values for your design parameters</t>
  </si>
  <si>
    <t>&gt; Efficiency goal with selected components may not be achievable</t>
  </si>
  <si>
    <t>Warning Negative Numbers in Calculated Values Could Indicate</t>
  </si>
  <si>
    <t>Select Transformer Turns Ratio</t>
  </si>
  <si>
    <r>
      <t>R</t>
    </r>
    <r>
      <rPr>
        <b/>
        <vertAlign val="subscript"/>
        <sz val="12"/>
        <rFont val="Arial"/>
        <family val="2"/>
      </rPr>
      <t>DA1</t>
    </r>
  </si>
  <si>
    <r>
      <t>V</t>
    </r>
    <r>
      <rPr>
        <b/>
        <vertAlign val="subscript"/>
        <sz val="12"/>
        <rFont val="Arial"/>
        <family val="2"/>
      </rPr>
      <t>ADEL</t>
    </r>
  </si>
  <si>
    <t>Calculate Voltage at ADEL pin to Meet Delay Range</t>
  </si>
  <si>
    <r>
      <t>Select Standard Resistor for R</t>
    </r>
    <r>
      <rPr>
        <b/>
        <vertAlign val="subscript"/>
        <sz val="12"/>
        <rFont val="Arial"/>
        <family val="2"/>
      </rPr>
      <t xml:space="preserve">DA1 </t>
    </r>
    <r>
      <rPr>
        <b/>
        <sz val="12"/>
        <rFont val="Arial"/>
        <family val="2"/>
      </rPr>
      <t>for t</t>
    </r>
    <r>
      <rPr>
        <b/>
        <vertAlign val="subscript"/>
        <sz val="12"/>
        <rFont val="Arial"/>
        <family val="2"/>
      </rPr>
      <t xml:space="preserve">ABSET </t>
    </r>
    <r>
      <rPr>
        <b/>
        <sz val="12"/>
        <rFont val="Arial"/>
        <family val="2"/>
      </rPr>
      <t>Delay Range</t>
    </r>
  </si>
  <si>
    <r>
      <t>Calculate R</t>
    </r>
    <r>
      <rPr>
        <b/>
        <vertAlign val="subscript"/>
        <sz val="12"/>
        <rFont val="Arial"/>
        <family val="2"/>
      </rPr>
      <t>DA2</t>
    </r>
  </si>
  <si>
    <r>
      <t>R</t>
    </r>
    <r>
      <rPr>
        <b/>
        <vertAlign val="subscript"/>
        <sz val="12"/>
        <rFont val="Arial"/>
        <family val="2"/>
      </rPr>
      <t>DA2</t>
    </r>
  </si>
  <si>
    <r>
      <t>Select Standard Resistor for R</t>
    </r>
    <r>
      <rPr>
        <b/>
        <vertAlign val="subscript"/>
        <sz val="12"/>
        <rFont val="Arial"/>
        <family val="2"/>
      </rPr>
      <t xml:space="preserve">DA2 </t>
    </r>
    <r>
      <rPr>
        <b/>
        <sz val="12"/>
        <rFont val="Arial"/>
        <family val="2"/>
      </rPr>
      <t>for t</t>
    </r>
    <r>
      <rPr>
        <b/>
        <vertAlign val="subscript"/>
        <sz val="12"/>
        <rFont val="Arial"/>
        <family val="2"/>
      </rPr>
      <t xml:space="preserve">ABSET </t>
    </r>
    <r>
      <rPr>
        <b/>
        <sz val="12"/>
        <rFont val="Arial"/>
        <family val="2"/>
      </rPr>
      <t>Delay Range</t>
    </r>
  </si>
  <si>
    <r>
      <t>Recalculate V</t>
    </r>
    <r>
      <rPr>
        <b/>
        <vertAlign val="subscript"/>
        <sz val="12"/>
        <rFont val="Arial"/>
        <family val="2"/>
      </rPr>
      <t>ADEL</t>
    </r>
    <r>
      <rPr>
        <b/>
        <sz val="12"/>
        <rFont val="Arial"/>
        <family val="2"/>
      </rPr>
      <t xml:space="preserve"> Based on R</t>
    </r>
    <r>
      <rPr>
        <b/>
        <vertAlign val="subscript"/>
        <sz val="12"/>
        <rFont val="Arial"/>
        <family val="2"/>
      </rPr>
      <t>DA1</t>
    </r>
    <r>
      <rPr>
        <b/>
        <sz val="12"/>
        <rFont val="Arial"/>
        <family val="2"/>
      </rPr>
      <t xml:space="preserve"> and R</t>
    </r>
    <r>
      <rPr>
        <b/>
        <vertAlign val="subscript"/>
        <sz val="12"/>
        <rFont val="Arial"/>
        <family val="2"/>
      </rPr>
      <t>DA2</t>
    </r>
    <r>
      <rPr>
        <b/>
        <sz val="12"/>
        <rFont val="Arial"/>
        <family val="2"/>
      </rPr>
      <t xml:space="preserve"> Selection</t>
    </r>
  </si>
  <si>
    <r>
      <t>Enter/Fine Tune t</t>
    </r>
    <r>
      <rPr>
        <b/>
        <vertAlign val="subscript"/>
        <sz val="12"/>
        <rFont val="Arial"/>
        <family val="2"/>
      </rPr>
      <t>ABSET</t>
    </r>
    <r>
      <rPr>
        <b/>
        <sz val="12"/>
        <rFont val="Arial"/>
        <family val="2"/>
      </rPr>
      <t xml:space="preserve"> Based on Valley Switching/ZVS</t>
    </r>
  </si>
  <si>
    <r>
      <t>Setting AB Initial Turn-on Delay (t</t>
    </r>
    <r>
      <rPr>
        <b/>
        <vertAlign val="subscript"/>
        <sz val="12"/>
        <color indexed="9"/>
        <rFont val="Arial"/>
        <family val="2"/>
      </rPr>
      <t>ABSET</t>
    </r>
    <r>
      <rPr>
        <b/>
        <sz val="12"/>
        <color indexed="9"/>
        <rFont val="Arial"/>
        <family val="2"/>
      </rPr>
      <t>)</t>
    </r>
  </si>
  <si>
    <r>
      <t>Setting CD Initial Turn-on Delay (t</t>
    </r>
    <r>
      <rPr>
        <b/>
        <vertAlign val="subscript"/>
        <sz val="12"/>
        <color indexed="9"/>
        <rFont val="Arial"/>
        <family val="2"/>
      </rPr>
      <t>CDSET</t>
    </r>
    <r>
      <rPr>
        <b/>
        <sz val="12"/>
        <color indexed="9"/>
        <rFont val="Arial"/>
        <family val="2"/>
      </rPr>
      <t>)</t>
    </r>
  </si>
  <si>
    <r>
      <t>R</t>
    </r>
    <r>
      <rPr>
        <b/>
        <vertAlign val="subscript"/>
        <sz val="12"/>
        <rFont val="Arial"/>
        <family val="2"/>
      </rPr>
      <t>CA1</t>
    </r>
  </si>
  <si>
    <r>
      <t>Select Standard Resistor for R</t>
    </r>
    <r>
      <rPr>
        <b/>
        <vertAlign val="subscript"/>
        <sz val="12"/>
        <rFont val="Arial"/>
        <family val="2"/>
      </rPr>
      <t xml:space="preserve">CA1 </t>
    </r>
    <r>
      <rPr>
        <b/>
        <sz val="12"/>
        <rFont val="Arial"/>
        <family val="2"/>
      </rPr>
      <t>for t</t>
    </r>
    <r>
      <rPr>
        <b/>
        <vertAlign val="subscript"/>
        <sz val="12"/>
        <rFont val="Arial"/>
        <family val="2"/>
      </rPr>
      <t xml:space="preserve">AFSET </t>
    </r>
    <r>
      <rPr>
        <b/>
        <sz val="12"/>
        <rFont val="Arial"/>
        <family val="2"/>
      </rPr>
      <t>Delay Range</t>
    </r>
  </si>
  <si>
    <r>
      <t>Calculate R</t>
    </r>
    <r>
      <rPr>
        <b/>
        <vertAlign val="subscript"/>
        <sz val="12"/>
        <rFont val="Arial"/>
        <family val="2"/>
      </rPr>
      <t>CA2</t>
    </r>
  </si>
  <si>
    <r>
      <t>R</t>
    </r>
    <r>
      <rPr>
        <b/>
        <vertAlign val="subscript"/>
        <sz val="12"/>
        <rFont val="Arial"/>
        <family val="2"/>
      </rPr>
      <t>CA2</t>
    </r>
  </si>
  <si>
    <t>Calculate Voltage at ADELEF pin to Meet Delay Range</t>
  </si>
  <si>
    <r>
      <t>V</t>
    </r>
    <r>
      <rPr>
        <b/>
        <vertAlign val="subscript"/>
        <sz val="12"/>
        <rFont val="Arial"/>
        <family val="2"/>
      </rPr>
      <t>ADELEF</t>
    </r>
  </si>
  <si>
    <r>
      <t>t</t>
    </r>
    <r>
      <rPr>
        <b/>
        <vertAlign val="subscript"/>
        <sz val="12"/>
        <rFont val="Arial"/>
        <family val="2"/>
      </rPr>
      <t xml:space="preserve">AFSET </t>
    </r>
    <r>
      <rPr>
        <b/>
        <sz val="12"/>
        <rFont val="Arial"/>
        <family val="2"/>
      </rPr>
      <t>= t</t>
    </r>
    <r>
      <rPr>
        <b/>
        <vertAlign val="subscript"/>
        <sz val="12"/>
        <rFont val="Arial"/>
        <family val="2"/>
      </rPr>
      <t>BESET</t>
    </r>
  </si>
  <si>
    <r>
      <t>Enter/Fine Tune t</t>
    </r>
    <r>
      <rPr>
        <b/>
        <vertAlign val="subscript"/>
        <sz val="12"/>
        <rFont val="Arial"/>
        <family val="2"/>
      </rPr>
      <t xml:space="preserve">AFSET </t>
    </r>
    <r>
      <rPr>
        <b/>
        <sz val="12"/>
        <rFont val="Arial"/>
        <family val="2"/>
      </rPr>
      <t>and t</t>
    </r>
    <r>
      <rPr>
        <b/>
        <vertAlign val="subscript"/>
        <sz val="12"/>
        <rFont val="Arial"/>
        <family val="2"/>
      </rPr>
      <t>AFSET</t>
    </r>
  </si>
  <si>
    <t>Select Standard Resistor Value</t>
  </si>
  <si>
    <r>
      <t>Setting AF and BE turnoff delay (t</t>
    </r>
    <r>
      <rPr>
        <b/>
        <vertAlign val="subscript"/>
        <sz val="12"/>
        <color indexed="9"/>
        <rFont val="Arial"/>
        <family val="2"/>
      </rPr>
      <t>AFSET</t>
    </r>
    <r>
      <rPr>
        <b/>
        <sz val="12"/>
        <color indexed="9"/>
        <rFont val="Arial"/>
        <family val="2"/>
      </rPr>
      <t>, t</t>
    </r>
    <r>
      <rPr>
        <b/>
        <vertAlign val="subscript"/>
        <sz val="12"/>
        <color indexed="9"/>
        <rFont val="Arial"/>
        <family val="2"/>
      </rPr>
      <t>BESET</t>
    </r>
    <r>
      <rPr>
        <b/>
        <sz val="12"/>
        <color indexed="9"/>
        <rFont val="Arial"/>
        <family val="2"/>
      </rPr>
      <t>)</t>
    </r>
  </si>
  <si>
    <t>Select Standard Capacitor Value</t>
  </si>
  <si>
    <t>Select Standard Resistor Value (Between 13K and 90K ohm)</t>
  </si>
  <si>
    <t>Select Standard Resistor Value(Between 13K and 90K ohm)</t>
  </si>
  <si>
    <t>This design tool was generated based on the information in application report SLUA560</t>
  </si>
  <si>
    <r>
      <t>Δ</t>
    </r>
    <r>
      <rPr>
        <b/>
        <sz val="12"/>
        <rFont val="Arial"/>
        <family val="2"/>
      </rPr>
      <t>I</t>
    </r>
    <r>
      <rPr>
        <b/>
        <vertAlign val="subscript"/>
        <sz val="12"/>
        <rFont val="Arial"/>
        <family val="2"/>
      </rPr>
      <t>LMAG</t>
    </r>
  </si>
  <si>
    <t>6. Note this design tool was generated to accompany application report     SLUA560</t>
  </si>
  <si>
    <t>Enter Design Parameters and Chosen Component Values in Yellow Cells</t>
  </si>
  <si>
    <r>
      <t>V</t>
    </r>
    <r>
      <rPr>
        <b/>
        <vertAlign val="subscript"/>
        <sz val="12"/>
        <rFont val="Arial"/>
        <family val="2"/>
      </rPr>
      <t>SLOPE1</t>
    </r>
  </si>
  <si>
    <r>
      <t>V</t>
    </r>
    <r>
      <rPr>
        <b/>
        <vertAlign val="subscript"/>
        <sz val="12"/>
        <rFont val="Arial"/>
        <family val="2"/>
      </rPr>
      <t>SLOPE2</t>
    </r>
  </si>
  <si>
    <r>
      <t>Calculate V</t>
    </r>
    <r>
      <rPr>
        <b/>
        <vertAlign val="subscript"/>
        <sz val="12"/>
        <rFont val="Arial"/>
        <family val="2"/>
      </rPr>
      <t>SLOPE1</t>
    </r>
  </si>
  <si>
    <r>
      <t>Calculate V</t>
    </r>
    <r>
      <rPr>
        <b/>
        <vertAlign val="subscript"/>
        <sz val="12"/>
        <rFont val="Arial"/>
        <family val="2"/>
      </rPr>
      <t>SLOPE2</t>
    </r>
  </si>
  <si>
    <t>Assumes the centre tapped secondary - as per Functional Schematic</t>
  </si>
  <si>
    <t>UCC28950 and UCC28951 Design Calculator</t>
  </si>
  <si>
    <t>Revision: E</t>
  </si>
  <si>
    <t>UCC28950 and UCC28951 Excel Design Tool: SLUC222E</t>
  </si>
  <si>
    <t>Important Notice and Disclaimer</t>
  </si>
  <si>
    <t xml:space="preserve">
TI PROVIDES TECHNICAL AND RELIABILITY DATA (INCLUDING DATASHEETS), DESIGN RESOURCES (INCLUDING REFERENCE DESIGNS), APPLICATION OR OTHER DESIGN ADVICE, WEB TOOLS, SAFETY INFORMATION, AND OTHER RESOURCES “AS IS” AND WITH ALL FAULTS, AND DISCLAIMS ALL WARRANTIES, EXPRESS AND IMPLIED, INCLUDING WITHOUT LIMITATION ANY IMPLIED WARRANTIES OF MERCHANTABILITY, FITNESS FOR A PARTICULAR PURPOSE OR NON-INFRINGEMENT OF THIRD PARTY INTELLECTUAL PROPERTY RIGHTS.
These resources are intended for skilled developers designing with TI products. You are solely responsible for (1) selecting the appropriate TI products for your application, (2) designing, validating and testing your application, and (3) ensuring your application meets applicable standards, and any other safety, security, regulatory or other requirements.
These resources are subject to change without notice. TI grants you permission to use these resources only for development of an application that uses the TI products described in the resource. Other reproduction and display of these resources is prohibited. No license is granted to any other TI intellectual property right or to any third party intellectual property right. TI disclaims responsibility for, and you will fully indemnify TI and its representatives against, any claims, damages, costs, losses, and liabilities arising out of your use of these resources.
TI’s products are provided subject to TI’s Terms of Sale or other applicable terms available either on ti.com or provided in conjunction with such TI products. TI’s provision of these resources does not expand or otherwise alter TI’s applicable warranties or warranty disclaimers for TI products.  
TI objects to and rejects any additional or different terms you may have proposed.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</si>
</sst>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5" x14ac:knownFonts="1">
    <font>
      <sz val="10"/>
      <name val="Arial"/>
    </font>
    <font>
      <sz val="10"/>
      <name val="Arial"/>
    </font>
    <font>
      <b/>
      <sz val="12"/>
      <name val="Arial"/>
      <family val="2"/>
    </font>
    <font>
      <b/>
      <sz val="26"/>
      <color indexed="10"/>
      <name val="Arial"/>
      <family val="2"/>
    </font>
    <font>
      <sz val="20"/>
      <name val="Arial"/>
      <family val="2"/>
    </font>
    <font>
      <b/>
      <vertAlign val="subscript"/>
      <sz val="12"/>
      <name val="Arial"/>
      <family val="2"/>
    </font>
    <font>
      <b/>
      <sz val="12"/>
      <color indexed="8"/>
      <name val="Arial"/>
      <family val="2"/>
    </font>
    <font>
      <sz val="10"/>
      <color indexed="10"/>
      <name val="Arial"/>
      <family val="2"/>
    </font>
    <font>
      <b/>
      <sz val="14"/>
      <color indexed="10"/>
      <name val="Arial"/>
      <family val="2"/>
    </font>
    <font>
      <b/>
      <sz val="10"/>
      <color indexed="12"/>
      <name val="Arial"/>
      <family val="2"/>
    </font>
    <font>
      <b/>
      <sz val="10"/>
      <color indexed="8"/>
      <name val="Arial"/>
      <family val="2"/>
    </font>
    <font>
      <b/>
      <sz val="10"/>
      <color indexed="17"/>
      <name val="Arial"/>
      <family val="2"/>
    </font>
    <font>
      <sz val="10"/>
      <color indexed="9"/>
      <name val="Arial"/>
      <family val="2"/>
    </font>
    <font>
      <b/>
      <sz val="10"/>
      <color indexed="9"/>
      <name val="Arial"/>
      <family val="2"/>
    </font>
    <font>
      <b/>
      <sz val="8"/>
      <name val="Arial"/>
      <family val="2"/>
    </font>
    <font>
      <sz val="8"/>
      <name val="Verdana"/>
      <family val="2"/>
    </font>
    <font>
      <sz val="10"/>
      <name val="Arial"/>
      <family val="2"/>
    </font>
    <font>
      <b/>
      <sz val="10"/>
      <color indexed="10"/>
      <name val="Arial"/>
      <family val="2"/>
    </font>
    <font>
      <sz val="10"/>
      <color indexed="22"/>
      <name val="Arial"/>
      <family val="2"/>
    </font>
    <font>
      <sz val="14"/>
      <name val="Arial"/>
      <family val="2"/>
    </font>
    <font>
      <sz val="12"/>
      <name val="Times New Roman"/>
      <family val="1"/>
    </font>
    <font>
      <sz val="8"/>
      <name val="Arial"/>
      <family val="2"/>
    </font>
    <font>
      <sz val="12"/>
      <name val="Arial"/>
      <family val="2"/>
    </font>
    <font>
      <b/>
      <sz val="12"/>
      <name val="Arial"/>
      <family val="2"/>
    </font>
    <font>
      <sz val="12"/>
      <name val="Arial"/>
      <family val="2"/>
    </font>
    <font>
      <vertAlign val="subscript"/>
      <sz val="10"/>
      <name val="Arial"/>
      <family val="2"/>
    </font>
    <font>
      <b/>
      <sz val="12"/>
      <color indexed="9"/>
      <name val="Arial"/>
      <family val="2"/>
    </font>
    <font>
      <b/>
      <vertAlign val="subscript"/>
      <sz val="12"/>
      <color indexed="9"/>
      <name val="Arial"/>
      <family val="2"/>
    </font>
    <font>
      <b/>
      <sz val="12"/>
      <color indexed="10"/>
      <name val="Arial"/>
      <family val="2"/>
    </font>
    <font>
      <b/>
      <sz val="12"/>
      <color indexed="53"/>
      <name val="Arial"/>
      <family val="2"/>
    </font>
    <font>
      <b/>
      <sz val="12"/>
      <color rgb="FFFF0000"/>
      <name val="Arial"/>
      <family val="2"/>
    </font>
    <font>
      <sz val="11"/>
      <color rgb="FF00B050"/>
      <name val="Calibri"/>
      <family val="2"/>
    </font>
    <font>
      <b/>
      <sz val="12"/>
      <color rgb="FF00B050"/>
      <name val="Arial"/>
      <family val="2"/>
    </font>
    <font>
      <sz val="26"/>
      <color rgb="FF000000"/>
      <name val="Arial Nova"/>
      <family val="2"/>
    </font>
    <font>
      <sz val="12"/>
      <color rgb="FF555555"/>
      <name val="Arial Nova"/>
      <family val="2"/>
    </font>
  </fonts>
  <fills count="1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31"/>
        <bgColor indexed="64"/>
      </patternFill>
    </fill>
    <fill>
      <patternFill patternType="solid">
        <fgColor indexed="26"/>
        <bgColor indexed="64"/>
      </patternFill>
    </fill>
    <fill>
      <patternFill patternType="solid">
        <fgColor indexed="34"/>
        <bgColor indexed="64"/>
      </patternFill>
    </fill>
    <fill>
      <patternFill patternType="solid">
        <fgColor indexed="8"/>
        <bgColor indexed="64"/>
      </patternFill>
    </fill>
    <fill>
      <patternFill patternType="solid">
        <fgColor indexed="12"/>
        <bgColor indexed="64"/>
      </patternFill>
    </fill>
    <fill>
      <patternFill patternType="solid">
        <fgColor indexed="10"/>
        <bgColor indexed="64"/>
      </patternFill>
    </fill>
    <fill>
      <patternFill patternType="solid">
        <fgColor indexed="13"/>
        <bgColor indexed="64"/>
      </patternFill>
    </fill>
    <fill>
      <patternFill patternType="solid">
        <fgColor indexed="23"/>
        <bgColor indexed="64"/>
      </patternFill>
    </fill>
  </fills>
  <borders count="22">
    <border>
      <left/>
      <right/>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9"/>
      </left>
      <right style="medium">
        <color indexed="9"/>
      </right>
      <top style="medium">
        <color indexed="9"/>
      </top>
      <bottom/>
      <diagonal/>
    </border>
    <border>
      <left style="medium">
        <color indexed="9"/>
      </left>
      <right style="medium">
        <color indexed="9"/>
      </right>
      <top/>
      <bottom/>
      <diagonal/>
    </border>
    <border>
      <left style="medium">
        <color indexed="9"/>
      </left>
      <right style="medium">
        <color indexed="9"/>
      </right>
      <top/>
      <bottom style="medium">
        <color indexed="9"/>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9"/>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9"/>
      </left>
      <right/>
      <top/>
      <bottom/>
      <diagonal/>
    </border>
    <border>
      <left style="medium">
        <color indexed="9"/>
      </left>
      <right/>
      <top style="medium">
        <color indexed="9"/>
      </top>
      <bottom/>
      <diagonal/>
    </border>
    <border>
      <left/>
      <right style="medium">
        <color indexed="9"/>
      </right>
      <top style="medium">
        <color indexed="9"/>
      </top>
      <bottom/>
      <diagonal/>
    </border>
  </borders>
  <cellStyleXfs count="1">
    <xf numFmtId="0" fontId="0" fillId="0" borderId="0"/>
  </cellStyleXfs>
  <cellXfs count="119">
    <xf numFmtId="0" fontId="0" fillId="0" borderId="0" xfId="0"/>
    <xf numFmtId="0" fontId="4" fillId="2" borderId="0" xfId="0" applyFont="1" applyFill="1" applyAlignment="1">
      <alignment vertical="center"/>
    </xf>
    <xf numFmtId="0" fontId="7" fillId="3" borderId="0" xfId="0" applyFont="1" applyFill="1" applyProtection="1">
      <protection hidden="1"/>
    </xf>
    <xf numFmtId="0" fontId="1" fillId="3" borderId="0" xfId="0" applyFont="1" applyFill="1" applyProtection="1">
      <protection hidden="1"/>
    </xf>
    <xf numFmtId="0" fontId="8" fillId="3" borderId="0" xfId="0" applyFont="1" applyFill="1" applyProtection="1">
      <protection hidden="1"/>
    </xf>
    <xf numFmtId="49" fontId="1" fillId="3" borderId="0" xfId="0" applyNumberFormat="1" applyFont="1" applyFill="1" applyProtection="1">
      <protection hidden="1"/>
    </xf>
    <xf numFmtId="0" fontId="7" fillId="3" borderId="1" xfId="0" applyFont="1" applyFill="1" applyBorder="1" applyProtection="1">
      <protection hidden="1"/>
    </xf>
    <xf numFmtId="0" fontId="1" fillId="3" borderId="2" xfId="0" applyFont="1" applyFill="1" applyBorder="1" applyProtection="1">
      <protection hidden="1"/>
    </xf>
    <xf numFmtId="0" fontId="9" fillId="4" borderId="3" xfId="0" applyFont="1" applyFill="1" applyBorder="1" applyProtection="1">
      <protection hidden="1"/>
    </xf>
    <xf numFmtId="1" fontId="7" fillId="3" borderId="0" xfId="0" applyNumberFormat="1" applyFont="1" applyFill="1" applyProtection="1">
      <protection hidden="1"/>
    </xf>
    <xf numFmtId="1" fontId="11" fillId="5" borderId="4" xfId="0" applyNumberFormat="1" applyFont="1" applyFill="1" applyBorder="1" applyAlignment="1" applyProtection="1">
      <alignment horizontal="center"/>
      <protection hidden="1"/>
    </xf>
    <xf numFmtId="0" fontId="11" fillId="5" borderId="5" xfId="0" applyFont="1" applyFill="1" applyBorder="1" applyProtection="1">
      <protection hidden="1"/>
    </xf>
    <xf numFmtId="0" fontId="10" fillId="6" borderId="6" xfId="0" applyFont="1" applyFill="1" applyBorder="1" applyAlignment="1">
      <alignment horizontal="center" wrapText="1"/>
    </xf>
    <xf numFmtId="0" fontId="10" fillId="6" borderId="7" xfId="0" applyFont="1" applyFill="1" applyBorder="1" applyAlignment="1">
      <alignment horizontal="center" wrapText="1"/>
    </xf>
    <xf numFmtId="0" fontId="10" fillId="7" borderId="6" xfId="0" applyFont="1" applyFill="1" applyBorder="1" applyAlignment="1">
      <alignment horizontal="center" wrapText="1"/>
    </xf>
    <xf numFmtId="0" fontId="10" fillId="7" borderId="8" xfId="0" applyFont="1" applyFill="1" applyBorder="1" applyAlignment="1">
      <alignment horizontal="center" wrapText="1"/>
    </xf>
    <xf numFmtId="0" fontId="9" fillId="4" borderId="9" xfId="0" applyFont="1" applyFill="1" applyBorder="1" applyAlignment="1" applyProtection="1">
      <alignment horizontal="center"/>
      <protection hidden="1"/>
    </xf>
    <xf numFmtId="0" fontId="9" fillId="4" borderId="10" xfId="0" applyFont="1" applyFill="1" applyBorder="1" applyProtection="1">
      <protection hidden="1"/>
    </xf>
    <xf numFmtId="0" fontId="1" fillId="3" borderId="11" xfId="0" applyFont="1" applyFill="1" applyBorder="1" applyProtection="1">
      <protection hidden="1"/>
    </xf>
    <xf numFmtId="1" fontId="12" fillId="3" borderId="0" xfId="0" applyNumberFormat="1" applyFont="1" applyFill="1" applyProtection="1">
      <protection hidden="1"/>
    </xf>
    <xf numFmtId="165" fontId="13" fillId="3" borderId="0" xfId="0" applyNumberFormat="1" applyFont="1" applyFill="1" applyAlignment="1" applyProtection="1">
      <alignment horizontal="center"/>
      <protection hidden="1"/>
    </xf>
    <xf numFmtId="2" fontId="12" fillId="3" borderId="0" xfId="0" applyNumberFormat="1" applyFont="1" applyFill="1" applyAlignment="1" applyProtection="1">
      <alignment horizontal="center"/>
      <protection hidden="1"/>
    </xf>
    <xf numFmtId="0" fontId="1" fillId="3" borderId="12" xfId="0" applyFont="1" applyFill="1" applyBorder="1" applyProtection="1">
      <protection hidden="1"/>
    </xf>
    <xf numFmtId="0" fontId="14" fillId="3" borderId="0" xfId="0" applyFont="1" applyFill="1" applyProtection="1">
      <protection hidden="1"/>
    </xf>
    <xf numFmtId="0" fontId="15" fillId="3" borderId="0" xfId="0" applyFont="1" applyFill="1" applyAlignment="1" applyProtection="1">
      <alignment horizontal="center" wrapText="1"/>
      <protection hidden="1"/>
    </xf>
    <xf numFmtId="2" fontId="1" fillId="3" borderId="0" xfId="0" applyNumberFormat="1" applyFont="1" applyFill="1" applyAlignment="1" applyProtection="1">
      <alignment horizontal="center"/>
      <protection hidden="1"/>
    </xf>
    <xf numFmtId="1" fontId="16" fillId="3" borderId="0" xfId="0" applyNumberFormat="1" applyFont="1" applyFill="1"/>
    <xf numFmtId="0" fontId="1" fillId="3" borderId="13" xfId="0" applyFont="1" applyFill="1" applyBorder="1" applyProtection="1">
      <protection hidden="1"/>
    </xf>
    <xf numFmtId="0" fontId="10" fillId="8" borderId="14" xfId="0" applyFont="1" applyFill="1" applyBorder="1" applyAlignment="1">
      <alignment horizontal="center" wrapText="1"/>
    </xf>
    <xf numFmtId="0" fontId="16" fillId="3" borderId="0" xfId="0" applyFont="1" applyFill="1" applyProtection="1">
      <protection hidden="1"/>
    </xf>
    <xf numFmtId="0" fontId="10" fillId="8" borderId="6" xfId="0" applyFont="1" applyFill="1" applyBorder="1" applyAlignment="1">
      <alignment horizontal="center" wrapText="1"/>
    </xf>
    <xf numFmtId="0" fontId="10" fillId="8" borderId="7" xfId="0" applyFont="1" applyFill="1" applyBorder="1" applyAlignment="1">
      <alignment horizontal="center" wrapText="1"/>
    </xf>
    <xf numFmtId="0" fontId="1" fillId="3" borderId="0" xfId="0" applyFont="1" applyFill="1" applyAlignment="1" applyProtection="1">
      <alignment horizontal="center"/>
      <protection hidden="1"/>
    </xf>
    <xf numFmtId="0" fontId="0" fillId="3" borderId="0" xfId="0" applyFill="1" applyAlignment="1">
      <alignment horizontal="center"/>
    </xf>
    <xf numFmtId="0" fontId="11" fillId="3" borderId="0" xfId="0" applyFont="1" applyFill="1" applyProtection="1">
      <protection hidden="1"/>
    </xf>
    <xf numFmtId="0" fontId="1" fillId="3" borderId="0" xfId="0" applyFont="1" applyFill="1"/>
    <xf numFmtId="49" fontId="17" fillId="5" borderId="6" xfId="0" applyNumberFormat="1" applyFont="1" applyFill="1" applyBorder="1" applyAlignment="1">
      <alignment horizontal="center" wrapText="1"/>
    </xf>
    <xf numFmtId="49" fontId="17" fillId="5" borderId="7" xfId="0" applyNumberFormat="1" applyFont="1" applyFill="1" applyBorder="1" applyAlignment="1">
      <alignment horizontal="center" wrapText="1"/>
    </xf>
    <xf numFmtId="0" fontId="18" fillId="3" borderId="0" xfId="0" applyFont="1" applyFill="1"/>
    <xf numFmtId="49" fontId="0" fillId="3" borderId="0" xfId="0" applyNumberFormat="1" applyFill="1"/>
    <xf numFmtId="49" fontId="17" fillId="5" borderId="8" xfId="0" applyNumberFormat="1" applyFont="1" applyFill="1" applyBorder="1" applyAlignment="1">
      <alignment horizontal="center" wrapText="1"/>
    </xf>
    <xf numFmtId="49" fontId="12" fillId="3" borderId="0" xfId="0" applyNumberFormat="1" applyFont="1" applyFill="1" applyProtection="1">
      <protection hidden="1"/>
    </xf>
    <xf numFmtId="0" fontId="12" fillId="3" borderId="0" xfId="0" applyFont="1" applyFill="1" applyProtection="1">
      <protection hidden="1"/>
    </xf>
    <xf numFmtId="0" fontId="17" fillId="3" borderId="0" xfId="0" applyFont="1" applyFill="1" applyAlignment="1" applyProtection="1">
      <alignment horizontal="center" wrapText="1"/>
      <protection hidden="1"/>
    </xf>
    <xf numFmtId="0" fontId="12" fillId="3" borderId="0" xfId="0" applyFont="1" applyFill="1"/>
    <xf numFmtId="0" fontId="19" fillId="3" borderId="0" xfId="0" applyFont="1" applyFill="1" applyProtection="1">
      <protection hidden="1"/>
    </xf>
    <xf numFmtId="0" fontId="0" fillId="3" borderId="0" xfId="0" applyFill="1" applyAlignment="1">
      <alignment wrapText="1"/>
    </xf>
    <xf numFmtId="0" fontId="0" fillId="3" borderId="0" xfId="0" applyFill="1" applyProtection="1">
      <protection hidden="1"/>
    </xf>
    <xf numFmtId="0" fontId="2" fillId="3" borderId="15" xfId="0" applyFont="1" applyFill="1" applyBorder="1" applyAlignment="1">
      <alignment horizontal="left"/>
    </xf>
    <xf numFmtId="0" fontId="2" fillId="9" borderId="15" xfId="0" applyFont="1" applyFill="1" applyBorder="1" applyAlignment="1" applyProtection="1">
      <alignment horizontal="left"/>
      <protection locked="0"/>
    </xf>
    <xf numFmtId="9" fontId="2" fillId="9" borderId="15" xfId="0" applyNumberFormat="1" applyFont="1" applyFill="1" applyBorder="1" applyAlignment="1" applyProtection="1">
      <alignment horizontal="left"/>
      <protection locked="0"/>
    </xf>
    <xf numFmtId="0" fontId="22" fillId="0" borderId="15" xfId="0" applyFont="1" applyBorder="1" applyAlignment="1">
      <alignment horizontal="left"/>
    </xf>
    <xf numFmtId="0" fontId="2" fillId="0" borderId="15" xfId="0" applyFont="1" applyBorder="1" applyAlignment="1">
      <alignment horizontal="left"/>
    </xf>
    <xf numFmtId="14" fontId="2" fillId="0" borderId="15" xfId="0" applyNumberFormat="1" applyFont="1" applyBorder="1" applyAlignment="1">
      <alignment horizontal="left"/>
    </xf>
    <xf numFmtId="0" fontId="2" fillId="0" borderId="15" xfId="0" applyFont="1" applyBorder="1" applyAlignment="1">
      <alignment horizontal="left" wrapText="1"/>
    </xf>
    <xf numFmtId="0" fontId="2" fillId="10" borderId="15" xfId="0" applyFont="1" applyFill="1" applyBorder="1" applyAlignment="1">
      <alignment horizontal="left"/>
    </xf>
    <xf numFmtId="0" fontId="2" fillId="11" borderId="15" xfId="0" applyFont="1" applyFill="1" applyBorder="1" applyAlignment="1">
      <alignment horizontal="left"/>
    </xf>
    <xf numFmtId="164" fontId="2" fillId="0" borderId="15" xfId="0" applyNumberFormat="1" applyFont="1" applyBorder="1" applyAlignment="1">
      <alignment horizontal="left"/>
    </xf>
    <xf numFmtId="2" fontId="2" fillId="0" borderId="15" xfId="0" applyNumberFormat="1" applyFont="1" applyBorder="1" applyAlignment="1">
      <alignment horizontal="left"/>
    </xf>
    <xf numFmtId="0" fontId="6" fillId="0" borderId="15" xfId="0" applyFont="1" applyBorder="1" applyAlignment="1">
      <alignment horizontal="left"/>
    </xf>
    <xf numFmtId="0" fontId="6" fillId="3" borderId="15" xfId="0" applyFont="1" applyFill="1" applyBorder="1" applyAlignment="1">
      <alignment horizontal="left"/>
    </xf>
    <xf numFmtId="0" fontId="2" fillId="3" borderId="15" xfId="0" applyFont="1" applyFill="1" applyBorder="1" applyAlignment="1">
      <alignment horizontal="left" wrapText="1"/>
    </xf>
    <xf numFmtId="1" fontId="2" fillId="3" borderId="15" xfId="0" applyNumberFormat="1" applyFont="1" applyFill="1" applyBorder="1" applyAlignment="1">
      <alignment horizontal="left"/>
    </xf>
    <xf numFmtId="0" fontId="22" fillId="3" borderId="15" xfId="0" applyFont="1" applyFill="1" applyBorder="1" applyAlignment="1">
      <alignment horizontal="left" wrapText="1"/>
    </xf>
    <xf numFmtId="0" fontId="2" fillId="0" borderId="15" xfId="0" applyFont="1" applyBorder="1" applyAlignment="1" applyProtection="1">
      <alignment horizontal="left"/>
      <protection locked="0"/>
    </xf>
    <xf numFmtId="0" fontId="2" fillId="11" borderId="15" xfId="0" applyFont="1" applyFill="1" applyBorder="1" applyAlignment="1">
      <alignment horizontal="left" wrapText="1"/>
    </xf>
    <xf numFmtId="164" fontId="11" fillId="5" borderId="16" xfId="0" applyNumberFormat="1" applyFont="1" applyFill="1" applyBorder="1" applyProtection="1">
      <protection hidden="1"/>
    </xf>
    <xf numFmtId="164" fontId="11" fillId="5" borderId="17" xfId="0" applyNumberFormat="1" applyFont="1" applyFill="1" applyBorder="1" applyProtection="1">
      <protection hidden="1"/>
    </xf>
    <xf numFmtId="164" fontId="11" fillId="5" borderId="18" xfId="0" applyNumberFormat="1" applyFont="1" applyFill="1" applyBorder="1" applyProtection="1">
      <protection hidden="1"/>
    </xf>
    <xf numFmtId="0" fontId="23" fillId="0" borderId="15" xfId="0" applyFont="1" applyBorder="1" applyAlignment="1">
      <alignment horizontal="left"/>
    </xf>
    <xf numFmtId="0" fontId="0" fillId="0" borderId="15" xfId="0" applyBorder="1"/>
    <xf numFmtId="0" fontId="0" fillId="0" borderId="15" xfId="0" applyBorder="1" applyAlignment="1">
      <alignment horizontal="left"/>
    </xf>
    <xf numFmtId="165" fontId="0" fillId="0" borderId="15" xfId="0" applyNumberFormat="1" applyBorder="1"/>
    <xf numFmtId="0" fontId="24" fillId="0" borderId="15" xfId="0" applyFont="1" applyBorder="1"/>
    <xf numFmtId="0" fontId="0" fillId="0" borderId="15" xfId="0" applyBorder="1" applyAlignment="1">
      <alignment wrapText="1"/>
    </xf>
    <xf numFmtId="0" fontId="26" fillId="11" borderId="15" xfId="0" applyFont="1" applyFill="1" applyBorder="1" applyAlignment="1">
      <alignment horizontal="left"/>
    </xf>
    <xf numFmtId="0" fontId="26" fillId="12" borderId="15" xfId="0" applyFont="1" applyFill="1" applyBorder="1" applyAlignment="1">
      <alignment horizontal="left"/>
    </xf>
    <xf numFmtId="14" fontId="26" fillId="12" borderId="15" xfId="0" applyNumberFormat="1" applyFont="1" applyFill="1" applyBorder="1" applyAlignment="1">
      <alignment horizontal="left"/>
    </xf>
    <xf numFmtId="0" fontId="28" fillId="0" borderId="15" xfId="0" applyFont="1" applyBorder="1" applyAlignment="1">
      <alignment horizontal="left"/>
    </xf>
    <xf numFmtId="0" fontId="28" fillId="3" borderId="15" xfId="0" applyFont="1" applyFill="1" applyBorder="1" applyAlignment="1">
      <alignment horizontal="left"/>
    </xf>
    <xf numFmtId="0" fontId="4" fillId="2" borderId="0" xfId="0" applyFont="1" applyFill="1" applyAlignment="1">
      <alignment horizontal="left" vertical="center" wrapText="1"/>
    </xf>
    <xf numFmtId="0" fontId="6" fillId="13" borderId="15" xfId="0" applyFont="1" applyFill="1" applyBorder="1" applyAlignment="1">
      <alignment horizontal="left"/>
    </xf>
    <xf numFmtId="14" fontId="6" fillId="13" borderId="15" xfId="0" applyNumberFormat="1" applyFont="1" applyFill="1" applyBorder="1" applyAlignment="1">
      <alignment horizontal="left"/>
    </xf>
    <xf numFmtId="0" fontId="26" fillId="14" borderId="15" xfId="0" applyFont="1" applyFill="1" applyBorder="1" applyAlignment="1">
      <alignment horizontal="left"/>
    </xf>
    <xf numFmtId="14" fontId="26" fillId="14" borderId="15" xfId="0" applyNumberFormat="1" applyFont="1" applyFill="1" applyBorder="1" applyAlignment="1">
      <alignment horizontal="left"/>
    </xf>
    <xf numFmtId="0" fontId="29" fillId="0" borderId="15" xfId="0" applyFont="1" applyBorder="1" applyAlignment="1">
      <alignment horizontal="left"/>
    </xf>
    <xf numFmtId="2" fontId="28" fillId="0" borderId="15" xfId="0" applyNumberFormat="1" applyFont="1" applyBorder="1" applyAlignment="1">
      <alignment horizontal="left"/>
    </xf>
    <xf numFmtId="2" fontId="2" fillId="13" borderId="15" xfId="0" applyNumberFormat="1" applyFont="1" applyFill="1" applyBorder="1" applyAlignment="1" applyProtection="1">
      <alignment horizontal="left"/>
      <protection locked="0"/>
    </xf>
    <xf numFmtId="2" fontId="2" fillId="3" borderId="15" xfId="0" applyNumberFormat="1" applyFont="1" applyFill="1" applyBorder="1" applyAlignment="1">
      <alignment horizontal="left"/>
    </xf>
    <xf numFmtId="2" fontId="26" fillId="12" borderId="15" xfId="0" applyNumberFormat="1" applyFont="1" applyFill="1" applyBorder="1" applyAlignment="1">
      <alignment horizontal="left"/>
    </xf>
    <xf numFmtId="2" fontId="6" fillId="13" borderId="15" xfId="0" applyNumberFormat="1" applyFont="1" applyFill="1" applyBorder="1" applyAlignment="1">
      <alignment horizontal="left"/>
    </xf>
    <xf numFmtId="2" fontId="26" fillId="14" borderId="15" xfId="0" applyNumberFormat="1" applyFont="1" applyFill="1" applyBorder="1" applyAlignment="1">
      <alignment horizontal="left"/>
    </xf>
    <xf numFmtId="2" fontId="2" fillId="9" borderId="15" xfId="0" applyNumberFormat="1" applyFont="1" applyFill="1" applyBorder="1" applyAlignment="1" applyProtection="1">
      <alignment horizontal="left"/>
      <protection locked="0"/>
    </xf>
    <xf numFmtId="2" fontId="2" fillId="10" borderId="15" xfId="0" applyNumberFormat="1" applyFont="1" applyFill="1" applyBorder="1" applyAlignment="1">
      <alignment horizontal="left"/>
    </xf>
    <xf numFmtId="2" fontId="26" fillId="11" borderId="15" xfId="0" applyNumberFormat="1" applyFont="1" applyFill="1" applyBorder="1" applyAlignment="1">
      <alignment horizontal="left"/>
    </xf>
    <xf numFmtId="2" fontId="2" fillId="11" borderId="15" xfId="0" applyNumberFormat="1" applyFont="1" applyFill="1" applyBorder="1" applyAlignment="1">
      <alignment horizontal="left"/>
    </xf>
    <xf numFmtId="2" fontId="22" fillId="0" borderId="15" xfId="0" applyNumberFormat="1" applyFont="1" applyBorder="1" applyAlignment="1">
      <alignment horizontal="left"/>
    </xf>
    <xf numFmtId="2" fontId="6" fillId="3" borderId="15" xfId="0" applyNumberFormat="1" applyFont="1" applyFill="1" applyBorder="1" applyAlignment="1">
      <alignment horizontal="left"/>
    </xf>
    <xf numFmtId="2" fontId="20" fillId="0" borderId="15" xfId="0" applyNumberFormat="1" applyFont="1" applyBorder="1" applyAlignment="1">
      <alignment horizontal="left"/>
    </xf>
    <xf numFmtId="0" fontId="30" fillId="0" borderId="15" xfId="0" applyFont="1" applyBorder="1" applyAlignment="1">
      <alignment horizontal="left"/>
    </xf>
    <xf numFmtId="0" fontId="31" fillId="0" borderId="0" xfId="0" applyFont="1" applyAlignment="1">
      <alignment vertical="center"/>
    </xf>
    <xf numFmtId="0" fontId="32" fillId="0" borderId="15" xfId="0" applyFont="1" applyBorder="1" applyAlignment="1">
      <alignment horizontal="left"/>
    </xf>
    <xf numFmtId="165" fontId="2" fillId="13" borderId="15" xfId="0" applyNumberFormat="1" applyFont="1" applyFill="1" applyBorder="1" applyAlignment="1" applyProtection="1">
      <alignment horizontal="left"/>
      <protection locked="0"/>
    </xf>
    <xf numFmtId="0" fontId="3" fillId="2" borderId="0" xfId="0" applyFont="1" applyFill="1" applyAlignment="1">
      <alignment horizontal="center" vertical="center"/>
    </xf>
    <xf numFmtId="0" fontId="4" fillId="2" borderId="0" xfId="0" applyFont="1" applyFill="1" applyAlignment="1">
      <alignment vertical="center" wrapText="1"/>
    </xf>
    <xf numFmtId="0" fontId="0" fillId="2" borderId="0" xfId="0" applyFill="1" applyAlignment="1">
      <alignment horizontal="center"/>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33" fillId="0" borderId="0" xfId="0" applyFont="1" applyAlignment="1">
      <alignment horizontal="left" vertical="center"/>
    </xf>
    <xf numFmtId="0" fontId="34" fillId="0" borderId="0" xfId="0" applyFont="1" applyAlignment="1">
      <alignment horizontal="left" vertical="top" wrapText="1"/>
    </xf>
    <xf numFmtId="0" fontId="17" fillId="3" borderId="0" xfId="0" applyFont="1" applyFill="1" applyAlignment="1" applyProtection="1">
      <alignment horizontal="center" wrapText="1"/>
      <protection hidden="1"/>
    </xf>
    <xf numFmtId="0" fontId="10" fillId="6" borderId="19" xfId="0" applyFont="1" applyFill="1" applyBorder="1" applyAlignment="1">
      <alignment horizontal="center" wrapText="1"/>
    </xf>
    <xf numFmtId="0" fontId="10" fillId="6" borderId="14" xfId="0" applyFont="1" applyFill="1" applyBorder="1" applyAlignment="1">
      <alignment horizontal="center" wrapText="1"/>
    </xf>
    <xf numFmtId="0" fontId="10" fillId="7" borderId="20" xfId="0" applyFont="1" applyFill="1" applyBorder="1" applyAlignment="1">
      <alignment horizontal="center" wrapText="1"/>
    </xf>
    <xf numFmtId="0" fontId="10" fillId="7" borderId="21" xfId="0" applyFont="1" applyFill="1" applyBorder="1" applyAlignment="1">
      <alignment horizontal="center" wrapText="1"/>
    </xf>
    <xf numFmtId="0" fontId="10" fillId="8" borderId="19" xfId="0" applyFont="1" applyFill="1" applyBorder="1" applyAlignment="1">
      <alignment horizontal="center" wrapText="1"/>
    </xf>
    <xf numFmtId="0" fontId="10" fillId="8" borderId="14" xfId="0" applyFont="1" applyFill="1" applyBorder="1" applyAlignment="1">
      <alignment horizontal="center" wrapText="1"/>
    </xf>
    <xf numFmtId="49" fontId="17" fillId="5" borderId="19" xfId="0" applyNumberFormat="1" applyFont="1" applyFill="1" applyBorder="1" applyAlignment="1">
      <alignment horizontal="center" wrapText="1"/>
    </xf>
    <xf numFmtId="49" fontId="17" fillId="5" borderId="0" xfId="0" applyNumberFormat="1"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Tv(f) Frequency Response</a:t>
            </a:r>
          </a:p>
        </c:rich>
      </c:tx>
      <c:layout>
        <c:manualLayout>
          <c:xMode val="edge"/>
          <c:yMode val="edge"/>
          <c:x val="0.35753466278671686"/>
          <c:y val="3.0022812568989622E-2"/>
        </c:manualLayout>
      </c:layout>
      <c:overlay val="0"/>
      <c:spPr>
        <a:noFill/>
        <a:ln w="25400">
          <a:noFill/>
        </a:ln>
      </c:spPr>
    </c:title>
    <c:autoTitleDeleted val="0"/>
    <c:plotArea>
      <c:layout>
        <c:manualLayout>
          <c:layoutTarget val="inner"/>
          <c:xMode val="edge"/>
          <c:yMode val="edge"/>
          <c:x val="0.10273979474782932"/>
          <c:y val="0.11778304275115783"/>
          <c:w val="0.78630189580338705"/>
          <c:h val="0.72979297077187988"/>
        </c:manualLayout>
      </c:layout>
      <c:scatterChart>
        <c:scatterStyle val="smoothMarker"/>
        <c:varyColors val="0"/>
        <c:ser>
          <c:idx val="0"/>
          <c:order val="0"/>
          <c:tx>
            <c:strRef>
              <c:f>'Voltage Loop'!$M$1</c:f>
              <c:strCache>
                <c:ptCount val="1"/>
                <c:pt idx="0">
                  <c:v>TvdB(f)</c:v>
                </c:pt>
              </c:strCache>
            </c:strRef>
          </c:tx>
          <c:spPr>
            <a:ln w="25400">
              <a:solidFill>
                <a:srgbClr val="000000"/>
              </a:solidFill>
              <a:prstDash val="solid"/>
            </a:ln>
          </c:spPr>
          <c:marker>
            <c:symbol val="none"/>
          </c:marker>
          <c:xVal>
            <c:numRef>
              <c:f>'Voltage Loop'!$B$2:$B$101</c:f>
              <c:numCache>
                <c:formatCode>General</c:formatCode>
                <c:ptCount val="100"/>
                <c:pt idx="0">
                  <c:v>100</c:v>
                </c:pt>
                <c:pt idx="1">
                  <c:v>1000</c:v>
                </c:pt>
                <c:pt idx="2">
                  <c:v>3600</c:v>
                </c:pt>
                <c:pt idx="3">
                  <c:v>4800</c:v>
                </c:pt>
                <c:pt idx="4">
                  <c:v>6000</c:v>
                </c:pt>
                <c:pt idx="5">
                  <c:v>7200</c:v>
                </c:pt>
                <c:pt idx="6">
                  <c:v>8400</c:v>
                </c:pt>
                <c:pt idx="7">
                  <c:v>9600</c:v>
                </c:pt>
                <c:pt idx="8">
                  <c:v>10800</c:v>
                </c:pt>
                <c:pt idx="9">
                  <c:v>12000</c:v>
                </c:pt>
                <c:pt idx="10">
                  <c:v>13200</c:v>
                </c:pt>
                <c:pt idx="11">
                  <c:v>14400</c:v>
                </c:pt>
                <c:pt idx="12">
                  <c:v>15600</c:v>
                </c:pt>
                <c:pt idx="13">
                  <c:v>16800</c:v>
                </c:pt>
                <c:pt idx="14">
                  <c:v>18000</c:v>
                </c:pt>
                <c:pt idx="15">
                  <c:v>19200</c:v>
                </c:pt>
                <c:pt idx="16">
                  <c:v>20400</c:v>
                </c:pt>
                <c:pt idx="17">
                  <c:v>21600</c:v>
                </c:pt>
                <c:pt idx="18">
                  <c:v>22800</c:v>
                </c:pt>
                <c:pt idx="19">
                  <c:v>24000</c:v>
                </c:pt>
                <c:pt idx="20">
                  <c:v>25200</c:v>
                </c:pt>
                <c:pt idx="21">
                  <c:v>26400</c:v>
                </c:pt>
                <c:pt idx="22">
                  <c:v>27600</c:v>
                </c:pt>
                <c:pt idx="23">
                  <c:v>28800</c:v>
                </c:pt>
                <c:pt idx="24">
                  <c:v>30000</c:v>
                </c:pt>
                <c:pt idx="25">
                  <c:v>31200</c:v>
                </c:pt>
                <c:pt idx="26">
                  <c:v>32400.000000000004</c:v>
                </c:pt>
                <c:pt idx="27">
                  <c:v>33600</c:v>
                </c:pt>
                <c:pt idx="28">
                  <c:v>34800</c:v>
                </c:pt>
                <c:pt idx="29">
                  <c:v>36000</c:v>
                </c:pt>
                <c:pt idx="30">
                  <c:v>37200</c:v>
                </c:pt>
                <c:pt idx="31">
                  <c:v>38400</c:v>
                </c:pt>
                <c:pt idx="32">
                  <c:v>39600</c:v>
                </c:pt>
                <c:pt idx="33">
                  <c:v>40800</c:v>
                </c:pt>
                <c:pt idx="34">
                  <c:v>42000</c:v>
                </c:pt>
                <c:pt idx="35">
                  <c:v>43200</c:v>
                </c:pt>
                <c:pt idx="36">
                  <c:v>44400</c:v>
                </c:pt>
                <c:pt idx="37">
                  <c:v>45600</c:v>
                </c:pt>
                <c:pt idx="38">
                  <c:v>46800</c:v>
                </c:pt>
                <c:pt idx="39">
                  <c:v>48000</c:v>
                </c:pt>
                <c:pt idx="40">
                  <c:v>49200</c:v>
                </c:pt>
                <c:pt idx="41">
                  <c:v>50400</c:v>
                </c:pt>
                <c:pt idx="42">
                  <c:v>51600</c:v>
                </c:pt>
                <c:pt idx="43">
                  <c:v>52800</c:v>
                </c:pt>
                <c:pt idx="44">
                  <c:v>54000</c:v>
                </c:pt>
                <c:pt idx="45">
                  <c:v>55200</c:v>
                </c:pt>
                <c:pt idx="46">
                  <c:v>56400</c:v>
                </c:pt>
                <c:pt idx="47">
                  <c:v>57600</c:v>
                </c:pt>
                <c:pt idx="48">
                  <c:v>58800</c:v>
                </c:pt>
                <c:pt idx="49">
                  <c:v>60000</c:v>
                </c:pt>
                <c:pt idx="50">
                  <c:v>61200</c:v>
                </c:pt>
                <c:pt idx="51">
                  <c:v>62400</c:v>
                </c:pt>
                <c:pt idx="52">
                  <c:v>63600</c:v>
                </c:pt>
                <c:pt idx="53">
                  <c:v>64800.000000000007</c:v>
                </c:pt>
                <c:pt idx="54">
                  <c:v>66000</c:v>
                </c:pt>
                <c:pt idx="55">
                  <c:v>67200</c:v>
                </c:pt>
                <c:pt idx="56">
                  <c:v>68400</c:v>
                </c:pt>
                <c:pt idx="57">
                  <c:v>69600</c:v>
                </c:pt>
                <c:pt idx="58">
                  <c:v>70800</c:v>
                </c:pt>
                <c:pt idx="59">
                  <c:v>72000</c:v>
                </c:pt>
                <c:pt idx="60">
                  <c:v>73200</c:v>
                </c:pt>
                <c:pt idx="61">
                  <c:v>74400</c:v>
                </c:pt>
                <c:pt idx="62">
                  <c:v>75600</c:v>
                </c:pt>
                <c:pt idx="63">
                  <c:v>76800</c:v>
                </c:pt>
                <c:pt idx="64">
                  <c:v>78000</c:v>
                </c:pt>
                <c:pt idx="65">
                  <c:v>79200</c:v>
                </c:pt>
                <c:pt idx="66">
                  <c:v>80400</c:v>
                </c:pt>
                <c:pt idx="67">
                  <c:v>81600</c:v>
                </c:pt>
                <c:pt idx="68">
                  <c:v>82800</c:v>
                </c:pt>
                <c:pt idx="69">
                  <c:v>84000</c:v>
                </c:pt>
                <c:pt idx="70">
                  <c:v>85200</c:v>
                </c:pt>
                <c:pt idx="71">
                  <c:v>86400</c:v>
                </c:pt>
                <c:pt idx="72">
                  <c:v>87600</c:v>
                </c:pt>
                <c:pt idx="73">
                  <c:v>88800</c:v>
                </c:pt>
                <c:pt idx="74">
                  <c:v>90000</c:v>
                </c:pt>
                <c:pt idx="75">
                  <c:v>91200</c:v>
                </c:pt>
                <c:pt idx="76">
                  <c:v>92400</c:v>
                </c:pt>
                <c:pt idx="77">
                  <c:v>93600</c:v>
                </c:pt>
                <c:pt idx="78">
                  <c:v>94800</c:v>
                </c:pt>
                <c:pt idx="79">
                  <c:v>96000</c:v>
                </c:pt>
                <c:pt idx="80">
                  <c:v>97200</c:v>
                </c:pt>
                <c:pt idx="81">
                  <c:v>98400</c:v>
                </c:pt>
                <c:pt idx="82">
                  <c:v>99600</c:v>
                </c:pt>
                <c:pt idx="83">
                  <c:v>100800</c:v>
                </c:pt>
                <c:pt idx="84">
                  <c:v>102000</c:v>
                </c:pt>
                <c:pt idx="85">
                  <c:v>103200</c:v>
                </c:pt>
                <c:pt idx="86">
                  <c:v>104400</c:v>
                </c:pt>
                <c:pt idx="87">
                  <c:v>105600</c:v>
                </c:pt>
                <c:pt idx="88">
                  <c:v>106800</c:v>
                </c:pt>
                <c:pt idx="89">
                  <c:v>108000</c:v>
                </c:pt>
                <c:pt idx="90">
                  <c:v>109200</c:v>
                </c:pt>
                <c:pt idx="91">
                  <c:v>110400</c:v>
                </c:pt>
                <c:pt idx="92">
                  <c:v>111600</c:v>
                </c:pt>
                <c:pt idx="93">
                  <c:v>112800</c:v>
                </c:pt>
                <c:pt idx="94">
                  <c:v>114000</c:v>
                </c:pt>
                <c:pt idx="95">
                  <c:v>115200</c:v>
                </c:pt>
                <c:pt idx="96">
                  <c:v>116400</c:v>
                </c:pt>
                <c:pt idx="97">
                  <c:v>117600</c:v>
                </c:pt>
                <c:pt idx="98">
                  <c:v>118800</c:v>
                </c:pt>
                <c:pt idx="99">
                  <c:v>120000</c:v>
                </c:pt>
              </c:numCache>
            </c:numRef>
          </c:xVal>
          <c:yVal>
            <c:numRef>
              <c:f>'Voltage Loop'!$M$2:$M$101</c:f>
              <c:numCache>
                <c:formatCode>General</c:formatCode>
                <c:ptCount val="100"/>
                <c:pt idx="0">
                  <c:v>56.013748597205179</c:v>
                </c:pt>
                <c:pt idx="1">
                  <c:v>18.349348674255719</c:v>
                </c:pt>
                <c:pt idx="2">
                  <c:v>3.6606922744563413</c:v>
                </c:pt>
                <c:pt idx="3">
                  <c:v>0.80126633789168833</c:v>
                </c:pt>
                <c:pt idx="4">
                  <c:v>-1.4320536336856402</c:v>
                </c:pt>
                <c:pt idx="5">
                  <c:v>-3.2938923670141356</c:v>
                </c:pt>
                <c:pt idx="6">
                  <c:v>-4.9061698226632506</c:v>
                </c:pt>
                <c:pt idx="7">
                  <c:v>-6.3356322338148754</c:v>
                </c:pt>
                <c:pt idx="8">
                  <c:v>-7.6224354235883007</c:v>
                </c:pt>
                <c:pt idx="9">
                  <c:v>-8.7926336080276339</c:v>
                </c:pt>
                <c:pt idx="10">
                  <c:v>-9.8642730624215726</c:v>
                </c:pt>
                <c:pt idx="11">
                  <c:v>-10.850595893038367</c:v>
                </c:pt>
                <c:pt idx="12">
                  <c:v>-11.761817104943656</c:v>
                </c:pt>
                <c:pt idx="13">
                  <c:v>-12.606152565864207</c:v>
                </c:pt>
                <c:pt idx="14">
                  <c:v>-13.390435870830331</c:v>
                </c:pt>
                <c:pt idx="15">
                  <c:v>-14.120501912446482</c:v>
                </c:pt>
                <c:pt idx="16">
                  <c:v>-14.801434365543463</c:v>
                </c:pt>
                <c:pt idx="17">
                  <c:v>-15.437731793125529</c:v>
                </c:pt>
                <c:pt idx="18">
                  <c:v>-16.033423873655611</c:v>
                </c:pt>
                <c:pt idx="19">
                  <c:v>-16.592156237209743</c:v>
                </c:pt>
                <c:pt idx="20">
                  <c:v>-17.117254944452604</c:v>
                </c:pt>
                <c:pt idx="21">
                  <c:v>-17.611777294228336</c:v>
                </c:pt>
                <c:pt idx="22">
                  <c:v>-18.078553065693882</c:v>
                </c:pt>
                <c:pt idx="23">
                  <c:v>-18.520218744007671</c:v>
                </c:pt>
                <c:pt idx="24">
                  <c:v>-18.939246321710552</c:v>
                </c:pt>
                <c:pt idx="25">
                  <c:v>-19.337967667893189</c:v>
                </c:pt>
                <c:pt idx="26">
                  <c:v>-19.718595072862819</c:v>
                </c:pt>
                <c:pt idx="27">
                  <c:v>-20.083238325206342</c:v>
                </c:pt>
                <c:pt idx="28">
                  <c:v>-20.433918513501727</c:v>
                </c:pt>
                <c:pt idx="29">
                  <c:v>-20.77257863985291</c:v>
                </c:pt>
                <c:pt idx="30">
                  <c:v>-21.101091072809961</c:v>
                </c:pt>
                <c:pt idx="31">
                  <c:v>-21.421261846410793</c:v>
                </c:pt>
                <c:pt idx="32">
                  <c:v>-21.734831827422308</c:v>
                </c:pt>
                <c:pt idx="33">
                  <c:v>-22.043474823266376</c:v>
                </c:pt>
                <c:pt idx="34">
                  <c:v>-22.348792787046619</c:v>
                </c:pt>
                <c:pt idx="35">
                  <c:v>-22.652308389776419</c:v>
                </c:pt>
                <c:pt idx="36">
                  <c:v>-22.955455366102147</c:v>
                </c:pt>
                <c:pt idx="37">
                  <c:v>-23.259567186937119</c:v>
                </c:pt>
                <c:pt idx="38">
                  <c:v>-23.565864754701128</c:v>
                </c:pt>
                <c:pt idx="39">
                  <c:v>-23.875443935357854</c:v>
                </c:pt>
                <c:pt idx="40">
                  <c:v>-24.189263816353368</c:v>
                </c:pt>
                <c:pt idx="41">
                  <c:v>-24.508136593261366</c:v>
                </c:pt>
                <c:pt idx="42">
                  <c:v>-24.832719928586616</c:v>
                </c:pt>
                <c:pt idx="43">
                  <c:v>-25.163512490713401</c:v>
                </c:pt>
                <c:pt idx="44">
                  <c:v>-25.500853177061206</c:v>
                </c:pt>
                <c:pt idx="45">
                  <c:v>-25.844924271271225</c:v>
                </c:pt>
                <c:pt idx="46">
                  <c:v>-26.195758506100422</c:v>
                </c:pt>
                <c:pt idx="47">
                  <c:v>-26.553249732082733</c:v>
                </c:pt>
                <c:pt idx="48">
                  <c:v>-26.917166656363889</c:v>
                </c:pt>
                <c:pt idx="49">
                  <c:v>-27.287168939984547</c:v>
                </c:pt>
                <c:pt idx="50">
                  <c:v>-27.662824839440503</c:v>
                </c:pt>
                <c:pt idx="51">
                  <c:v>-28.043629552952112</c:v>
                </c:pt>
                <c:pt idx="52">
                  <c:v>-28.429023476746295</c:v>
                </c:pt>
                <c:pt idx="53">
                  <c:v>-28.81840967736948</c:v>
                </c:pt>
                <c:pt idx="54">
                  <c:v>-29.211170023873052</c:v>
                </c:pt>
                <c:pt idx="55">
                  <c:v>-29.60667957911912</c:v>
                </c:pt>
                <c:pt idx="56">
                  <c:v>-30.004319004918507</c:v>
                </c:pt>
                <c:pt idx="57">
                  <c:v>-30.403484877640423</c:v>
                </c:pt>
                <c:pt idx="58">
                  <c:v>-30.80359793036417</c:v>
                </c:pt>
                <c:pt idx="59">
                  <c:v>-31.204109330175122</c:v>
                </c:pt>
                <c:pt idx="60">
                  <c:v>-31.604505164237899</c:v>
                </c:pt>
                <c:pt idx="61">
                  <c:v>-32.00430934794872</c:v>
                </c:pt>
                <c:pt idx="62">
                  <c:v>-32.403085186629042</c:v>
                </c:pt>
                <c:pt idx="63">
                  <c:v>-32.800435823448339</c:v>
                </c:pt>
                <c:pt idx="64">
                  <c:v>-33.196003795192176</c:v>
                </c:pt>
                <c:pt idx="65">
                  <c:v>-33.589469898311869</c:v>
                </c:pt>
                <c:pt idx="66">
                  <c:v>-33.980551543929984</c:v>
                </c:pt>
                <c:pt idx="67">
                  <c:v>-34.369000754863102</c:v>
                </c:pt>
                <c:pt idx="68">
                  <c:v>-34.754601932268145</c:v>
                </c:pt>
                <c:pt idx="69">
                  <c:v>-35.13716949555868</c:v>
                </c:pt>
                <c:pt idx="70">
                  <c:v>-35.51654547759086</c:v>
                </c:pt>
                <c:pt idx="71">
                  <c:v>-35.89259713816574</c:v>
                </c:pt>
                <c:pt idx="72">
                  <c:v>-36.265214642768761</c:v>
                </c:pt>
                <c:pt idx="73">
                  <c:v>-36.634308840045072</c:v>
                </c:pt>
                <c:pt idx="74">
                  <c:v>-36.999809160597898</c:v>
                </c:pt>
                <c:pt idx="75">
                  <c:v>-37.361661651001199</c:v>
                </c:pt>
                <c:pt idx="76">
                  <c:v>-37.719827150146308</c:v>
                </c:pt>
                <c:pt idx="77">
                  <c:v>-38.074279609881629</c:v>
                </c:pt>
                <c:pt idx="78">
                  <c:v>-38.425004558076196</c:v>
                </c:pt>
                <c:pt idx="79">
                  <c:v>-38.771997699507352</c:v>
                </c:pt>
                <c:pt idx="80">
                  <c:v>-39.115263648080912</c:v>
                </c:pt>
                <c:pt idx="81">
                  <c:v>-39.454814782698293</c:v>
                </c:pt>
                <c:pt idx="82">
                  <c:v>-39.790670218395753</c:v>
                </c:pt>
                <c:pt idx="83">
                  <c:v>-40.122854884091254</c:v>
                </c:pt>
                <c:pt idx="84">
                  <c:v>-40.451398698269408</c:v>
                </c:pt>
                <c:pt idx="85">
                  <c:v>-40.776335834138884</c:v>
                </c:pt>
                <c:pt idx="86">
                  <c:v>-41.097704066144047</c:v>
                </c:pt>
                <c:pt idx="87">
                  <c:v>-41.415544190150229</c:v>
                </c:pt>
                <c:pt idx="88">
                  <c:v>-41.729899510118528</c:v>
                </c:pt>
                <c:pt idx="89">
                  <c:v>-42.04081538460612</c:v>
                </c:pt>
                <c:pt idx="90">
                  <c:v>-42.348338826958745</c:v>
                </c:pt>
                <c:pt idx="91">
                  <c:v>-42.652518153580004</c:v>
                </c:pt>
                <c:pt idx="92">
                  <c:v>-42.953402675164298</c:v>
                </c:pt>
                <c:pt idx="93">
                  <c:v>-43.251042426254941</c:v>
                </c:pt>
                <c:pt idx="94">
                  <c:v>-43.545487928938144</c:v>
                </c:pt>
                <c:pt idx="95">
                  <c:v>-43.836789986894679</c:v>
                </c:pt>
                <c:pt idx="96">
                  <c:v>-44.124999506415136</c:v>
                </c:pt>
                <c:pt idx="97">
                  <c:v>-44.410167341336034</c:v>
                </c:pt>
                <c:pt idx="98">
                  <c:v>-44.69234415917029</c:v>
                </c:pt>
                <c:pt idx="99">
                  <c:v>-44.971580325998126</c:v>
                </c:pt>
              </c:numCache>
            </c:numRef>
          </c:yVal>
          <c:smooth val="1"/>
          <c:extLst>
            <c:ext xmlns:c16="http://schemas.microsoft.com/office/drawing/2014/chart" uri="{C3380CC4-5D6E-409C-BE32-E72D297353CC}">
              <c16:uniqueId val="{00000000-DD8C-4A46-9E2F-53DC836CF80D}"/>
            </c:ext>
          </c:extLst>
        </c:ser>
        <c:dLbls>
          <c:showLegendKey val="0"/>
          <c:showVal val="0"/>
          <c:showCatName val="0"/>
          <c:showSerName val="0"/>
          <c:showPercent val="0"/>
          <c:showBubbleSize val="0"/>
        </c:dLbls>
        <c:axId val="507584992"/>
        <c:axId val="1"/>
      </c:scatterChart>
      <c:scatterChart>
        <c:scatterStyle val="lineMarker"/>
        <c:varyColors val="0"/>
        <c:ser>
          <c:idx val="2"/>
          <c:order val="1"/>
          <c:tx>
            <c:strRef>
              <c:f>'Voltage Loop'!$O$1</c:f>
              <c:strCache>
                <c:ptCount val="1"/>
                <c:pt idx="0">
                  <c:v>ӨTv(f)</c:v>
                </c:pt>
              </c:strCache>
            </c:strRef>
          </c:tx>
          <c:spPr>
            <a:ln w="25400">
              <a:solidFill>
                <a:srgbClr val="FF0000"/>
              </a:solidFill>
              <a:prstDash val="solid"/>
            </a:ln>
          </c:spPr>
          <c:marker>
            <c:symbol val="none"/>
          </c:marker>
          <c:xVal>
            <c:numRef>
              <c:f>'Voltage Loop'!$B$2:$B$101</c:f>
              <c:numCache>
                <c:formatCode>General</c:formatCode>
                <c:ptCount val="100"/>
                <c:pt idx="0">
                  <c:v>100</c:v>
                </c:pt>
                <c:pt idx="1">
                  <c:v>1000</c:v>
                </c:pt>
                <c:pt idx="2">
                  <c:v>3600</c:v>
                </c:pt>
                <c:pt idx="3">
                  <c:v>4800</c:v>
                </c:pt>
                <c:pt idx="4">
                  <c:v>6000</c:v>
                </c:pt>
                <c:pt idx="5">
                  <c:v>7200</c:v>
                </c:pt>
                <c:pt idx="6">
                  <c:v>8400</c:v>
                </c:pt>
                <c:pt idx="7">
                  <c:v>9600</c:v>
                </c:pt>
                <c:pt idx="8">
                  <c:v>10800</c:v>
                </c:pt>
                <c:pt idx="9">
                  <c:v>12000</c:v>
                </c:pt>
                <c:pt idx="10">
                  <c:v>13200</c:v>
                </c:pt>
                <c:pt idx="11">
                  <c:v>14400</c:v>
                </c:pt>
                <c:pt idx="12">
                  <c:v>15600</c:v>
                </c:pt>
                <c:pt idx="13">
                  <c:v>16800</c:v>
                </c:pt>
                <c:pt idx="14">
                  <c:v>18000</c:v>
                </c:pt>
                <c:pt idx="15">
                  <c:v>19200</c:v>
                </c:pt>
                <c:pt idx="16">
                  <c:v>20400</c:v>
                </c:pt>
                <c:pt idx="17">
                  <c:v>21600</c:v>
                </c:pt>
                <c:pt idx="18">
                  <c:v>22800</c:v>
                </c:pt>
                <c:pt idx="19">
                  <c:v>24000</c:v>
                </c:pt>
                <c:pt idx="20">
                  <c:v>25200</c:v>
                </c:pt>
                <c:pt idx="21">
                  <c:v>26400</c:v>
                </c:pt>
                <c:pt idx="22">
                  <c:v>27600</c:v>
                </c:pt>
                <c:pt idx="23">
                  <c:v>28800</c:v>
                </c:pt>
                <c:pt idx="24">
                  <c:v>30000</c:v>
                </c:pt>
                <c:pt idx="25">
                  <c:v>31200</c:v>
                </c:pt>
                <c:pt idx="26">
                  <c:v>32400.000000000004</c:v>
                </c:pt>
                <c:pt idx="27">
                  <c:v>33600</c:v>
                </c:pt>
                <c:pt idx="28">
                  <c:v>34800</c:v>
                </c:pt>
                <c:pt idx="29">
                  <c:v>36000</c:v>
                </c:pt>
                <c:pt idx="30">
                  <c:v>37200</c:v>
                </c:pt>
                <c:pt idx="31">
                  <c:v>38400</c:v>
                </c:pt>
                <c:pt idx="32">
                  <c:v>39600</c:v>
                </c:pt>
                <c:pt idx="33">
                  <c:v>40800</c:v>
                </c:pt>
                <c:pt idx="34">
                  <c:v>42000</c:v>
                </c:pt>
                <c:pt idx="35">
                  <c:v>43200</c:v>
                </c:pt>
                <c:pt idx="36">
                  <c:v>44400</c:v>
                </c:pt>
                <c:pt idx="37">
                  <c:v>45600</c:v>
                </c:pt>
                <c:pt idx="38">
                  <c:v>46800</c:v>
                </c:pt>
                <c:pt idx="39">
                  <c:v>48000</c:v>
                </c:pt>
                <c:pt idx="40">
                  <c:v>49200</c:v>
                </c:pt>
                <c:pt idx="41">
                  <c:v>50400</c:v>
                </c:pt>
                <c:pt idx="42">
                  <c:v>51600</c:v>
                </c:pt>
                <c:pt idx="43">
                  <c:v>52800</c:v>
                </c:pt>
                <c:pt idx="44">
                  <c:v>54000</c:v>
                </c:pt>
                <c:pt idx="45">
                  <c:v>55200</c:v>
                </c:pt>
                <c:pt idx="46">
                  <c:v>56400</c:v>
                </c:pt>
                <c:pt idx="47">
                  <c:v>57600</c:v>
                </c:pt>
                <c:pt idx="48">
                  <c:v>58800</c:v>
                </c:pt>
                <c:pt idx="49">
                  <c:v>60000</c:v>
                </c:pt>
                <c:pt idx="50">
                  <c:v>61200</c:v>
                </c:pt>
                <c:pt idx="51">
                  <c:v>62400</c:v>
                </c:pt>
                <c:pt idx="52">
                  <c:v>63600</c:v>
                </c:pt>
                <c:pt idx="53">
                  <c:v>64800.000000000007</c:v>
                </c:pt>
                <c:pt idx="54">
                  <c:v>66000</c:v>
                </c:pt>
                <c:pt idx="55">
                  <c:v>67200</c:v>
                </c:pt>
                <c:pt idx="56">
                  <c:v>68400</c:v>
                </c:pt>
                <c:pt idx="57">
                  <c:v>69600</c:v>
                </c:pt>
                <c:pt idx="58">
                  <c:v>70800</c:v>
                </c:pt>
                <c:pt idx="59">
                  <c:v>72000</c:v>
                </c:pt>
                <c:pt idx="60">
                  <c:v>73200</c:v>
                </c:pt>
                <c:pt idx="61">
                  <c:v>74400</c:v>
                </c:pt>
                <c:pt idx="62">
                  <c:v>75600</c:v>
                </c:pt>
                <c:pt idx="63">
                  <c:v>76800</c:v>
                </c:pt>
                <c:pt idx="64">
                  <c:v>78000</c:v>
                </c:pt>
                <c:pt idx="65">
                  <c:v>79200</c:v>
                </c:pt>
                <c:pt idx="66">
                  <c:v>80400</c:v>
                </c:pt>
                <c:pt idx="67">
                  <c:v>81600</c:v>
                </c:pt>
                <c:pt idx="68">
                  <c:v>82800</c:v>
                </c:pt>
                <c:pt idx="69">
                  <c:v>84000</c:v>
                </c:pt>
                <c:pt idx="70">
                  <c:v>85200</c:v>
                </c:pt>
                <c:pt idx="71">
                  <c:v>86400</c:v>
                </c:pt>
                <c:pt idx="72">
                  <c:v>87600</c:v>
                </c:pt>
                <c:pt idx="73">
                  <c:v>88800</c:v>
                </c:pt>
                <c:pt idx="74">
                  <c:v>90000</c:v>
                </c:pt>
                <c:pt idx="75">
                  <c:v>91200</c:v>
                </c:pt>
                <c:pt idx="76">
                  <c:v>92400</c:v>
                </c:pt>
                <c:pt idx="77">
                  <c:v>93600</c:v>
                </c:pt>
                <c:pt idx="78">
                  <c:v>94800</c:v>
                </c:pt>
                <c:pt idx="79">
                  <c:v>96000</c:v>
                </c:pt>
                <c:pt idx="80">
                  <c:v>97200</c:v>
                </c:pt>
                <c:pt idx="81">
                  <c:v>98400</c:v>
                </c:pt>
                <c:pt idx="82">
                  <c:v>99600</c:v>
                </c:pt>
                <c:pt idx="83">
                  <c:v>100800</c:v>
                </c:pt>
                <c:pt idx="84">
                  <c:v>102000</c:v>
                </c:pt>
                <c:pt idx="85">
                  <c:v>103200</c:v>
                </c:pt>
                <c:pt idx="86">
                  <c:v>104400</c:v>
                </c:pt>
                <c:pt idx="87">
                  <c:v>105600</c:v>
                </c:pt>
                <c:pt idx="88">
                  <c:v>106800</c:v>
                </c:pt>
                <c:pt idx="89">
                  <c:v>108000</c:v>
                </c:pt>
                <c:pt idx="90">
                  <c:v>109200</c:v>
                </c:pt>
                <c:pt idx="91">
                  <c:v>110400</c:v>
                </c:pt>
                <c:pt idx="92">
                  <c:v>111600</c:v>
                </c:pt>
                <c:pt idx="93">
                  <c:v>112800</c:v>
                </c:pt>
                <c:pt idx="94">
                  <c:v>114000</c:v>
                </c:pt>
                <c:pt idx="95">
                  <c:v>115200</c:v>
                </c:pt>
                <c:pt idx="96">
                  <c:v>116400</c:v>
                </c:pt>
                <c:pt idx="97">
                  <c:v>117600</c:v>
                </c:pt>
                <c:pt idx="98">
                  <c:v>118800</c:v>
                </c:pt>
                <c:pt idx="99">
                  <c:v>120000</c:v>
                </c:pt>
              </c:numCache>
            </c:numRef>
          </c:xVal>
          <c:yVal>
            <c:numRef>
              <c:f>'Voltage Loop'!$O$2:$O$101</c:f>
              <c:numCache>
                <c:formatCode>General</c:formatCode>
                <c:ptCount val="100"/>
                <c:pt idx="0">
                  <c:v>9.4449163025278153</c:v>
                </c:pt>
                <c:pt idx="1">
                  <c:v>37.401315320360794</c:v>
                </c:pt>
                <c:pt idx="2">
                  <c:v>60.086433896564827</c:v>
                </c:pt>
                <c:pt idx="3">
                  <c:v>60.74257093951924</c:v>
                </c:pt>
                <c:pt idx="4">
                  <c:v>60.003748564494074</c:v>
                </c:pt>
                <c:pt idx="5">
                  <c:v>58.666652699999617</c:v>
                </c:pt>
                <c:pt idx="6">
                  <c:v>57.089605921368786</c:v>
                </c:pt>
                <c:pt idx="7">
                  <c:v>55.447012247423643</c:v>
                </c:pt>
                <c:pt idx="8">
                  <c:v>53.824990379226762</c:v>
                </c:pt>
                <c:pt idx="9">
                  <c:v>52.263506762209445</c:v>
                </c:pt>
                <c:pt idx="10">
                  <c:v>50.777287082043642</c:v>
                </c:pt>
                <c:pt idx="11">
                  <c:v>49.367092382764611</c:v>
                </c:pt>
                <c:pt idx="12">
                  <c:v>48.026123946388253</c:v>
                </c:pt>
                <c:pt idx="13">
                  <c:v>46.743761828468877</c:v>
                </c:pt>
                <c:pt idx="14">
                  <c:v>45.507763436144643</c:v>
                </c:pt>
                <c:pt idx="15">
                  <c:v>44.305543240855059</c:v>
                </c:pt>
                <c:pt idx="16">
                  <c:v>43.124895217419663</c:v>
                </c:pt>
                <c:pt idx="17">
                  <c:v>41.954376211717857</c:v>
                </c:pt>
                <c:pt idx="18">
                  <c:v>40.783484846128857</c:v>
                </c:pt>
                <c:pt idx="19">
                  <c:v>39.602720019619795</c:v>
                </c:pt>
                <c:pt idx="20">
                  <c:v>38.403571749059438</c:v>
                </c:pt>
                <c:pt idx="21">
                  <c:v>37.178477411081502</c:v>
                </c:pt>
                <c:pt idx="22">
                  <c:v>35.920763947917521</c:v>
                </c:pt>
                <c:pt idx="23">
                  <c:v>34.624588619840182</c:v>
                </c:pt>
                <c:pt idx="24">
                  <c:v>33.28488576169994</c:v>
                </c:pt>
                <c:pt idx="25">
                  <c:v>31.897323683225579</c:v>
                </c:pt>
                <c:pt idx="26">
                  <c:v>30.458273671101296</c:v>
                </c:pt>
                <c:pt idx="27">
                  <c:v>28.964791572329233</c:v>
                </c:pt>
                <c:pt idx="28">
                  <c:v>27.414611383356913</c:v>
                </c:pt>
                <c:pt idx="29">
                  <c:v>25.806149460183434</c:v>
                </c:pt>
                <c:pt idx="30">
                  <c:v>24.138517293711004</c:v>
                </c:pt>
                <c:pt idx="31">
                  <c:v>22.411540205941748</c:v>
                </c:pt>
                <c:pt idx="32">
                  <c:v>20.625778799697258</c:v>
                </c:pt>
                <c:pt idx="33">
                  <c:v>18.782549552629206</c:v>
                </c:pt>
                <c:pt idx="34">
                  <c:v>16.883940625505318</c:v>
                </c:pt>
                <c:pt idx="35">
                  <c:v>14.932818812304021</c:v>
                </c:pt>
                <c:pt idx="36">
                  <c:v>12.932823659796099</c:v>
                </c:pt>
                <c:pt idx="37">
                  <c:v>10.888345185386129</c:v>
                </c:pt>
                <c:pt idx="38">
                  <c:v>8.804482361576305</c:v>
                </c:pt>
                <c:pt idx="39">
                  <c:v>6.6869806152888884</c:v>
                </c:pt>
                <c:pt idx="40">
                  <c:v>4.5421479648900061</c:v>
                </c:pt>
                <c:pt idx="41">
                  <c:v>2.3767509893015699</c:v>
                </c:pt>
                <c:pt idx="42">
                  <c:v>0.19789344758547145</c:v>
                </c:pt>
                <c:pt idx="43">
                  <c:v>-1.9871181310642214</c:v>
                </c:pt>
                <c:pt idx="44">
                  <c:v>-4.170916366946642</c:v>
                </c:pt>
                <c:pt idx="45">
                  <c:v>-6.3462161933051675</c:v>
                </c:pt>
                <c:pt idx="46">
                  <c:v>-8.5059528038946155</c:v>
                </c:pt>
                <c:pt idx="47">
                  <c:v>-10.643408306503204</c:v>
                </c:pt>
                <c:pt idx="48">
                  <c:v>-12.752321905967619</c:v>
                </c:pt>
                <c:pt idx="49">
                  <c:v>-14.82697973865686</c:v>
                </c:pt>
                <c:pt idx="50">
                  <c:v>-16.862282007926751</c:v>
                </c:pt>
                <c:pt idx="51">
                  <c:v>-18.85378664493544</c:v>
                </c:pt>
                <c:pt idx="52">
                  <c:v>-20.797730175374625</c:v>
                </c:pt>
                <c:pt idx="53">
                  <c:v>-22.691027682496838</c:v>
                </c:pt>
                <c:pt idx="54">
                  <c:v>-24.531254643195894</c:v>
                </c:pt>
                <c:pt idx="55">
                  <c:v>-26.31661395186552</c:v>
                </c:pt>
                <c:pt idx="56">
                  <c:v>-28.045891655516641</c:v>
                </c:pt>
                <c:pt idx="57">
                  <c:v>-29.718404854156233</c:v>
                </c:pt>
                <c:pt idx="58">
                  <c:v>-31.333944940738547</c:v>
                </c:pt>
                <c:pt idx="59">
                  <c:v>-32.892718937362986</c:v>
                </c:pt>
                <c:pt idx="60">
                  <c:v>-34.395291195459095</c:v>
                </c:pt>
                <c:pt idx="61">
                  <c:v>-35.842527222541548</c:v>
                </c:pt>
                <c:pt idx="62">
                  <c:v>-37.235540917473429</c:v>
                </c:pt>
                <c:pt idx="63">
                  <c:v>-38.575646066829449</c:v>
                </c:pt>
                <c:pt idx="64">
                  <c:v>-39.864312591227417</c:v>
                </c:pt>
                <c:pt idx="65">
                  <c:v>-41.103127737125646</c:v>
                </c:pt>
                <c:pt idx="66">
                  <c:v>-42.293762184330433</c:v>
                </c:pt>
                <c:pt idx="67">
                  <c:v>-43.437940875772142</c:v>
                </c:pt>
                <c:pt idx="68">
                  <c:v>-44.537418265126803</c:v>
                </c:pt>
                <c:pt idx="69">
                  <c:v>-45.59395760997154</c:v>
                </c:pt>
                <c:pt idx="70">
                  <c:v>-46.609313904066084</c:v>
                </c:pt>
                <c:pt idx="71">
                  <c:v>-47.585220033571318</c:v>
                </c:pt>
                <c:pt idx="72">
                  <c:v>-48.523375751444121</c:v>
                </c:pt>
                <c:pt idx="73">
                  <c:v>-49.425439085854123</c:v>
                </c:pt>
                <c:pt idx="74">
                  <c:v>-50.293019827706303</c:v>
                </c:pt>
                <c:pt idx="75">
                  <c:v>-51.127674775624598</c:v>
                </c:pt>
                <c:pt idx="76">
                  <c:v>-51.93090445143315</c:v>
                </c:pt>
                <c:pt idx="77">
                  <c:v>-52.704151033521839</c:v>
                </c:pt>
                <c:pt idx="78">
                  <c:v>-53.448797288192736</c:v>
                </c:pt>
                <c:pt idx="79">
                  <c:v>-54.166166309476012</c:v>
                </c:pt>
                <c:pt idx="80">
                  <c:v>-54.857521905532565</c:v>
                </c:pt>
                <c:pt idx="81">
                  <c:v>-55.524069494500452</c:v>
                </c:pt>
                <c:pt idx="82">
                  <c:v>-56.16695739447141</c:v>
                </c:pt>
                <c:pt idx="83">
                  <c:v>-56.787278411375155</c:v>
                </c:pt>
                <c:pt idx="84">
                  <c:v>-57.386071645045263</c:v>
                </c:pt>
                <c:pt idx="85">
                  <c:v>-57.96432444792265</c:v>
                </c:pt>
                <c:pt idx="86">
                  <c:v>-58.522974482916993</c:v>
                </c:pt>
                <c:pt idx="87">
                  <c:v>-59.062911837177523</c:v>
                </c:pt>
                <c:pt idx="88">
                  <c:v>-59.584981157128425</c:v>
                </c:pt>
                <c:pt idx="89">
                  <c:v>-60.089983777319389</c:v>
                </c:pt>
                <c:pt idx="90">
                  <c:v>-60.578679821642027</c:v>
                </c:pt>
                <c:pt idx="91">
                  <c:v>-61.051790260426287</c:v>
                </c:pt>
                <c:pt idx="92">
                  <c:v>-61.509998911010371</c:v>
                </c:pt>
                <c:pt idx="93">
                  <c:v>-61.953954372732255</c:v>
                </c:pt>
                <c:pt idx="94">
                  <c:v>-62.384271890006744</c:v>
                </c:pt>
                <c:pt idx="95">
                  <c:v>-62.801535139359487</c:v>
                </c:pt>
                <c:pt idx="96">
                  <c:v>-63.20629793804784</c:v>
                </c:pt>
                <c:pt idx="97">
                  <c:v>-63.599085873311992</c:v>
                </c:pt>
                <c:pt idx="98">
                  <c:v>-63.980397852395186</c:v>
                </c:pt>
                <c:pt idx="99">
                  <c:v>-64.350707574338003</c:v>
                </c:pt>
              </c:numCache>
            </c:numRef>
          </c:yVal>
          <c:smooth val="0"/>
          <c:extLst>
            <c:ext xmlns:c16="http://schemas.microsoft.com/office/drawing/2014/chart" uri="{C3380CC4-5D6E-409C-BE32-E72D297353CC}">
              <c16:uniqueId val="{00000001-DD8C-4A46-9E2F-53DC836CF80D}"/>
            </c:ext>
          </c:extLst>
        </c:ser>
        <c:dLbls>
          <c:showLegendKey val="0"/>
          <c:showVal val="0"/>
          <c:showCatName val="0"/>
          <c:showSerName val="0"/>
          <c:showPercent val="0"/>
          <c:showBubbleSize val="0"/>
        </c:dLbls>
        <c:axId val="3"/>
        <c:axId val="4"/>
      </c:scatterChart>
      <c:valAx>
        <c:axId val="507584992"/>
        <c:scaling>
          <c:logBase val="10"/>
          <c:orientation val="minMax"/>
          <c:min val="10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00" b="1" i="0" u="none" strike="noStrike" baseline="0">
                    <a:solidFill>
                      <a:srgbClr val="000000"/>
                    </a:solidFill>
                    <a:latin typeface="Arial"/>
                    <a:ea typeface="Arial"/>
                    <a:cs typeface="Arial"/>
                  </a:defRPr>
                </a:pPr>
                <a:r>
                  <a:rPr lang="en-US"/>
                  <a:t>Frequency in Hz</a:t>
                </a:r>
              </a:p>
            </c:rich>
          </c:tx>
          <c:layout>
            <c:manualLayout>
              <c:xMode val="edge"/>
              <c:yMode val="edge"/>
              <c:x val="0.41506875499258244"/>
              <c:y val="0.926097824220570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1"/>
        <c:crossesAt val="-80"/>
        <c:crossBetween val="midCat"/>
      </c:valAx>
      <c:valAx>
        <c:axId val="1"/>
        <c:scaling>
          <c:orientation val="minMax"/>
          <c:max val="80"/>
          <c:min val="-80"/>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a:t>Gain in dB</a:t>
                </a:r>
              </a:p>
            </c:rich>
          </c:tx>
          <c:layout>
            <c:manualLayout>
              <c:xMode val="edge"/>
              <c:yMode val="edge"/>
              <c:x val="1.6438434326144013E-2"/>
              <c:y val="0.392610199426006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507584992"/>
        <c:crosses val="autoZero"/>
        <c:crossBetween val="midCat"/>
      </c:valAx>
      <c:valAx>
        <c:axId val="3"/>
        <c:scaling>
          <c:logBase val="10"/>
          <c:orientation val="minMax"/>
        </c:scaling>
        <c:delete val="1"/>
        <c:axPos val="b"/>
        <c:numFmt formatCode="General" sourceLinked="1"/>
        <c:majorTickMark val="out"/>
        <c:minorTickMark val="none"/>
        <c:tickLblPos val="nextTo"/>
        <c:crossAx val="4"/>
        <c:crosses val="autoZero"/>
        <c:crossBetween val="midCat"/>
      </c:valAx>
      <c:valAx>
        <c:axId val="4"/>
        <c:scaling>
          <c:orientation val="minMax"/>
          <c:max val="180"/>
          <c:min val="-180"/>
        </c:scaling>
        <c:delete val="0"/>
        <c:axPos val="r"/>
        <c:title>
          <c:tx>
            <c:rich>
              <a:bodyPr/>
              <a:lstStyle/>
              <a:p>
                <a:pPr>
                  <a:defRPr sz="1050" b="1" i="0" u="none" strike="noStrike" baseline="0">
                    <a:solidFill>
                      <a:srgbClr val="000000"/>
                    </a:solidFill>
                    <a:latin typeface="Arial"/>
                    <a:ea typeface="Arial"/>
                    <a:cs typeface="Arial"/>
                  </a:defRPr>
                </a:pPr>
                <a:r>
                  <a:rPr lang="en-US"/>
                  <a:t>Phase in Degrees</a:t>
                </a:r>
              </a:p>
            </c:rich>
          </c:tx>
          <c:layout>
            <c:manualLayout>
              <c:xMode val="edge"/>
              <c:yMode val="edge"/>
              <c:x val="0.94794576629008331"/>
              <c:y val="0.3348735496847941"/>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3"/>
        <c:crosses val="max"/>
        <c:crossBetween val="midCat"/>
        <c:majorUnit val="45"/>
      </c:valAx>
      <c:spPr>
        <a:solidFill>
          <a:srgbClr val="FFFFFF"/>
        </a:solidFill>
        <a:ln w="12700">
          <a:solidFill>
            <a:srgbClr val="808080"/>
          </a:solidFill>
          <a:prstDash val="solid"/>
        </a:ln>
      </c:spPr>
    </c:plotArea>
    <c:legend>
      <c:legendPos val="r"/>
      <c:layout>
        <c:manualLayout>
          <c:xMode val="edge"/>
          <c:yMode val="edge"/>
          <c:x val="0.13547914881563894"/>
          <c:y val="0.70303894083732177"/>
          <c:w val="0.13408245655980763"/>
          <c:h val="0.11137250547917968"/>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Tv(f) Frequency Response</a:t>
            </a:r>
          </a:p>
        </c:rich>
      </c:tx>
      <c:layout>
        <c:manualLayout>
          <c:xMode val="edge"/>
          <c:yMode val="edge"/>
          <c:x val="0.32948960997709681"/>
          <c:y val="3.3163501621120889E-2"/>
        </c:manualLayout>
      </c:layout>
      <c:overlay val="0"/>
      <c:spPr>
        <a:noFill/>
        <a:ln w="25400">
          <a:noFill/>
        </a:ln>
      </c:spPr>
    </c:title>
    <c:autoTitleDeleted val="0"/>
    <c:plotArea>
      <c:layout>
        <c:manualLayout>
          <c:layoutTarget val="inner"/>
          <c:xMode val="edge"/>
          <c:yMode val="edge"/>
          <c:x val="0.10708410590965584"/>
          <c:y val="0.11734693877551021"/>
          <c:w val="0.79406983151467858"/>
          <c:h val="0.73979591836734693"/>
        </c:manualLayout>
      </c:layout>
      <c:scatterChart>
        <c:scatterStyle val="smoothMarker"/>
        <c:varyColors val="0"/>
        <c:ser>
          <c:idx val="0"/>
          <c:order val="0"/>
          <c:tx>
            <c:strRef>
              <c:f>'Voltage Loop'!$M$1</c:f>
              <c:strCache>
                <c:ptCount val="1"/>
                <c:pt idx="0">
                  <c:v>TvdB(f)</c:v>
                </c:pt>
              </c:strCache>
            </c:strRef>
          </c:tx>
          <c:spPr>
            <a:ln w="25400">
              <a:solidFill>
                <a:srgbClr val="000000"/>
              </a:solidFill>
              <a:prstDash val="solid"/>
            </a:ln>
          </c:spPr>
          <c:marker>
            <c:symbol val="none"/>
          </c:marker>
          <c:xVal>
            <c:numRef>
              <c:f>'Voltage Loop'!$B$2:$B$101</c:f>
              <c:numCache>
                <c:formatCode>General</c:formatCode>
                <c:ptCount val="100"/>
                <c:pt idx="0">
                  <c:v>100</c:v>
                </c:pt>
                <c:pt idx="1">
                  <c:v>1000</c:v>
                </c:pt>
                <c:pt idx="2">
                  <c:v>3600</c:v>
                </c:pt>
                <c:pt idx="3">
                  <c:v>4800</c:v>
                </c:pt>
                <c:pt idx="4">
                  <c:v>6000</c:v>
                </c:pt>
                <c:pt idx="5">
                  <c:v>7200</c:v>
                </c:pt>
                <c:pt idx="6">
                  <c:v>8400</c:v>
                </c:pt>
                <c:pt idx="7">
                  <c:v>9600</c:v>
                </c:pt>
                <c:pt idx="8">
                  <c:v>10800</c:v>
                </c:pt>
                <c:pt idx="9">
                  <c:v>12000</c:v>
                </c:pt>
                <c:pt idx="10">
                  <c:v>13200</c:v>
                </c:pt>
                <c:pt idx="11">
                  <c:v>14400</c:v>
                </c:pt>
                <c:pt idx="12">
                  <c:v>15600</c:v>
                </c:pt>
                <c:pt idx="13">
                  <c:v>16800</c:v>
                </c:pt>
                <c:pt idx="14">
                  <c:v>18000</c:v>
                </c:pt>
                <c:pt idx="15">
                  <c:v>19200</c:v>
                </c:pt>
                <c:pt idx="16">
                  <c:v>20400</c:v>
                </c:pt>
                <c:pt idx="17">
                  <c:v>21600</c:v>
                </c:pt>
                <c:pt idx="18">
                  <c:v>22800</c:v>
                </c:pt>
                <c:pt idx="19">
                  <c:v>24000</c:v>
                </c:pt>
                <c:pt idx="20">
                  <c:v>25200</c:v>
                </c:pt>
                <c:pt idx="21">
                  <c:v>26400</c:v>
                </c:pt>
                <c:pt idx="22">
                  <c:v>27600</c:v>
                </c:pt>
                <c:pt idx="23">
                  <c:v>28800</c:v>
                </c:pt>
                <c:pt idx="24">
                  <c:v>30000</c:v>
                </c:pt>
                <c:pt idx="25">
                  <c:v>31200</c:v>
                </c:pt>
                <c:pt idx="26">
                  <c:v>32400.000000000004</c:v>
                </c:pt>
                <c:pt idx="27">
                  <c:v>33600</c:v>
                </c:pt>
                <c:pt idx="28">
                  <c:v>34800</c:v>
                </c:pt>
                <c:pt idx="29">
                  <c:v>36000</c:v>
                </c:pt>
                <c:pt idx="30">
                  <c:v>37200</c:v>
                </c:pt>
                <c:pt idx="31">
                  <c:v>38400</c:v>
                </c:pt>
                <c:pt idx="32">
                  <c:v>39600</c:v>
                </c:pt>
                <c:pt idx="33">
                  <c:v>40800</c:v>
                </c:pt>
                <c:pt idx="34">
                  <c:v>42000</c:v>
                </c:pt>
                <c:pt idx="35">
                  <c:v>43200</c:v>
                </c:pt>
                <c:pt idx="36">
                  <c:v>44400</c:v>
                </c:pt>
                <c:pt idx="37">
                  <c:v>45600</c:v>
                </c:pt>
                <c:pt idx="38">
                  <c:v>46800</c:v>
                </c:pt>
                <c:pt idx="39">
                  <c:v>48000</c:v>
                </c:pt>
                <c:pt idx="40">
                  <c:v>49200</c:v>
                </c:pt>
                <c:pt idx="41">
                  <c:v>50400</c:v>
                </c:pt>
                <c:pt idx="42">
                  <c:v>51600</c:v>
                </c:pt>
                <c:pt idx="43">
                  <c:v>52800</c:v>
                </c:pt>
                <c:pt idx="44">
                  <c:v>54000</c:v>
                </c:pt>
                <c:pt idx="45">
                  <c:v>55200</c:v>
                </c:pt>
                <c:pt idx="46">
                  <c:v>56400</c:v>
                </c:pt>
                <c:pt idx="47">
                  <c:v>57600</c:v>
                </c:pt>
                <c:pt idx="48">
                  <c:v>58800</c:v>
                </c:pt>
                <c:pt idx="49">
                  <c:v>60000</c:v>
                </c:pt>
                <c:pt idx="50">
                  <c:v>61200</c:v>
                </c:pt>
                <c:pt idx="51">
                  <c:v>62400</c:v>
                </c:pt>
                <c:pt idx="52">
                  <c:v>63600</c:v>
                </c:pt>
                <c:pt idx="53">
                  <c:v>64800.000000000007</c:v>
                </c:pt>
                <c:pt idx="54">
                  <c:v>66000</c:v>
                </c:pt>
                <c:pt idx="55">
                  <c:v>67200</c:v>
                </c:pt>
                <c:pt idx="56">
                  <c:v>68400</c:v>
                </c:pt>
                <c:pt idx="57">
                  <c:v>69600</c:v>
                </c:pt>
                <c:pt idx="58">
                  <c:v>70800</c:v>
                </c:pt>
                <c:pt idx="59">
                  <c:v>72000</c:v>
                </c:pt>
                <c:pt idx="60">
                  <c:v>73200</c:v>
                </c:pt>
                <c:pt idx="61">
                  <c:v>74400</c:v>
                </c:pt>
                <c:pt idx="62">
                  <c:v>75600</c:v>
                </c:pt>
                <c:pt idx="63">
                  <c:v>76800</c:v>
                </c:pt>
                <c:pt idx="64">
                  <c:v>78000</c:v>
                </c:pt>
                <c:pt idx="65">
                  <c:v>79200</c:v>
                </c:pt>
                <c:pt idx="66">
                  <c:v>80400</c:v>
                </c:pt>
                <c:pt idx="67">
                  <c:v>81600</c:v>
                </c:pt>
                <c:pt idx="68">
                  <c:v>82800</c:v>
                </c:pt>
                <c:pt idx="69">
                  <c:v>84000</c:v>
                </c:pt>
                <c:pt idx="70">
                  <c:v>85200</c:v>
                </c:pt>
                <c:pt idx="71">
                  <c:v>86400</c:v>
                </c:pt>
                <c:pt idx="72">
                  <c:v>87600</c:v>
                </c:pt>
                <c:pt idx="73">
                  <c:v>88800</c:v>
                </c:pt>
                <c:pt idx="74">
                  <c:v>90000</c:v>
                </c:pt>
                <c:pt idx="75">
                  <c:v>91200</c:v>
                </c:pt>
                <c:pt idx="76">
                  <c:v>92400</c:v>
                </c:pt>
                <c:pt idx="77">
                  <c:v>93600</c:v>
                </c:pt>
                <c:pt idx="78">
                  <c:v>94800</c:v>
                </c:pt>
                <c:pt idx="79">
                  <c:v>96000</c:v>
                </c:pt>
                <c:pt idx="80">
                  <c:v>97200</c:v>
                </c:pt>
                <c:pt idx="81">
                  <c:v>98400</c:v>
                </c:pt>
                <c:pt idx="82">
                  <c:v>99600</c:v>
                </c:pt>
                <c:pt idx="83">
                  <c:v>100800</c:v>
                </c:pt>
                <c:pt idx="84">
                  <c:v>102000</c:v>
                </c:pt>
                <c:pt idx="85">
                  <c:v>103200</c:v>
                </c:pt>
                <c:pt idx="86">
                  <c:v>104400</c:v>
                </c:pt>
                <c:pt idx="87">
                  <c:v>105600</c:v>
                </c:pt>
                <c:pt idx="88">
                  <c:v>106800</c:v>
                </c:pt>
                <c:pt idx="89">
                  <c:v>108000</c:v>
                </c:pt>
                <c:pt idx="90">
                  <c:v>109200</c:v>
                </c:pt>
                <c:pt idx="91">
                  <c:v>110400</c:v>
                </c:pt>
                <c:pt idx="92">
                  <c:v>111600</c:v>
                </c:pt>
                <c:pt idx="93">
                  <c:v>112800</c:v>
                </c:pt>
                <c:pt idx="94">
                  <c:v>114000</c:v>
                </c:pt>
                <c:pt idx="95">
                  <c:v>115200</c:v>
                </c:pt>
                <c:pt idx="96">
                  <c:v>116400</c:v>
                </c:pt>
                <c:pt idx="97">
                  <c:v>117600</c:v>
                </c:pt>
                <c:pt idx="98">
                  <c:v>118800</c:v>
                </c:pt>
                <c:pt idx="99">
                  <c:v>120000</c:v>
                </c:pt>
              </c:numCache>
            </c:numRef>
          </c:xVal>
          <c:yVal>
            <c:numRef>
              <c:f>'Voltage Loop'!$M$2:$M$101</c:f>
              <c:numCache>
                <c:formatCode>General</c:formatCode>
                <c:ptCount val="100"/>
                <c:pt idx="0">
                  <c:v>56.013748597205179</c:v>
                </c:pt>
                <c:pt idx="1">
                  <c:v>18.349348674255719</c:v>
                </c:pt>
                <c:pt idx="2">
                  <c:v>3.6606922744563413</c:v>
                </c:pt>
                <c:pt idx="3">
                  <c:v>0.80126633789168833</c:v>
                </c:pt>
                <c:pt idx="4">
                  <c:v>-1.4320536336856402</c:v>
                </c:pt>
                <c:pt idx="5">
                  <c:v>-3.2938923670141356</c:v>
                </c:pt>
                <c:pt idx="6">
                  <c:v>-4.9061698226632506</c:v>
                </c:pt>
                <c:pt idx="7">
                  <c:v>-6.3356322338148754</c:v>
                </c:pt>
                <c:pt idx="8">
                  <c:v>-7.6224354235883007</c:v>
                </c:pt>
                <c:pt idx="9">
                  <c:v>-8.7926336080276339</c:v>
                </c:pt>
                <c:pt idx="10">
                  <c:v>-9.8642730624215726</c:v>
                </c:pt>
                <c:pt idx="11">
                  <c:v>-10.850595893038367</c:v>
                </c:pt>
                <c:pt idx="12">
                  <c:v>-11.761817104943656</c:v>
                </c:pt>
                <c:pt idx="13">
                  <c:v>-12.606152565864207</c:v>
                </c:pt>
                <c:pt idx="14">
                  <c:v>-13.390435870830331</c:v>
                </c:pt>
                <c:pt idx="15">
                  <c:v>-14.120501912446482</c:v>
                </c:pt>
                <c:pt idx="16">
                  <c:v>-14.801434365543463</c:v>
                </c:pt>
                <c:pt idx="17">
                  <c:v>-15.437731793125529</c:v>
                </c:pt>
                <c:pt idx="18">
                  <c:v>-16.033423873655611</c:v>
                </c:pt>
                <c:pt idx="19">
                  <c:v>-16.592156237209743</c:v>
                </c:pt>
                <c:pt idx="20">
                  <c:v>-17.117254944452604</c:v>
                </c:pt>
                <c:pt idx="21">
                  <c:v>-17.611777294228336</c:v>
                </c:pt>
                <c:pt idx="22">
                  <c:v>-18.078553065693882</c:v>
                </c:pt>
                <c:pt idx="23">
                  <c:v>-18.520218744007671</c:v>
                </c:pt>
                <c:pt idx="24">
                  <c:v>-18.939246321710552</c:v>
                </c:pt>
                <c:pt idx="25">
                  <c:v>-19.337967667893189</c:v>
                </c:pt>
                <c:pt idx="26">
                  <c:v>-19.718595072862819</c:v>
                </c:pt>
                <c:pt idx="27">
                  <c:v>-20.083238325206342</c:v>
                </c:pt>
                <c:pt idx="28">
                  <c:v>-20.433918513501727</c:v>
                </c:pt>
                <c:pt idx="29">
                  <c:v>-20.77257863985291</c:v>
                </c:pt>
                <c:pt idx="30">
                  <c:v>-21.101091072809961</c:v>
                </c:pt>
                <c:pt idx="31">
                  <c:v>-21.421261846410793</c:v>
                </c:pt>
                <c:pt idx="32">
                  <c:v>-21.734831827422308</c:v>
                </c:pt>
                <c:pt idx="33">
                  <c:v>-22.043474823266376</c:v>
                </c:pt>
                <c:pt idx="34">
                  <c:v>-22.348792787046619</c:v>
                </c:pt>
                <c:pt idx="35">
                  <c:v>-22.652308389776419</c:v>
                </c:pt>
                <c:pt idx="36">
                  <c:v>-22.955455366102147</c:v>
                </c:pt>
                <c:pt idx="37">
                  <c:v>-23.259567186937119</c:v>
                </c:pt>
                <c:pt idx="38">
                  <c:v>-23.565864754701128</c:v>
                </c:pt>
                <c:pt idx="39">
                  <c:v>-23.875443935357854</c:v>
                </c:pt>
                <c:pt idx="40">
                  <c:v>-24.189263816353368</c:v>
                </c:pt>
                <c:pt idx="41">
                  <c:v>-24.508136593261366</c:v>
                </c:pt>
                <c:pt idx="42">
                  <c:v>-24.832719928586616</c:v>
                </c:pt>
                <c:pt idx="43">
                  <c:v>-25.163512490713401</c:v>
                </c:pt>
                <c:pt idx="44">
                  <c:v>-25.500853177061206</c:v>
                </c:pt>
                <c:pt idx="45">
                  <c:v>-25.844924271271225</c:v>
                </c:pt>
                <c:pt idx="46">
                  <c:v>-26.195758506100422</c:v>
                </c:pt>
                <c:pt idx="47">
                  <c:v>-26.553249732082733</c:v>
                </c:pt>
                <c:pt idx="48">
                  <c:v>-26.917166656363889</c:v>
                </c:pt>
                <c:pt idx="49">
                  <c:v>-27.287168939984547</c:v>
                </c:pt>
                <c:pt idx="50">
                  <c:v>-27.662824839440503</c:v>
                </c:pt>
                <c:pt idx="51">
                  <c:v>-28.043629552952112</c:v>
                </c:pt>
                <c:pt idx="52">
                  <c:v>-28.429023476746295</c:v>
                </c:pt>
                <c:pt idx="53">
                  <c:v>-28.81840967736948</c:v>
                </c:pt>
                <c:pt idx="54">
                  <c:v>-29.211170023873052</c:v>
                </c:pt>
                <c:pt idx="55">
                  <c:v>-29.60667957911912</c:v>
                </c:pt>
                <c:pt idx="56">
                  <c:v>-30.004319004918507</c:v>
                </c:pt>
                <c:pt idx="57">
                  <c:v>-30.403484877640423</c:v>
                </c:pt>
                <c:pt idx="58">
                  <c:v>-30.80359793036417</c:v>
                </c:pt>
                <c:pt idx="59">
                  <c:v>-31.204109330175122</c:v>
                </c:pt>
                <c:pt idx="60">
                  <c:v>-31.604505164237899</c:v>
                </c:pt>
                <c:pt idx="61">
                  <c:v>-32.00430934794872</c:v>
                </c:pt>
                <c:pt idx="62">
                  <c:v>-32.403085186629042</c:v>
                </c:pt>
                <c:pt idx="63">
                  <c:v>-32.800435823448339</c:v>
                </c:pt>
                <c:pt idx="64">
                  <c:v>-33.196003795192176</c:v>
                </c:pt>
                <c:pt idx="65">
                  <c:v>-33.589469898311869</c:v>
                </c:pt>
                <c:pt idx="66">
                  <c:v>-33.980551543929984</c:v>
                </c:pt>
                <c:pt idx="67">
                  <c:v>-34.369000754863102</c:v>
                </c:pt>
                <c:pt idx="68">
                  <c:v>-34.754601932268145</c:v>
                </c:pt>
                <c:pt idx="69">
                  <c:v>-35.13716949555868</c:v>
                </c:pt>
                <c:pt idx="70">
                  <c:v>-35.51654547759086</c:v>
                </c:pt>
                <c:pt idx="71">
                  <c:v>-35.89259713816574</c:v>
                </c:pt>
                <c:pt idx="72">
                  <c:v>-36.265214642768761</c:v>
                </c:pt>
                <c:pt idx="73">
                  <c:v>-36.634308840045072</c:v>
                </c:pt>
                <c:pt idx="74">
                  <c:v>-36.999809160597898</c:v>
                </c:pt>
                <c:pt idx="75">
                  <c:v>-37.361661651001199</c:v>
                </c:pt>
                <c:pt idx="76">
                  <c:v>-37.719827150146308</c:v>
                </c:pt>
                <c:pt idx="77">
                  <c:v>-38.074279609881629</c:v>
                </c:pt>
                <c:pt idx="78">
                  <c:v>-38.425004558076196</c:v>
                </c:pt>
                <c:pt idx="79">
                  <c:v>-38.771997699507352</c:v>
                </c:pt>
                <c:pt idx="80">
                  <c:v>-39.115263648080912</c:v>
                </c:pt>
                <c:pt idx="81">
                  <c:v>-39.454814782698293</c:v>
                </c:pt>
                <c:pt idx="82">
                  <c:v>-39.790670218395753</c:v>
                </c:pt>
                <c:pt idx="83">
                  <c:v>-40.122854884091254</c:v>
                </c:pt>
                <c:pt idx="84">
                  <c:v>-40.451398698269408</c:v>
                </c:pt>
                <c:pt idx="85">
                  <c:v>-40.776335834138884</c:v>
                </c:pt>
                <c:pt idx="86">
                  <c:v>-41.097704066144047</c:v>
                </c:pt>
                <c:pt idx="87">
                  <c:v>-41.415544190150229</c:v>
                </c:pt>
                <c:pt idx="88">
                  <c:v>-41.729899510118528</c:v>
                </c:pt>
                <c:pt idx="89">
                  <c:v>-42.04081538460612</c:v>
                </c:pt>
                <c:pt idx="90">
                  <c:v>-42.348338826958745</c:v>
                </c:pt>
                <c:pt idx="91">
                  <c:v>-42.652518153580004</c:v>
                </c:pt>
                <c:pt idx="92">
                  <c:v>-42.953402675164298</c:v>
                </c:pt>
                <c:pt idx="93">
                  <c:v>-43.251042426254941</c:v>
                </c:pt>
                <c:pt idx="94">
                  <c:v>-43.545487928938144</c:v>
                </c:pt>
                <c:pt idx="95">
                  <c:v>-43.836789986894679</c:v>
                </c:pt>
                <c:pt idx="96">
                  <c:v>-44.124999506415136</c:v>
                </c:pt>
                <c:pt idx="97">
                  <c:v>-44.410167341336034</c:v>
                </c:pt>
                <c:pt idx="98">
                  <c:v>-44.69234415917029</c:v>
                </c:pt>
                <c:pt idx="99">
                  <c:v>-44.971580325998126</c:v>
                </c:pt>
              </c:numCache>
            </c:numRef>
          </c:yVal>
          <c:smooth val="1"/>
          <c:extLst>
            <c:ext xmlns:c16="http://schemas.microsoft.com/office/drawing/2014/chart" uri="{C3380CC4-5D6E-409C-BE32-E72D297353CC}">
              <c16:uniqueId val="{00000000-8A5E-4502-B1A0-DC91060BAB8A}"/>
            </c:ext>
          </c:extLst>
        </c:ser>
        <c:dLbls>
          <c:showLegendKey val="0"/>
          <c:showVal val="0"/>
          <c:showCatName val="0"/>
          <c:showSerName val="0"/>
          <c:showPercent val="0"/>
          <c:showBubbleSize val="0"/>
        </c:dLbls>
        <c:axId val="507661520"/>
        <c:axId val="1"/>
      </c:scatterChart>
      <c:scatterChart>
        <c:scatterStyle val="lineMarker"/>
        <c:varyColors val="0"/>
        <c:ser>
          <c:idx val="2"/>
          <c:order val="1"/>
          <c:tx>
            <c:strRef>
              <c:f>'Voltage Loop'!$O$1</c:f>
              <c:strCache>
                <c:ptCount val="1"/>
                <c:pt idx="0">
                  <c:v>ӨTv(f)</c:v>
                </c:pt>
              </c:strCache>
            </c:strRef>
          </c:tx>
          <c:spPr>
            <a:ln w="25400">
              <a:solidFill>
                <a:srgbClr val="FF0000"/>
              </a:solidFill>
              <a:prstDash val="solid"/>
            </a:ln>
          </c:spPr>
          <c:marker>
            <c:symbol val="none"/>
          </c:marker>
          <c:xVal>
            <c:numRef>
              <c:f>'Voltage Loop'!$B$2:$B$101</c:f>
              <c:numCache>
                <c:formatCode>General</c:formatCode>
                <c:ptCount val="100"/>
                <c:pt idx="0">
                  <c:v>100</c:v>
                </c:pt>
                <c:pt idx="1">
                  <c:v>1000</c:v>
                </c:pt>
                <c:pt idx="2">
                  <c:v>3600</c:v>
                </c:pt>
                <c:pt idx="3">
                  <c:v>4800</c:v>
                </c:pt>
                <c:pt idx="4">
                  <c:v>6000</c:v>
                </c:pt>
                <c:pt idx="5">
                  <c:v>7200</c:v>
                </c:pt>
                <c:pt idx="6">
                  <c:v>8400</c:v>
                </c:pt>
                <c:pt idx="7">
                  <c:v>9600</c:v>
                </c:pt>
                <c:pt idx="8">
                  <c:v>10800</c:v>
                </c:pt>
                <c:pt idx="9">
                  <c:v>12000</c:v>
                </c:pt>
                <c:pt idx="10">
                  <c:v>13200</c:v>
                </c:pt>
                <c:pt idx="11">
                  <c:v>14400</c:v>
                </c:pt>
                <c:pt idx="12">
                  <c:v>15600</c:v>
                </c:pt>
                <c:pt idx="13">
                  <c:v>16800</c:v>
                </c:pt>
                <c:pt idx="14">
                  <c:v>18000</c:v>
                </c:pt>
                <c:pt idx="15">
                  <c:v>19200</c:v>
                </c:pt>
                <c:pt idx="16">
                  <c:v>20400</c:v>
                </c:pt>
                <c:pt idx="17">
                  <c:v>21600</c:v>
                </c:pt>
                <c:pt idx="18">
                  <c:v>22800</c:v>
                </c:pt>
                <c:pt idx="19">
                  <c:v>24000</c:v>
                </c:pt>
                <c:pt idx="20">
                  <c:v>25200</c:v>
                </c:pt>
                <c:pt idx="21">
                  <c:v>26400</c:v>
                </c:pt>
                <c:pt idx="22">
                  <c:v>27600</c:v>
                </c:pt>
                <c:pt idx="23">
                  <c:v>28800</c:v>
                </c:pt>
                <c:pt idx="24">
                  <c:v>30000</c:v>
                </c:pt>
                <c:pt idx="25">
                  <c:v>31200</c:v>
                </c:pt>
                <c:pt idx="26">
                  <c:v>32400.000000000004</c:v>
                </c:pt>
                <c:pt idx="27">
                  <c:v>33600</c:v>
                </c:pt>
                <c:pt idx="28">
                  <c:v>34800</c:v>
                </c:pt>
                <c:pt idx="29">
                  <c:v>36000</c:v>
                </c:pt>
                <c:pt idx="30">
                  <c:v>37200</c:v>
                </c:pt>
                <c:pt idx="31">
                  <c:v>38400</c:v>
                </c:pt>
                <c:pt idx="32">
                  <c:v>39600</c:v>
                </c:pt>
                <c:pt idx="33">
                  <c:v>40800</c:v>
                </c:pt>
                <c:pt idx="34">
                  <c:v>42000</c:v>
                </c:pt>
                <c:pt idx="35">
                  <c:v>43200</c:v>
                </c:pt>
                <c:pt idx="36">
                  <c:v>44400</c:v>
                </c:pt>
                <c:pt idx="37">
                  <c:v>45600</c:v>
                </c:pt>
                <c:pt idx="38">
                  <c:v>46800</c:v>
                </c:pt>
                <c:pt idx="39">
                  <c:v>48000</c:v>
                </c:pt>
                <c:pt idx="40">
                  <c:v>49200</c:v>
                </c:pt>
                <c:pt idx="41">
                  <c:v>50400</c:v>
                </c:pt>
                <c:pt idx="42">
                  <c:v>51600</c:v>
                </c:pt>
                <c:pt idx="43">
                  <c:v>52800</c:v>
                </c:pt>
                <c:pt idx="44">
                  <c:v>54000</c:v>
                </c:pt>
                <c:pt idx="45">
                  <c:v>55200</c:v>
                </c:pt>
                <c:pt idx="46">
                  <c:v>56400</c:v>
                </c:pt>
                <c:pt idx="47">
                  <c:v>57600</c:v>
                </c:pt>
                <c:pt idx="48">
                  <c:v>58800</c:v>
                </c:pt>
                <c:pt idx="49">
                  <c:v>60000</c:v>
                </c:pt>
                <c:pt idx="50">
                  <c:v>61200</c:v>
                </c:pt>
                <c:pt idx="51">
                  <c:v>62400</c:v>
                </c:pt>
                <c:pt idx="52">
                  <c:v>63600</c:v>
                </c:pt>
                <c:pt idx="53">
                  <c:v>64800.000000000007</c:v>
                </c:pt>
                <c:pt idx="54">
                  <c:v>66000</c:v>
                </c:pt>
                <c:pt idx="55">
                  <c:v>67200</c:v>
                </c:pt>
                <c:pt idx="56">
                  <c:v>68400</c:v>
                </c:pt>
                <c:pt idx="57">
                  <c:v>69600</c:v>
                </c:pt>
                <c:pt idx="58">
                  <c:v>70800</c:v>
                </c:pt>
                <c:pt idx="59">
                  <c:v>72000</c:v>
                </c:pt>
                <c:pt idx="60">
                  <c:v>73200</c:v>
                </c:pt>
                <c:pt idx="61">
                  <c:v>74400</c:v>
                </c:pt>
                <c:pt idx="62">
                  <c:v>75600</c:v>
                </c:pt>
                <c:pt idx="63">
                  <c:v>76800</c:v>
                </c:pt>
                <c:pt idx="64">
                  <c:v>78000</c:v>
                </c:pt>
                <c:pt idx="65">
                  <c:v>79200</c:v>
                </c:pt>
                <c:pt idx="66">
                  <c:v>80400</c:v>
                </c:pt>
                <c:pt idx="67">
                  <c:v>81600</c:v>
                </c:pt>
                <c:pt idx="68">
                  <c:v>82800</c:v>
                </c:pt>
                <c:pt idx="69">
                  <c:v>84000</c:v>
                </c:pt>
                <c:pt idx="70">
                  <c:v>85200</c:v>
                </c:pt>
                <c:pt idx="71">
                  <c:v>86400</c:v>
                </c:pt>
                <c:pt idx="72">
                  <c:v>87600</c:v>
                </c:pt>
                <c:pt idx="73">
                  <c:v>88800</c:v>
                </c:pt>
                <c:pt idx="74">
                  <c:v>90000</c:v>
                </c:pt>
                <c:pt idx="75">
                  <c:v>91200</c:v>
                </c:pt>
                <c:pt idx="76">
                  <c:v>92400</c:v>
                </c:pt>
                <c:pt idx="77">
                  <c:v>93600</c:v>
                </c:pt>
                <c:pt idx="78">
                  <c:v>94800</c:v>
                </c:pt>
                <c:pt idx="79">
                  <c:v>96000</c:v>
                </c:pt>
                <c:pt idx="80">
                  <c:v>97200</c:v>
                </c:pt>
                <c:pt idx="81">
                  <c:v>98400</c:v>
                </c:pt>
                <c:pt idx="82">
                  <c:v>99600</c:v>
                </c:pt>
                <c:pt idx="83">
                  <c:v>100800</c:v>
                </c:pt>
                <c:pt idx="84">
                  <c:v>102000</c:v>
                </c:pt>
                <c:pt idx="85">
                  <c:v>103200</c:v>
                </c:pt>
                <c:pt idx="86">
                  <c:v>104400</c:v>
                </c:pt>
                <c:pt idx="87">
                  <c:v>105600</c:v>
                </c:pt>
                <c:pt idx="88">
                  <c:v>106800</c:v>
                </c:pt>
                <c:pt idx="89">
                  <c:v>108000</c:v>
                </c:pt>
                <c:pt idx="90">
                  <c:v>109200</c:v>
                </c:pt>
                <c:pt idx="91">
                  <c:v>110400</c:v>
                </c:pt>
                <c:pt idx="92">
                  <c:v>111600</c:v>
                </c:pt>
                <c:pt idx="93">
                  <c:v>112800</c:v>
                </c:pt>
                <c:pt idx="94">
                  <c:v>114000</c:v>
                </c:pt>
                <c:pt idx="95">
                  <c:v>115200</c:v>
                </c:pt>
                <c:pt idx="96">
                  <c:v>116400</c:v>
                </c:pt>
                <c:pt idx="97">
                  <c:v>117600</c:v>
                </c:pt>
                <c:pt idx="98">
                  <c:v>118800</c:v>
                </c:pt>
                <c:pt idx="99">
                  <c:v>120000</c:v>
                </c:pt>
              </c:numCache>
            </c:numRef>
          </c:xVal>
          <c:yVal>
            <c:numRef>
              <c:f>'Voltage Loop'!$O$2:$O$101</c:f>
              <c:numCache>
                <c:formatCode>General</c:formatCode>
                <c:ptCount val="100"/>
                <c:pt idx="0">
                  <c:v>9.4449163025278153</c:v>
                </c:pt>
                <c:pt idx="1">
                  <c:v>37.401315320360794</c:v>
                </c:pt>
                <c:pt idx="2">
                  <c:v>60.086433896564827</c:v>
                </c:pt>
                <c:pt idx="3">
                  <c:v>60.74257093951924</c:v>
                </c:pt>
                <c:pt idx="4">
                  <c:v>60.003748564494074</c:v>
                </c:pt>
                <c:pt idx="5">
                  <c:v>58.666652699999617</c:v>
                </c:pt>
                <c:pt idx="6">
                  <c:v>57.089605921368786</c:v>
                </c:pt>
                <c:pt idx="7">
                  <c:v>55.447012247423643</c:v>
                </c:pt>
                <c:pt idx="8">
                  <c:v>53.824990379226762</c:v>
                </c:pt>
                <c:pt idx="9">
                  <c:v>52.263506762209445</c:v>
                </c:pt>
                <c:pt idx="10">
                  <c:v>50.777287082043642</c:v>
                </c:pt>
                <c:pt idx="11">
                  <c:v>49.367092382764611</c:v>
                </c:pt>
                <c:pt idx="12">
                  <c:v>48.026123946388253</c:v>
                </c:pt>
                <c:pt idx="13">
                  <c:v>46.743761828468877</c:v>
                </c:pt>
                <c:pt idx="14">
                  <c:v>45.507763436144643</c:v>
                </c:pt>
                <c:pt idx="15">
                  <c:v>44.305543240855059</c:v>
                </c:pt>
                <c:pt idx="16">
                  <c:v>43.124895217419663</c:v>
                </c:pt>
                <c:pt idx="17">
                  <c:v>41.954376211717857</c:v>
                </c:pt>
                <c:pt idx="18">
                  <c:v>40.783484846128857</c:v>
                </c:pt>
                <c:pt idx="19">
                  <c:v>39.602720019619795</c:v>
                </c:pt>
                <c:pt idx="20">
                  <c:v>38.403571749059438</c:v>
                </c:pt>
                <c:pt idx="21">
                  <c:v>37.178477411081502</c:v>
                </c:pt>
                <c:pt idx="22">
                  <c:v>35.920763947917521</c:v>
                </c:pt>
                <c:pt idx="23">
                  <c:v>34.624588619840182</c:v>
                </c:pt>
                <c:pt idx="24">
                  <c:v>33.28488576169994</c:v>
                </c:pt>
                <c:pt idx="25">
                  <c:v>31.897323683225579</c:v>
                </c:pt>
                <c:pt idx="26">
                  <c:v>30.458273671101296</c:v>
                </c:pt>
                <c:pt idx="27">
                  <c:v>28.964791572329233</c:v>
                </c:pt>
                <c:pt idx="28">
                  <c:v>27.414611383356913</c:v>
                </c:pt>
                <c:pt idx="29">
                  <c:v>25.806149460183434</c:v>
                </c:pt>
                <c:pt idx="30">
                  <c:v>24.138517293711004</c:v>
                </c:pt>
                <c:pt idx="31">
                  <c:v>22.411540205941748</c:v>
                </c:pt>
                <c:pt idx="32">
                  <c:v>20.625778799697258</c:v>
                </c:pt>
                <c:pt idx="33">
                  <c:v>18.782549552629206</c:v>
                </c:pt>
                <c:pt idx="34">
                  <c:v>16.883940625505318</c:v>
                </c:pt>
                <c:pt idx="35">
                  <c:v>14.932818812304021</c:v>
                </c:pt>
                <c:pt idx="36">
                  <c:v>12.932823659796099</c:v>
                </c:pt>
                <c:pt idx="37">
                  <c:v>10.888345185386129</c:v>
                </c:pt>
                <c:pt idx="38">
                  <c:v>8.804482361576305</c:v>
                </c:pt>
                <c:pt idx="39">
                  <c:v>6.6869806152888884</c:v>
                </c:pt>
                <c:pt idx="40">
                  <c:v>4.5421479648900061</c:v>
                </c:pt>
                <c:pt idx="41">
                  <c:v>2.3767509893015699</c:v>
                </c:pt>
                <c:pt idx="42">
                  <c:v>0.19789344758547145</c:v>
                </c:pt>
                <c:pt idx="43">
                  <c:v>-1.9871181310642214</c:v>
                </c:pt>
                <c:pt idx="44">
                  <c:v>-4.170916366946642</c:v>
                </c:pt>
                <c:pt idx="45">
                  <c:v>-6.3462161933051675</c:v>
                </c:pt>
                <c:pt idx="46">
                  <c:v>-8.5059528038946155</c:v>
                </c:pt>
                <c:pt idx="47">
                  <c:v>-10.643408306503204</c:v>
                </c:pt>
                <c:pt idx="48">
                  <c:v>-12.752321905967619</c:v>
                </c:pt>
                <c:pt idx="49">
                  <c:v>-14.82697973865686</c:v>
                </c:pt>
                <c:pt idx="50">
                  <c:v>-16.862282007926751</c:v>
                </c:pt>
                <c:pt idx="51">
                  <c:v>-18.85378664493544</c:v>
                </c:pt>
                <c:pt idx="52">
                  <c:v>-20.797730175374625</c:v>
                </c:pt>
                <c:pt idx="53">
                  <c:v>-22.691027682496838</c:v>
                </c:pt>
                <c:pt idx="54">
                  <c:v>-24.531254643195894</c:v>
                </c:pt>
                <c:pt idx="55">
                  <c:v>-26.31661395186552</c:v>
                </c:pt>
                <c:pt idx="56">
                  <c:v>-28.045891655516641</c:v>
                </c:pt>
                <c:pt idx="57">
                  <c:v>-29.718404854156233</c:v>
                </c:pt>
                <c:pt idx="58">
                  <c:v>-31.333944940738547</c:v>
                </c:pt>
                <c:pt idx="59">
                  <c:v>-32.892718937362986</c:v>
                </c:pt>
                <c:pt idx="60">
                  <c:v>-34.395291195459095</c:v>
                </c:pt>
                <c:pt idx="61">
                  <c:v>-35.842527222541548</c:v>
                </c:pt>
                <c:pt idx="62">
                  <c:v>-37.235540917473429</c:v>
                </c:pt>
                <c:pt idx="63">
                  <c:v>-38.575646066829449</c:v>
                </c:pt>
                <c:pt idx="64">
                  <c:v>-39.864312591227417</c:v>
                </c:pt>
                <c:pt idx="65">
                  <c:v>-41.103127737125646</c:v>
                </c:pt>
                <c:pt idx="66">
                  <c:v>-42.293762184330433</c:v>
                </c:pt>
                <c:pt idx="67">
                  <c:v>-43.437940875772142</c:v>
                </c:pt>
                <c:pt idx="68">
                  <c:v>-44.537418265126803</c:v>
                </c:pt>
                <c:pt idx="69">
                  <c:v>-45.59395760997154</c:v>
                </c:pt>
                <c:pt idx="70">
                  <c:v>-46.609313904066084</c:v>
                </c:pt>
                <c:pt idx="71">
                  <c:v>-47.585220033571318</c:v>
                </c:pt>
                <c:pt idx="72">
                  <c:v>-48.523375751444121</c:v>
                </c:pt>
                <c:pt idx="73">
                  <c:v>-49.425439085854123</c:v>
                </c:pt>
                <c:pt idx="74">
                  <c:v>-50.293019827706303</c:v>
                </c:pt>
                <c:pt idx="75">
                  <c:v>-51.127674775624598</c:v>
                </c:pt>
                <c:pt idx="76">
                  <c:v>-51.93090445143315</c:v>
                </c:pt>
                <c:pt idx="77">
                  <c:v>-52.704151033521839</c:v>
                </c:pt>
                <c:pt idx="78">
                  <c:v>-53.448797288192736</c:v>
                </c:pt>
                <c:pt idx="79">
                  <c:v>-54.166166309476012</c:v>
                </c:pt>
                <c:pt idx="80">
                  <c:v>-54.857521905532565</c:v>
                </c:pt>
                <c:pt idx="81">
                  <c:v>-55.524069494500452</c:v>
                </c:pt>
                <c:pt idx="82">
                  <c:v>-56.16695739447141</c:v>
                </c:pt>
                <c:pt idx="83">
                  <c:v>-56.787278411375155</c:v>
                </c:pt>
                <c:pt idx="84">
                  <c:v>-57.386071645045263</c:v>
                </c:pt>
                <c:pt idx="85">
                  <c:v>-57.96432444792265</c:v>
                </c:pt>
                <c:pt idx="86">
                  <c:v>-58.522974482916993</c:v>
                </c:pt>
                <c:pt idx="87">
                  <c:v>-59.062911837177523</c:v>
                </c:pt>
                <c:pt idx="88">
                  <c:v>-59.584981157128425</c:v>
                </c:pt>
                <c:pt idx="89">
                  <c:v>-60.089983777319389</c:v>
                </c:pt>
                <c:pt idx="90">
                  <c:v>-60.578679821642027</c:v>
                </c:pt>
                <c:pt idx="91">
                  <c:v>-61.051790260426287</c:v>
                </c:pt>
                <c:pt idx="92">
                  <c:v>-61.509998911010371</c:v>
                </c:pt>
                <c:pt idx="93">
                  <c:v>-61.953954372732255</c:v>
                </c:pt>
                <c:pt idx="94">
                  <c:v>-62.384271890006744</c:v>
                </c:pt>
                <c:pt idx="95">
                  <c:v>-62.801535139359487</c:v>
                </c:pt>
                <c:pt idx="96">
                  <c:v>-63.20629793804784</c:v>
                </c:pt>
                <c:pt idx="97">
                  <c:v>-63.599085873311992</c:v>
                </c:pt>
                <c:pt idx="98">
                  <c:v>-63.980397852395186</c:v>
                </c:pt>
                <c:pt idx="99">
                  <c:v>-64.350707574338003</c:v>
                </c:pt>
              </c:numCache>
            </c:numRef>
          </c:yVal>
          <c:smooth val="0"/>
          <c:extLst>
            <c:ext xmlns:c16="http://schemas.microsoft.com/office/drawing/2014/chart" uri="{C3380CC4-5D6E-409C-BE32-E72D297353CC}">
              <c16:uniqueId val="{00000001-8A5E-4502-B1A0-DC91060BAB8A}"/>
            </c:ext>
          </c:extLst>
        </c:ser>
        <c:dLbls>
          <c:showLegendKey val="0"/>
          <c:showVal val="0"/>
          <c:showCatName val="0"/>
          <c:showSerName val="0"/>
          <c:showPercent val="0"/>
          <c:showBubbleSize val="0"/>
        </c:dLbls>
        <c:axId val="3"/>
        <c:axId val="4"/>
      </c:scatterChart>
      <c:valAx>
        <c:axId val="507661520"/>
        <c:scaling>
          <c:logBase val="10"/>
          <c:orientation val="minMax"/>
          <c:min val="10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975" b="1" i="0" u="none" strike="noStrike" baseline="0">
                    <a:solidFill>
                      <a:srgbClr val="000000"/>
                    </a:solidFill>
                    <a:latin typeface="Arial"/>
                    <a:ea typeface="Arial"/>
                    <a:cs typeface="Arial"/>
                  </a:defRPr>
                </a:pPr>
                <a:r>
                  <a:rPr lang="en-US"/>
                  <a:t>Frequency in Hz</a:t>
                </a:r>
              </a:p>
            </c:rich>
          </c:tx>
          <c:layout>
            <c:manualLayout>
              <c:xMode val="edge"/>
              <c:yMode val="edge"/>
              <c:x val="0.41680425297156326"/>
              <c:y val="0.931122592941602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75" b="1" i="0" u="none" strike="noStrike" baseline="0">
                <a:solidFill>
                  <a:srgbClr val="000000"/>
                </a:solidFill>
                <a:latin typeface="Arial"/>
                <a:ea typeface="Arial"/>
                <a:cs typeface="Arial"/>
              </a:defRPr>
            </a:pPr>
            <a:endParaRPr lang="en-US"/>
          </a:p>
        </c:txPr>
        <c:crossAx val="1"/>
        <c:crossesAt val="-80"/>
        <c:crossBetween val="midCat"/>
      </c:valAx>
      <c:valAx>
        <c:axId val="1"/>
        <c:scaling>
          <c:orientation val="minMax"/>
          <c:max val="80"/>
          <c:min val="-80"/>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US"/>
                  <a:t>Gain in dB</a:t>
                </a:r>
              </a:p>
            </c:rich>
          </c:tx>
          <c:layout>
            <c:manualLayout>
              <c:xMode val="edge"/>
              <c:yMode val="edge"/>
              <c:x val="1.9769296353879334E-2"/>
              <c:y val="0.397959091320481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75" b="1" i="0" u="none" strike="noStrike" baseline="0">
                <a:solidFill>
                  <a:srgbClr val="000000"/>
                </a:solidFill>
                <a:latin typeface="Arial"/>
                <a:ea typeface="Arial"/>
                <a:cs typeface="Arial"/>
              </a:defRPr>
            </a:pPr>
            <a:endParaRPr lang="en-US"/>
          </a:p>
        </c:txPr>
        <c:crossAx val="507661520"/>
        <c:crosses val="autoZero"/>
        <c:crossBetween val="midCat"/>
      </c:valAx>
      <c:valAx>
        <c:axId val="3"/>
        <c:scaling>
          <c:logBase val="10"/>
          <c:orientation val="minMax"/>
        </c:scaling>
        <c:delete val="1"/>
        <c:axPos val="b"/>
        <c:numFmt formatCode="General" sourceLinked="1"/>
        <c:majorTickMark val="out"/>
        <c:minorTickMark val="none"/>
        <c:tickLblPos val="nextTo"/>
        <c:crossAx val="4"/>
        <c:crosses val="autoZero"/>
        <c:crossBetween val="midCat"/>
      </c:valAx>
      <c:valAx>
        <c:axId val="4"/>
        <c:scaling>
          <c:orientation val="minMax"/>
          <c:max val="180"/>
          <c:min val="-18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975" b="1" i="0" u="none" strike="noStrike" baseline="0">
                <a:solidFill>
                  <a:srgbClr val="000000"/>
                </a:solidFill>
                <a:latin typeface="Arial"/>
                <a:ea typeface="Arial"/>
                <a:cs typeface="Arial"/>
              </a:defRPr>
            </a:pPr>
            <a:endParaRPr lang="en-US"/>
          </a:p>
        </c:txPr>
        <c:crossAx val="3"/>
        <c:crosses val="max"/>
        <c:crossBetween val="midCat"/>
        <c:majorUnit val="45"/>
      </c:valAx>
      <c:spPr>
        <a:solidFill>
          <a:srgbClr val="FFFFFF"/>
        </a:solidFill>
        <a:ln w="12700">
          <a:solidFill>
            <a:srgbClr val="808080"/>
          </a:solidFill>
          <a:prstDash val="solid"/>
        </a:ln>
      </c:spPr>
    </c:plotArea>
    <c:legend>
      <c:legendPos val="r"/>
      <c:layout>
        <c:manualLayout>
          <c:xMode val="edge"/>
          <c:yMode val="edge"/>
          <c:x val="0.12275352704108956"/>
          <c:y val="0.70078936087776"/>
          <c:w val="0.16203465569423822"/>
          <c:h val="0.12276601942384117"/>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14</xdr:col>
      <xdr:colOff>466725</xdr:colOff>
      <xdr:row>38</xdr:row>
      <xdr:rowOff>19050</xdr:rowOff>
    </xdr:to>
    <xdr:pic>
      <xdr:nvPicPr>
        <xdr:cNvPr id="4149" name="Picture 2">
          <a:extLst>
            <a:ext uri="{FF2B5EF4-FFF2-40B4-BE49-F238E27FC236}">
              <a16:creationId xmlns:a16="http://schemas.microsoft.com/office/drawing/2014/main" id="{7A47A581-D9A2-4F09-A4D6-3C564BEBF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71450"/>
          <a:ext cx="8382000" cy="600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151</xdr:row>
      <xdr:rowOff>28575</xdr:rowOff>
    </xdr:from>
    <xdr:to>
      <xdr:col>3</xdr:col>
      <xdr:colOff>552450</xdr:colOff>
      <xdr:row>171</xdr:row>
      <xdr:rowOff>133350</xdr:rowOff>
    </xdr:to>
    <xdr:graphicFrame macro="">
      <xdr:nvGraphicFramePr>
        <xdr:cNvPr id="1088" name="Chart 12">
          <a:extLst>
            <a:ext uri="{FF2B5EF4-FFF2-40B4-BE49-F238E27FC236}">
              <a16:creationId xmlns:a16="http://schemas.microsoft.com/office/drawing/2014/main" id="{8F061212-D095-47E7-B34B-038C551337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8</xdr:col>
      <xdr:colOff>419100</xdr:colOff>
      <xdr:row>4</xdr:row>
      <xdr:rowOff>76200</xdr:rowOff>
    </xdr:to>
    <xdr:pic>
      <xdr:nvPicPr>
        <xdr:cNvPr id="5176" name="Picture 2">
          <a:extLst>
            <a:ext uri="{FF2B5EF4-FFF2-40B4-BE49-F238E27FC236}">
              <a16:creationId xmlns:a16="http://schemas.microsoft.com/office/drawing/2014/main" id="{19012F2F-12DE-46D8-913B-847B5B2736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5295900" cy="704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pic>
    <xdr:clientData fLocksWithSheet="0"/>
  </xdr:twoCellAnchor>
  <mc:AlternateContent xmlns:mc="http://schemas.openxmlformats.org/markup-compatibility/2006">
    <mc:Choice xmlns:a14="http://schemas.microsoft.com/office/drawing/2010/main" Requires="a14">
      <xdr:twoCellAnchor editAs="oneCell">
        <xdr:from>
          <xdr:col>0</xdr:col>
          <xdr:colOff>38100</xdr:colOff>
          <xdr:row>5</xdr:row>
          <xdr:rowOff>45720</xdr:rowOff>
        </xdr:from>
        <xdr:to>
          <xdr:col>8</xdr:col>
          <xdr:colOff>426720</xdr:colOff>
          <xdr:row>46</xdr:row>
          <xdr:rowOff>45720</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285750</xdr:colOff>
      <xdr:row>34</xdr:row>
      <xdr:rowOff>104775</xdr:rowOff>
    </xdr:to>
    <xdr:pic>
      <xdr:nvPicPr>
        <xdr:cNvPr id="6198" name="Picture 3">
          <a:extLst>
            <a:ext uri="{FF2B5EF4-FFF2-40B4-BE49-F238E27FC236}">
              <a16:creationId xmlns:a16="http://schemas.microsoft.com/office/drawing/2014/main" id="{CFDE352D-37CD-4AD8-8BDE-770E3C27CF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52950" cy="5610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314325</xdr:colOff>
      <xdr:row>34</xdr:row>
      <xdr:rowOff>104775</xdr:rowOff>
    </xdr:to>
    <xdr:pic>
      <xdr:nvPicPr>
        <xdr:cNvPr id="7222" name="Picture 3">
          <a:extLst>
            <a:ext uri="{FF2B5EF4-FFF2-40B4-BE49-F238E27FC236}">
              <a16:creationId xmlns:a16="http://schemas.microsoft.com/office/drawing/2014/main" id="{FD865A7B-6D2A-42F3-B3CF-DD7EA92F7F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81525" cy="5610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219075</xdr:colOff>
      <xdr:row>85</xdr:row>
      <xdr:rowOff>95250</xdr:rowOff>
    </xdr:from>
    <xdr:to>
      <xdr:col>7</xdr:col>
      <xdr:colOff>47625</xdr:colOff>
      <xdr:row>105</xdr:row>
      <xdr:rowOff>123825</xdr:rowOff>
    </xdr:to>
    <xdr:graphicFrame macro="">
      <xdr:nvGraphicFramePr>
        <xdr:cNvPr id="3127" name="Chart 4">
          <a:extLst>
            <a:ext uri="{FF2B5EF4-FFF2-40B4-BE49-F238E27FC236}">
              <a16:creationId xmlns:a16="http://schemas.microsoft.com/office/drawing/2014/main" id="{E1810966-47A1-472B-BA5C-8A0FC84913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0799388/My%20Documents/Applications%20Information/UCC28070/Design%20Tool/UCC28070%20Design%20Tool%208%2015%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ign Information"/>
      <sheetName val="Current Loop Calaculations"/>
      <sheetName val="Voltage Loop Calaclations"/>
    </sheetNames>
    <sheetDataSet>
      <sheetData sheetId="0">
        <row r="29">
          <cell r="C29">
            <v>2.4499999999999999E-4</v>
          </cell>
        </row>
        <row r="40">
          <cell r="C40">
            <v>50</v>
          </cell>
        </row>
        <row r="83">
          <cell r="C83">
            <v>4020</v>
          </cell>
        </row>
        <row r="85">
          <cell r="C85">
            <v>2.1999999999999998E-9</v>
          </cell>
        </row>
        <row r="87">
          <cell r="C87">
            <v>3.3E-10</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workbookViewId="0">
      <selection activeCell="O9" sqref="O9"/>
    </sheetView>
  </sheetViews>
  <sheetFormatPr defaultRowHeight="13.2" x14ac:dyDescent="0.25"/>
  <sheetData>
    <row r="1" spans="1:14" ht="33" x14ac:dyDescent="0.25">
      <c r="A1" s="103" t="s">
        <v>337</v>
      </c>
      <c r="B1" s="103"/>
      <c r="C1" s="103"/>
      <c r="D1" s="103"/>
      <c r="E1" s="103"/>
      <c r="F1" s="103"/>
      <c r="G1" s="103"/>
      <c r="H1" s="103"/>
      <c r="I1" s="103"/>
      <c r="J1" s="103"/>
      <c r="K1" s="103"/>
      <c r="L1" s="103"/>
      <c r="M1" s="103"/>
      <c r="N1" s="103"/>
    </row>
    <row r="2" spans="1:14" ht="24.6" x14ac:dyDescent="0.25">
      <c r="A2" s="104" t="s">
        <v>0</v>
      </c>
      <c r="B2" s="104"/>
      <c r="C2" s="104"/>
      <c r="D2" s="104"/>
      <c r="E2" s="104"/>
      <c r="F2" s="104"/>
      <c r="G2" s="104"/>
      <c r="H2" s="104"/>
      <c r="I2" s="104"/>
      <c r="J2" s="104"/>
      <c r="K2" s="104"/>
      <c r="L2" s="104"/>
      <c r="M2" s="104"/>
      <c r="N2" s="104"/>
    </row>
    <row r="3" spans="1:14" x14ac:dyDescent="0.25">
      <c r="A3" s="105"/>
      <c r="B3" s="105"/>
      <c r="C3" s="105"/>
      <c r="D3" s="105"/>
      <c r="E3" s="105"/>
      <c r="F3" s="105"/>
      <c r="G3" s="105"/>
      <c r="H3" s="105"/>
      <c r="I3" s="105"/>
      <c r="J3" s="105"/>
      <c r="K3" s="105"/>
      <c r="L3" s="105"/>
      <c r="M3" s="105"/>
      <c r="N3" s="105"/>
    </row>
    <row r="4" spans="1:14" ht="24.6" x14ac:dyDescent="0.25">
      <c r="A4" s="106" t="s">
        <v>1</v>
      </c>
      <c r="B4" s="106"/>
      <c r="C4" s="106"/>
      <c r="D4" s="106"/>
      <c r="E4" s="106"/>
      <c r="F4" s="106"/>
      <c r="G4" s="106"/>
      <c r="H4" s="106"/>
      <c r="I4" s="106"/>
      <c r="J4" s="106"/>
      <c r="K4" s="106"/>
      <c r="L4" s="106"/>
      <c r="M4" s="106"/>
      <c r="N4" s="106"/>
    </row>
    <row r="5" spans="1:14" x14ac:dyDescent="0.25">
      <c r="A5" s="105"/>
      <c r="B5" s="105"/>
      <c r="C5" s="105"/>
      <c r="D5" s="105"/>
      <c r="E5" s="105"/>
      <c r="F5" s="105"/>
      <c r="G5" s="105"/>
      <c r="H5" s="105"/>
      <c r="I5" s="105"/>
      <c r="J5" s="105"/>
      <c r="K5" s="105"/>
      <c r="L5" s="105"/>
      <c r="M5" s="105"/>
      <c r="N5" s="105"/>
    </row>
    <row r="6" spans="1:14" ht="24.6" x14ac:dyDescent="0.25">
      <c r="A6" s="1" t="s">
        <v>2</v>
      </c>
      <c r="B6" s="1"/>
      <c r="C6" s="1"/>
      <c r="D6" s="1"/>
      <c r="E6" s="1"/>
      <c r="F6" s="1"/>
      <c r="G6" s="1"/>
      <c r="H6" s="1"/>
      <c r="I6" s="1"/>
      <c r="J6" s="1"/>
      <c r="K6" s="1"/>
      <c r="L6" s="1"/>
      <c r="M6" s="1"/>
      <c r="N6" s="1"/>
    </row>
    <row r="7" spans="1:14" ht="24.6" x14ac:dyDescent="0.25">
      <c r="A7" s="1"/>
      <c r="B7" s="106" t="s">
        <v>3</v>
      </c>
      <c r="C7" s="106"/>
      <c r="D7" s="106"/>
      <c r="E7" s="106"/>
      <c r="F7" s="106"/>
      <c r="G7" s="106"/>
      <c r="H7" s="106"/>
      <c r="I7" s="106"/>
      <c r="J7" s="106"/>
      <c r="K7" s="106"/>
      <c r="L7" s="106"/>
      <c r="M7" s="106"/>
      <c r="N7" s="106"/>
    </row>
    <row r="8" spans="1:14" ht="24.6" x14ac:dyDescent="0.25">
      <c r="A8" s="1"/>
      <c r="B8" s="106" t="s">
        <v>4</v>
      </c>
      <c r="C8" s="106"/>
      <c r="D8" s="106"/>
      <c r="E8" s="106"/>
      <c r="F8" s="106"/>
      <c r="G8" s="106"/>
      <c r="H8" s="106"/>
      <c r="I8" s="106"/>
      <c r="J8" s="106"/>
      <c r="K8" s="106"/>
      <c r="L8" s="106"/>
      <c r="M8" s="106"/>
      <c r="N8" s="106"/>
    </row>
    <row r="9" spans="1:14" ht="24.6" x14ac:dyDescent="0.25">
      <c r="A9" s="1"/>
      <c r="B9" s="106" t="s">
        <v>5</v>
      </c>
      <c r="C9" s="106"/>
      <c r="D9" s="106"/>
      <c r="E9" s="106"/>
      <c r="F9" s="106"/>
      <c r="G9" s="106"/>
      <c r="H9" s="106"/>
      <c r="I9" s="106"/>
      <c r="J9" s="106"/>
      <c r="K9" s="106"/>
      <c r="L9" s="106"/>
      <c r="M9" s="106"/>
      <c r="N9" s="106"/>
    </row>
    <row r="10" spans="1:14" ht="24.6" x14ac:dyDescent="0.25">
      <c r="A10" s="1" t="s">
        <v>6</v>
      </c>
      <c r="B10" s="1"/>
      <c r="C10" s="1"/>
      <c r="D10" s="1"/>
      <c r="E10" s="1"/>
      <c r="F10" s="1"/>
      <c r="G10" s="1"/>
      <c r="H10" s="1"/>
      <c r="I10" s="1"/>
      <c r="J10" s="1"/>
      <c r="K10" s="1"/>
      <c r="L10" s="1"/>
      <c r="M10" s="1"/>
      <c r="N10" s="1"/>
    </row>
    <row r="11" spans="1:14" ht="24.6" x14ac:dyDescent="0.25">
      <c r="A11" s="1"/>
      <c r="B11" s="1"/>
      <c r="C11" s="1"/>
      <c r="D11" s="1"/>
      <c r="E11" s="1"/>
      <c r="F11" s="1"/>
      <c r="G11" s="1"/>
      <c r="H11" s="1"/>
      <c r="I11" s="1"/>
      <c r="J11" s="1"/>
      <c r="K11" s="1"/>
      <c r="L11" s="1"/>
      <c r="M11" s="1"/>
      <c r="N11" s="1"/>
    </row>
    <row r="12" spans="1:14" ht="24.6" x14ac:dyDescent="0.25">
      <c r="A12" s="107" t="s">
        <v>296</v>
      </c>
      <c r="B12" s="107"/>
      <c r="C12" s="107"/>
      <c r="D12" s="107"/>
      <c r="E12" s="107"/>
      <c r="F12" s="107"/>
      <c r="G12" s="107"/>
      <c r="H12" s="107"/>
      <c r="I12" s="107"/>
      <c r="J12" s="107"/>
      <c r="K12" s="107"/>
      <c r="L12" s="107"/>
      <c r="M12" s="107"/>
      <c r="N12" s="107"/>
    </row>
    <row r="13" spans="1:14" ht="24.6" x14ac:dyDescent="0.25">
      <c r="A13" s="80"/>
      <c r="B13" s="80"/>
      <c r="C13" s="80"/>
      <c r="D13" s="80"/>
      <c r="E13" s="80"/>
      <c r="F13" s="80"/>
      <c r="G13" s="80"/>
      <c r="H13" s="80"/>
      <c r="I13" s="80"/>
      <c r="J13" s="80"/>
      <c r="K13" s="80"/>
      <c r="L13" s="80"/>
      <c r="M13" s="80"/>
      <c r="N13" s="80"/>
    </row>
    <row r="14" spans="1:14" ht="24.6" x14ac:dyDescent="0.25">
      <c r="A14" s="107" t="s">
        <v>7</v>
      </c>
      <c r="B14" s="107"/>
      <c r="C14" s="107"/>
      <c r="D14" s="107"/>
      <c r="E14" s="107"/>
      <c r="F14" s="107"/>
      <c r="G14" s="107"/>
      <c r="H14" s="107"/>
      <c r="I14" s="107"/>
      <c r="J14" s="107"/>
      <c r="K14" s="107"/>
      <c r="L14" s="107"/>
      <c r="M14" s="107"/>
      <c r="N14" s="107"/>
    </row>
    <row r="15" spans="1:14" ht="24.6" x14ac:dyDescent="0.25">
      <c r="A15" s="80"/>
      <c r="B15" s="80"/>
      <c r="C15" s="80"/>
      <c r="D15" s="80"/>
      <c r="E15" s="80"/>
      <c r="F15" s="80"/>
      <c r="G15" s="80"/>
      <c r="H15" s="80"/>
      <c r="I15" s="80"/>
      <c r="J15" s="80"/>
      <c r="K15" s="80"/>
      <c r="L15" s="80"/>
      <c r="M15" s="80"/>
      <c r="N15" s="80"/>
    </row>
    <row r="16" spans="1:14" ht="45.75" customHeight="1" x14ac:dyDescent="0.25">
      <c r="A16" s="107" t="s">
        <v>330</v>
      </c>
      <c r="B16" s="107"/>
      <c r="C16" s="107"/>
      <c r="D16" s="107"/>
      <c r="E16" s="107"/>
      <c r="F16" s="107"/>
      <c r="G16" s="107"/>
      <c r="H16" s="107"/>
      <c r="I16" s="107"/>
      <c r="J16" s="107"/>
      <c r="K16" s="107"/>
      <c r="L16" s="107"/>
      <c r="M16" s="107"/>
      <c r="N16" s="107"/>
    </row>
    <row r="17" spans="1:1" x14ac:dyDescent="0.25">
      <c r="A17" t="s">
        <v>19</v>
      </c>
    </row>
  </sheetData>
  <sheetProtection password="ECDD" sheet="1"/>
  <mergeCells count="11">
    <mergeCell ref="A16:N16"/>
    <mergeCell ref="A5:N5"/>
    <mergeCell ref="B7:N7"/>
    <mergeCell ref="B8:N8"/>
    <mergeCell ref="B9:N9"/>
    <mergeCell ref="A14:N14"/>
    <mergeCell ref="A1:N1"/>
    <mergeCell ref="A2:N2"/>
    <mergeCell ref="A3:N3"/>
    <mergeCell ref="A4:N4"/>
    <mergeCell ref="A12:N12"/>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43"/>
  <sheetViews>
    <sheetView workbookViewId="0">
      <selection activeCell="P9" sqref="P9"/>
    </sheetView>
  </sheetViews>
  <sheetFormatPr defaultRowHeight="13.2" x14ac:dyDescent="0.25"/>
  <sheetData>
    <row r="43" spans="4:4" x14ac:dyDescent="0.25">
      <c r="D43" t="s">
        <v>19</v>
      </c>
    </row>
  </sheetData>
  <sheetProtection password="ECDD" sheet="1"/>
  <phoneticPr fontId="21" type="noConversion"/>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2"/>
  <sheetViews>
    <sheetView tabSelected="1" topLeftCell="A54" zoomScaleNormal="100" workbookViewId="0">
      <selection activeCell="C201" sqref="C201"/>
    </sheetView>
  </sheetViews>
  <sheetFormatPr defaultColWidth="9.109375" defaultRowHeight="15.6" x14ac:dyDescent="0.3"/>
  <cols>
    <col min="1" max="1" width="66.109375" style="52" customWidth="1"/>
    <col min="2" max="2" width="15" style="52" customWidth="1"/>
    <col min="3" max="3" width="13.44140625" style="58" customWidth="1"/>
    <col min="4" max="5" width="11.5546875" style="52" customWidth="1"/>
    <col min="6" max="16384" width="9.109375" style="52"/>
  </cols>
  <sheetData>
    <row r="1" spans="1:8" x14ac:dyDescent="0.3">
      <c r="A1" s="52" t="s">
        <v>339</v>
      </c>
    </row>
    <row r="2" spans="1:8" x14ac:dyDescent="0.3">
      <c r="A2" s="52" t="s">
        <v>338</v>
      </c>
      <c r="B2" s="53">
        <v>45723</v>
      </c>
      <c r="H2" s="100"/>
    </row>
    <row r="3" spans="1:8" x14ac:dyDescent="0.3">
      <c r="B3" s="53"/>
      <c r="H3" s="100"/>
    </row>
    <row r="4" spans="1:8" x14ac:dyDescent="0.3">
      <c r="A4" s="76" t="s">
        <v>328</v>
      </c>
      <c r="B4" s="77"/>
      <c r="C4" s="89"/>
      <c r="D4" s="76"/>
      <c r="E4" s="76"/>
      <c r="F4" s="76"/>
    </row>
    <row r="5" spans="1:8" x14ac:dyDescent="0.3">
      <c r="A5" s="76" t="s">
        <v>289</v>
      </c>
      <c r="B5" s="77"/>
      <c r="C5" s="89"/>
      <c r="D5" s="76"/>
      <c r="E5" s="76"/>
      <c r="F5" s="76"/>
    </row>
    <row r="6" spans="1:8" x14ac:dyDescent="0.3">
      <c r="A6" s="81" t="s">
        <v>331</v>
      </c>
      <c r="B6" s="82"/>
      <c r="C6" s="90"/>
      <c r="D6" s="81"/>
      <c r="E6" s="81"/>
      <c r="F6" s="81"/>
    </row>
    <row r="7" spans="1:8" x14ac:dyDescent="0.3">
      <c r="A7" s="83" t="s">
        <v>302</v>
      </c>
      <c r="B7" s="84"/>
      <c r="C7" s="91"/>
      <c r="D7" s="83"/>
      <c r="E7" s="83"/>
      <c r="F7" s="83"/>
    </row>
    <row r="8" spans="1:8" s="48" customFormat="1" x14ac:dyDescent="0.3">
      <c r="A8" s="83" t="s">
        <v>301</v>
      </c>
      <c r="B8" s="84"/>
      <c r="C8" s="91"/>
      <c r="D8" s="83"/>
      <c r="E8" s="83"/>
      <c r="F8" s="83"/>
    </row>
    <row r="9" spans="1:8" s="48" customFormat="1" x14ac:dyDescent="0.3">
      <c r="A9" s="83" t="s">
        <v>299</v>
      </c>
      <c r="B9" s="84"/>
      <c r="C9" s="91"/>
      <c r="D9" s="83"/>
      <c r="E9" s="83"/>
      <c r="F9" s="83"/>
    </row>
    <row r="10" spans="1:8" s="48" customFormat="1" x14ac:dyDescent="0.3">
      <c r="A10" s="83" t="s">
        <v>300</v>
      </c>
      <c r="B10" s="84"/>
      <c r="C10" s="91"/>
      <c r="D10" s="83"/>
      <c r="E10" s="83"/>
      <c r="F10" s="83"/>
    </row>
    <row r="11" spans="1:8" x14ac:dyDescent="0.3">
      <c r="A11" s="52" t="s">
        <v>8</v>
      </c>
    </row>
    <row r="12" spans="1:8" x14ac:dyDescent="0.3">
      <c r="A12" s="52" t="s">
        <v>9</v>
      </c>
      <c r="B12" s="52" t="s">
        <v>10</v>
      </c>
      <c r="C12" s="58" t="s">
        <v>12</v>
      </c>
      <c r="D12" s="52" t="s">
        <v>11</v>
      </c>
      <c r="E12" s="52" t="s">
        <v>16</v>
      </c>
    </row>
    <row r="13" spans="1:8" x14ac:dyDescent="0.3">
      <c r="A13" s="52" t="s">
        <v>13</v>
      </c>
      <c r="B13" s="49">
        <v>200</v>
      </c>
      <c r="C13" s="92">
        <v>270</v>
      </c>
      <c r="D13" s="49">
        <v>384</v>
      </c>
      <c r="E13" s="52" t="s">
        <v>17</v>
      </c>
      <c r="F13" s="85" t="str">
        <f>IF(VINMAX/VINMIN&gt;3,"Please Keep Input Voltage &lt; 3:1","")</f>
        <v/>
      </c>
    </row>
    <row r="14" spans="1:8" x14ac:dyDescent="0.3">
      <c r="A14" s="52" t="s">
        <v>14</v>
      </c>
      <c r="B14" s="49">
        <v>28</v>
      </c>
      <c r="C14" s="92">
        <v>28</v>
      </c>
      <c r="D14" s="49">
        <v>28</v>
      </c>
      <c r="E14" s="52" t="s">
        <v>17</v>
      </c>
      <c r="F14" s="79" t="str">
        <f>IF(VOUT&lt;1.5,"The Minimum Output Voltage &gt; 1.5 V","")</f>
        <v/>
      </c>
      <c r="G14" s="48"/>
      <c r="H14" s="48"/>
    </row>
    <row r="15" spans="1:8" ht="31.2" x14ac:dyDescent="0.3">
      <c r="A15" s="54" t="s">
        <v>15</v>
      </c>
      <c r="D15" s="49">
        <v>1.4</v>
      </c>
      <c r="E15" s="52" t="s">
        <v>17</v>
      </c>
      <c r="F15" s="79"/>
    </row>
    <row r="16" spans="1:8" ht="18" x14ac:dyDescent="0.4">
      <c r="A16" s="54" t="s">
        <v>21</v>
      </c>
      <c r="D16" s="49">
        <v>1000</v>
      </c>
      <c r="E16" s="52" t="s">
        <v>18</v>
      </c>
    </row>
    <row r="17" spans="1:6" x14ac:dyDescent="0.3">
      <c r="A17" s="52" t="s">
        <v>23</v>
      </c>
      <c r="B17" s="50">
        <v>0.88</v>
      </c>
      <c r="D17" s="52" t="s">
        <v>19</v>
      </c>
      <c r="F17" s="79" t="str">
        <f>IF(Eff&gt;96%,"Please be Realistic with Efficiency Goal","")</f>
        <v/>
      </c>
    </row>
    <row r="18" spans="1:6" ht="18" x14ac:dyDescent="0.4">
      <c r="A18" s="52" t="s">
        <v>22</v>
      </c>
      <c r="C18" s="92">
        <v>240</v>
      </c>
      <c r="E18" s="52" t="s">
        <v>20</v>
      </c>
      <c r="F18" s="78" t="str">
        <f>IF(fs&gt;1000,"UCC28950 Can Only Achieve 1MHz Switching Frequency","")</f>
        <v/>
      </c>
    </row>
    <row r="19" spans="1:6" x14ac:dyDescent="0.3">
      <c r="A19" s="55"/>
      <c r="B19" s="55"/>
      <c r="C19" s="93"/>
      <c r="D19" s="55"/>
      <c r="E19" s="55"/>
      <c r="F19" s="55"/>
    </row>
    <row r="20" spans="1:6" x14ac:dyDescent="0.3">
      <c r="A20" s="75" t="s">
        <v>174</v>
      </c>
      <c r="B20" s="75"/>
      <c r="C20" s="94"/>
      <c r="D20" s="75"/>
      <c r="E20" s="75"/>
      <c r="F20" s="75"/>
    </row>
    <row r="21" spans="1:6" x14ac:dyDescent="0.3">
      <c r="A21" s="52" t="s">
        <v>9</v>
      </c>
      <c r="B21" s="52" t="s">
        <v>27</v>
      </c>
      <c r="D21" s="52" t="s">
        <v>16</v>
      </c>
    </row>
    <row r="22" spans="1:6" ht="18" x14ac:dyDescent="0.4">
      <c r="A22" s="52" t="s">
        <v>113</v>
      </c>
      <c r="B22" s="57" t="s">
        <v>24</v>
      </c>
      <c r="C22" s="58">
        <f>pout*(1-Eff)/Eff</f>
        <v>136.36363636363637</v>
      </c>
      <c r="D22" s="52" t="s">
        <v>18</v>
      </c>
    </row>
    <row r="23" spans="1:6" ht="18" x14ac:dyDescent="0.4">
      <c r="A23" s="52" t="s">
        <v>114</v>
      </c>
      <c r="B23" s="52" t="s">
        <v>25</v>
      </c>
      <c r="C23" s="58">
        <v>0.3</v>
      </c>
      <c r="D23" s="52" t="s">
        <v>17</v>
      </c>
    </row>
    <row r="24" spans="1:6" ht="18" x14ac:dyDescent="0.4">
      <c r="A24" s="52" t="s">
        <v>29</v>
      </c>
      <c r="B24" s="52" t="s">
        <v>31</v>
      </c>
      <c r="C24" s="58">
        <v>0.66</v>
      </c>
    </row>
    <row r="25" spans="1:6" ht="18" x14ac:dyDescent="0.4">
      <c r="A25" s="52" t="s">
        <v>28</v>
      </c>
      <c r="B25" s="52" t="s">
        <v>26</v>
      </c>
      <c r="C25" s="58">
        <f>((VINMIN-2*vrdson)*dmax)/(VOUT+vrdson)</f>
        <v>4.6503180212014135</v>
      </c>
      <c r="D25" s="52" t="s">
        <v>19</v>
      </c>
      <c r="E25" s="52" t="s">
        <v>19</v>
      </c>
    </row>
    <row r="26" spans="1:6" x14ac:dyDescent="0.3">
      <c r="A26" s="52" t="s">
        <v>303</v>
      </c>
      <c r="B26" s="52" t="s">
        <v>26</v>
      </c>
      <c r="C26" s="102">
        <v>5</v>
      </c>
    </row>
    <row r="27" spans="1:6" s="58" customFormat="1" ht="18" x14ac:dyDescent="0.4">
      <c r="A27" s="58" t="s">
        <v>30</v>
      </c>
      <c r="B27" s="58" t="s">
        <v>32</v>
      </c>
      <c r="C27" s="58">
        <f>((VOUT+vrdson)*_taa1)/((vin-2*vrdson))</f>
        <v>0.52524127691165556</v>
      </c>
      <c r="D27" s="86" t="str">
        <f>IF(dtyp&gt;1,"Turns Ratio a1 in Error, Pleast Adjust","")</f>
        <v/>
      </c>
    </row>
    <row r="28" spans="1:6" ht="18" x14ac:dyDescent="0.4">
      <c r="A28" s="52" t="s">
        <v>33</v>
      </c>
      <c r="B28" s="69" t="s">
        <v>243</v>
      </c>
      <c r="C28" s="58">
        <f>pout*0.2/VOUT</f>
        <v>7.1428571428571432</v>
      </c>
      <c r="D28" s="52" t="s">
        <v>34</v>
      </c>
    </row>
    <row r="29" spans="1:6" ht="18" x14ac:dyDescent="0.4">
      <c r="A29" s="52" t="s">
        <v>262</v>
      </c>
      <c r="B29" s="52" t="s">
        <v>35</v>
      </c>
      <c r="C29" s="58">
        <f>(vin*(1-dtyp)*_taa1)/(dilout*0.5*fs)</f>
        <v>0.74774498886414242</v>
      </c>
      <c r="D29" s="52" t="s">
        <v>36</v>
      </c>
      <c r="E29" s="101"/>
    </row>
    <row r="30" spans="1:6" ht="18" x14ac:dyDescent="0.4">
      <c r="A30" s="52" t="s">
        <v>290</v>
      </c>
      <c r="B30" s="52" t="s">
        <v>37</v>
      </c>
      <c r="C30" s="58">
        <f>(pout/VOUT)+(dilout/2)</f>
        <v>39.285714285714285</v>
      </c>
      <c r="D30" s="52" t="s">
        <v>34</v>
      </c>
      <c r="E30" s="52" t="s">
        <v>19</v>
      </c>
    </row>
    <row r="31" spans="1:6" ht="18" x14ac:dyDescent="0.4">
      <c r="A31" s="52" t="s">
        <v>290</v>
      </c>
      <c r="B31" s="52" t="s">
        <v>38</v>
      </c>
      <c r="C31" s="58">
        <f>(pout/VOUT)-(dilout/2)</f>
        <v>32.142857142857146</v>
      </c>
      <c r="D31" s="52" t="s">
        <v>34</v>
      </c>
      <c r="E31" s="64"/>
    </row>
    <row r="32" spans="1:6" ht="18" x14ac:dyDescent="0.4">
      <c r="A32" s="52" t="s">
        <v>290</v>
      </c>
      <c r="B32" s="52" t="s">
        <v>40</v>
      </c>
      <c r="C32" s="58">
        <f>ips-(dilout/2)</f>
        <v>35.714285714285715</v>
      </c>
      <c r="D32" s="52" t="s">
        <v>34</v>
      </c>
      <c r="E32" s="58" t="s">
        <v>19</v>
      </c>
    </row>
    <row r="33" spans="1:5" ht="18" x14ac:dyDescent="0.4">
      <c r="A33" s="52" t="s">
        <v>244</v>
      </c>
      <c r="B33" s="52" t="s">
        <v>39</v>
      </c>
      <c r="C33" s="58">
        <f>((dmax/2)*(ips*ims+(((ips-ims)^2)/3)))^0.5</f>
        <v>20.550460544022574</v>
      </c>
      <c r="D33" s="52" t="s">
        <v>34</v>
      </c>
      <c r="E33" s="57" t="s">
        <v>19</v>
      </c>
    </row>
    <row r="34" spans="1:5" ht="18" x14ac:dyDescent="0.4">
      <c r="A34" s="52" t="s">
        <v>244</v>
      </c>
      <c r="B34" s="52" t="s">
        <v>41</v>
      </c>
      <c r="C34" s="58">
        <f>(((1-dmax)/2)*(ips*_ims2+(((ips-_ims2)^2)/3)))^0.5</f>
        <v>15.467488395952056</v>
      </c>
      <c r="D34" s="52" t="s">
        <v>34</v>
      </c>
      <c r="E34" s="52" t="s">
        <v>19</v>
      </c>
    </row>
    <row r="35" spans="1:5" ht="18" x14ac:dyDescent="0.4">
      <c r="A35" s="52" t="s">
        <v>244</v>
      </c>
      <c r="B35" s="52" t="s">
        <v>42</v>
      </c>
      <c r="C35" s="58">
        <f>(dilout/2)*((1-dmax)/6)^0.5</f>
        <v>0.85017005101700593</v>
      </c>
      <c r="D35" s="52" t="s">
        <v>34</v>
      </c>
      <c r="E35" s="52" t="s">
        <v>19</v>
      </c>
    </row>
    <row r="36" spans="1:5" ht="18" x14ac:dyDescent="0.4">
      <c r="A36" s="52" t="s">
        <v>263</v>
      </c>
      <c r="B36" s="52" t="s">
        <v>43</v>
      </c>
      <c r="C36" s="58">
        <f>(isrms1^2+isrms2^2+isrms3^2)^0.5</f>
        <v>25.734945404371587</v>
      </c>
      <c r="D36" s="52" t="s">
        <v>34</v>
      </c>
    </row>
    <row r="37" spans="1:5" ht="18" x14ac:dyDescent="0.4">
      <c r="A37" s="52" t="s">
        <v>291</v>
      </c>
      <c r="B37" s="69" t="s">
        <v>329</v>
      </c>
      <c r="C37" s="58">
        <f>(VINMIN*dmax)/(lmag*fs)</f>
        <v>0.73554488253471839</v>
      </c>
      <c r="D37" s="52" t="s">
        <v>34</v>
      </c>
    </row>
    <row r="38" spans="1:5" ht="18" x14ac:dyDescent="0.4">
      <c r="A38" s="52" t="s">
        <v>290</v>
      </c>
      <c r="B38" s="52" t="s">
        <v>45</v>
      </c>
      <c r="C38" s="58">
        <f>(((pout/(VOUT*Eff))+dilout/2)/_taa1)+dilmag</f>
        <v>9.5667137137035478</v>
      </c>
      <c r="D38" s="52" t="s">
        <v>34</v>
      </c>
    </row>
    <row r="39" spans="1:5" ht="18" x14ac:dyDescent="0.4">
      <c r="A39" s="52" t="s">
        <v>290</v>
      </c>
      <c r="B39" s="52" t="s">
        <v>46</v>
      </c>
      <c r="C39" s="58">
        <f>(((pout/(VOUT*Eff))-dilout/2)/_taa1)+dilmag</f>
        <v>8.1381422851321208</v>
      </c>
      <c r="D39" s="52" t="s">
        <v>34</v>
      </c>
    </row>
    <row r="40" spans="1:5" ht="18" x14ac:dyDescent="0.4">
      <c r="A40" s="52" t="s">
        <v>290</v>
      </c>
      <c r="B40" s="52" t="s">
        <v>47</v>
      </c>
      <c r="C40" s="58">
        <f>ipp-((dilout/2)/_ta1)</f>
        <v>8.7987170831191541</v>
      </c>
      <c r="D40" s="52" t="s">
        <v>34</v>
      </c>
    </row>
    <row r="41" spans="1:5" ht="18" x14ac:dyDescent="0.4">
      <c r="A41" s="52" t="s">
        <v>244</v>
      </c>
      <c r="B41" s="52" t="s">
        <v>48</v>
      </c>
      <c r="C41" s="58">
        <f>((dmax)*(ipp*imp+(((ipp-imp)^2)/3)))^0.5</f>
        <v>7.1995460049907241</v>
      </c>
      <c r="D41" s="52" t="s">
        <v>34</v>
      </c>
    </row>
    <row r="42" spans="1:5" ht="18" x14ac:dyDescent="0.4">
      <c r="A42" s="52" t="s">
        <v>244</v>
      </c>
      <c r="B42" s="52" t="s">
        <v>49</v>
      </c>
      <c r="C42" s="58">
        <f>(((1-dmax))*(ipp*_imp2+(((ipp-_imp2)^2)/3)))^0.5</f>
        <v>5.3559574908095069</v>
      </c>
      <c r="D42" s="52" t="s">
        <v>34</v>
      </c>
    </row>
    <row r="43" spans="1:5" ht="18" x14ac:dyDescent="0.4">
      <c r="A43" s="52" t="s">
        <v>292</v>
      </c>
      <c r="B43" s="52" t="s">
        <v>51</v>
      </c>
      <c r="C43" s="58">
        <f>((iprms1)^2+(iprms2)^2)^0.5</f>
        <v>8.973279407292317</v>
      </c>
      <c r="D43" s="52" t="s">
        <v>34</v>
      </c>
    </row>
    <row r="44" spans="1:5" ht="18" x14ac:dyDescent="0.4">
      <c r="A44" s="52" t="s">
        <v>72</v>
      </c>
      <c r="B44" s="52" t="s">
        <v>35</v>
      </c>
      <c r="C44" s="87">
        <v>0.8</v>
      </c>
      <c r="D44" s="52" t="s">
        <v>36</v>
      </c>
      <c r="E44" s="78" t="str">
        <f>IF(lmag2&lt;lmag,"Please make Lmag &gt; or = Calculated Lmag","")</f>
        <v/>
      </c>
    </row>
    <row r="45" spans="1:5" ht="18" x14ac:dyDescent="0.4">
      <c r="A45" s="52" t="s">
        <v>54</v>
      </c>
      <c r="B45" s="52" t="s">
        <v>50</v>
      </c>
      <c r="C45" s="87">
        <v>64</v>
      </c>
      <c r="D45" s="52" t="s">
        <v>205</v>
      </c>
    </row>
    <row r="46" spans="1:5" ht="18" x14ac:dyDescent="0.4">
      <c r="A46" s="52" t="s">
        <v>55</v>
      </c>
      <c r="B46" s="52" t="s">
        <v>52</v>
      </c>
      <c r="C46" s="87">
        <v>3.25</v>
      </c>
      <c r="D46" s="52" t="s">
        <v>205</v>
      </c>
    </row>
    <row r="47" spans="1:5" ht="18" x14ac:dyDescent="0.4">
      <c r="A47" s="52" t="s">
        <v>298</v>
      </c>
      <c r="B47" s="52" t="s">
        <v>297</v>
      </c>
      <c r="C47" s="87">
        <v>1.1000000000000001</v>
      </c>
      <c r="D47" s="52" t="s">
        <v>74</v>
      </c>
    </row>
    <row r="48" spans="1:5" ht="18" x14ac:dyDescent="0.4">
      <c r="A48" s="59" t="s">
        <v>56</v>
      </c>
      <c r="B48" s="52" t="s">
        <v>53</v>
      </c>
      <c r="C48" s="58">
        <f>2*((iprms^2*(dcrp/1000))+2*(isrms^2*(dcrs/1000)))</f>
        <v>18.916263539688874</v>
      </c>
      <c r="D48" s="52" t="s">
        <v>18</v>
      </c>
    </row>
    <row r="49" spans="1:6" ht="18" x14ac:dyDescent="0.4">
      <c r="A49" s="52" t="s">
        <v>57</v>
      </c>
      <c r="B49" s="52" t="s">
        <v>24</v>
      </c>
      <c r="C49" s="58">
        <f>pbudget-C48</f>
        <v>117.4473728239475</v>
      </c>
      <c r="D49" s="52" t="s">
        <v>18</v>
      </c>
      <c r="E49" s="78" t="str">
        <f>IF(C49&lt;0,"PBudget Cannot be Made with Selected Components","")</f>
        <v/>
      </c>
    </row>
    <row r="50" spans="1:6" x14ac:dyDescent="0.3">
      <c r="A50" s="75" t="s">
        <v>58</v>
      </c>
      <c r="B50" s="75"/>
      <c r="C50" s="94" t="s">
        <v>19</v>
      </c>
      <c r="D50" s="75"/>
      <c r="E50" s="75"/>
      <c r="F50" s="75"/>
    </row>
    <row r="51" spans="1:6" ht="18" x14ac:dyDescent="0.4">
      <c r="A51" s="59" t="s">
        <v>279</v>
      </c>
      <c r="B51" s="52" t="s">
        <v>69</v>
      </c>
      <c r="C51" s="87">
        <v>12</v>
      </c>
      <c r="D51" s="52" t="s">
        <v>17</v>
      </c>
    </row>
    <row r="52" spans="1:6" ht="18" x14ac:dyDescent="0.4">
      <c r="A52" s="52" t="s">
        <v>60</v>
      </c>
      <c r="B52" s="52" t="s">
        <v>59</v>
      </c>
      <c r="C52" s="87">
        <v>60</v>
      </c>
      <c r="D52" s="52" t="s">
        <v>205</v>
      </c>
    </row>
    <row r="53" spans="1:6" ht="18" x14ac:dyDescent="0.4">
      <c r="A53" s="52" t="s">
        <v>61</v>
      </c>
      <c r="B53" s="52" t="s">
        <v>63</v>
      </c>
      <c r="C53" s="87">
        <v>48</v>
      </c>
      <c r="D53" s="52" t="s">
        <v>62</v>
      </c>
    </row>
    <row r="54" spans="1:6" ht="18" x14ac:dyDescent="0.4">
      <c r="A54" s="52" t="s">
        <v>115</v>
      </c>
      <c r="B54" s="52" t="s">
        <v>70</v>
      </c>
      <c r="C54" s="87">
        <v>15</v>
      </c>
      <c r="D54" s="52" t="s">
        <v>71</v>
      </c>
    </row>
    <row r="55" spans="1:6" ht="34.799999999999997" x14ac:dyDescent="0.4">
      <c r="A55" s="54" t="s">
        <v>116</v>
      </c>
      <c r="B55" s="52" t="s">
        <v>64</v>
      </c>
      <c r="C55" s="87">
        <v>400</v>
      </c>
      <c r="D55" s="52" t="s">
        <v>17</v>
      </c>
    </row>
    <row r="56" spans="1:6" ht="18" x14ac:dyDescent="0.4">
      <c r="A56" s="52" t="s">
        <v>65</v>
      </c>
      <c r="B56" s="52" t="s">
        <v>66</v>
      </c>
      <c r="C56" s="58">
        <f>C53*((C55/VINMAX)^0.5)</f>
        <v>48.989794855663561</v>
      </c>
      <c r="D56" s="52" t="s">
        <v>62</v>
      </c>
    </row>
    <row r="57" spans="1:6" ht="18" x14ac:dyDescent="0.4">
      <c r="A57" s="52" t="s">
        <v>68</v>
      </c>
      <c r="B57" s="52" t="s">
        <v>67</v>
      </c>
      <c r="C57" s="58">
        <f>((iprms^2)*(rdsonqa/1000))+(2*(QAg*0.000000001)*vg*(fs*1000/2))</f>
        <v>4.8743845992801802</v>
      </c>
      <c r="D57" s="52" t="s">
        <v>18</v>
      </c>
    </row>
    <row r="58" spans="1:6" ht="18" x14ac:dyDescent="0.4">
      <c r="A58" s="52" t="s">
        <v>57</v>
      </c>
      <c r="B58" s="52" t="s">
        <v>24</v>
      </c>
      <c r="C58" s="58">
        <f>C49-4*C57</f>
        <v>97.949834426826783</v>
      </c>
      <c r="D58" s="52" t="s">
        <v>18</v>
      </c>
      <c r="E58" s="78" t="str">
        <f>IF(C58&lt;0,"PBudget Cannot be Made with Selected Components","")</f>
        <v/>
      </c>
    </row>
    <row r="59" spans="1:6" ht="18" x14ac:dyDescent="0.4">
      <c r="A59" s="75" t="s">
        <v>282</v>
      </c>
      <c r="B59" s="56"/>
      <c r="C59" s="95"/>
      <c r="D59" s="56"/>
      <c r="E59" s="75"/>
      <c r="F59" s="75"/>
    </row>
    <row r="60" spans="1:6" ht="18" x14ac:dyDescent="0.4">
      <c r="A60" s="52" t="s">
        <v>85</v>
      </c>
      <c r="B60" s="52" t="s">
        <v>73</v>
      </c>
      <c r="C60" s="58">
        <f>(((2*cossqaavg*0.000000000001)*((vin)^2)/((ipp/2)-(dilout/(2*_ta1)))^2)*1000000)-llk</f>
        <v>-0.65698939856578931</v>
      </c>
      <c r="D60" s="52" t="s">
        <v>74</v>
      </c>
      <c r="E60" s="78" t="str">
        <f>IF(C60&lt;0,"Calculated Ls is Negative and Ls Might Not be Needed, However, Leave a Place Holder for Ls Just in Case","")</f>
        <v>Calculated Ls is Negative and Ls Might Not be Needed, However, Leave a Place Holder for Ls Just in Case</v>
      </c>
    </row>
    <row r="61" spans="1:6" ht="18" x14ac:dyDescent="0.4">
      <c r="A61" s="52" t="s">
        <v>172</v>
      </c>
      <c r="B61" s="52" t="s">
        <v>73</v>
      </c>
      <c r="C61" s="87">
        <v>3.9</v>
      </c>
      <c r="D61" s="52" t="s">
        <v>74</v>
      </c>
    </row>
    <row r="62" spans="1:6" ht="18" x14ac:dyDescent="0.4">
      <c r="A62" s="52" t="s">
        <v>76</v>
      </c>
      <c r="B62" s="52" t="s">
        <v>75</v>
      </c>
      <c r="C62" s="87">
        <v>2.4</v>
      </c>
      <c r="D62" s="52" t="s">
        <v>205</v>
      </c>
    </row>
    <row r="63" spans="1:6" ht="18" x14ac:dyDescent="0.4">
      <c r="A63" s="52" t="s">
        <v>77</v>
      </c>
      <c r="B63" s="52" t="s">
        <v>78</v>
      </c>
      <c r="C63" s="58">
        <f>2*iprms^2*(C62*0.001)</f>
        <v>0.38649476794241444</v>
      </c>
      <c r="D63" s="52" t="s">
        <v>18</v>
      </c>
    </row>
    <row r="64" spans="1:6" ht="18" x14ac:dyDescent="0.4">
      <c r="A64" s="52" t="s">
        <v>57</v>
      </c>
      <c r="B64" s="52" t="s">
        <v>24</v>
      </c>
      <c r="C64" s="58">
        <f>C58-C63</f>
        <v>97.563339658884374</v>
      </c>
      <c r="D64" s="52" t="s">
        <v>18</v>
      </c>
      <c r="E64" s="78" t="str">
        <f>IF(C64&lt;0,"PBudget Cannot be Made with Selected Components","")</f>
        <v/>
      </c>
    </row>
    <row r="65" spans="1:6" ht="18" x14ac:dyDescent="0.4">
      <c r="A65" s="75" t="s">
        <v>283</v>
      </c>
      <c r="B65" s="56"/>
      <c r="C65" s="95"/>
      <c r="D65" s="56"/>
      <c r="E65" s="75"/>
      <c r="F65" s="75"/>
    </row>
    <row r="66" spans="1:6" ht="18" x14ac:dyDescent="0.4">
      <c r="A66" s="52" t="s">
        <v>86</v>
      </c>
      <c r="B66" s="52" t="s">
        <v>79</v>
      </c>
      <c r="C66" s="58">
        <f>((VOUT*(1-dtyp))/(dilout*fs))*1000</f>
        <v>7.7543924771096249</v>
      </c>
      <c r="D66" s="52" t="s">
        <v>74</v>
      </c>
    </row>
    <row r="67" spans="1:6" ht="18" x14ac:dyDescent="0.4">
      <c r="A67" s="52" t="s">
        <v>83</v>
      </c>
      <c r="B67" s="52" t="s">
        <v>84</v>
      </c>
      <c r="C67" s="58">
        <f>((pout/VOUT)^2+(dilout/(3^0.5))^2)^0.5</f>
        <v>35.95159254890833</v>
      </c>
      <c r="D67" s="52" t="s">
        <v>34</v>
      </c>
    </row>
    <row r="68" spans="1:6" ht="18" x14ac:dyDescent="0.4">
      <c r="A68" s="52" t="s">
        <v>173</v>
      </c>
      <c r="B68" s="52" t="s">
        <v>79</v>
      </c>
      <c r="C68" s="87">
        <v>8</v>
      </c>
      <c r="D68" s="52" t="s">
        <v>74</v>
      </c>
      <c r="E68" s="52" t="str">
        <f>IF(lout&lt;(C66*0.9),"Lout needs to be &gt; or = Lout Calculated","")</f>
        <v/>
      </c>
    </row>
    <row r="69" spans="1:6" ht="18" x14ac:dyDescent="0.4">
      <c r="A69" s="52" t="s">
        <v>264</v>
      </c>
      <c r="B69" s="52" t="s">
        <v>80</v>
      </c>
      <c r="C69" s="87">
        <v>1.2</v>
      </c>
      <c r="D69" s="52" t="s">
        <v>205</v>
      </c>
    </row>
    <row r="70" spans="1:6" ht="18" x14ac:dyDescent="0.4">
      <c r="A70" s="52" t="s">
        <v>81</v>
      </c>
      <c r="B70" s="52" t="s">
        <v>82</v>
      </c>
      <c r="C70" s="58">
        <f>2*iloutrms^2*dcrlout*0.001</f>
        <v>3.1020408163265301</v>
      </c>
      <c r="D70" s="52" t="s">
        <v>18</v>
      </c>
    </row>
    <row r="71" spans="1:6" ht="18" x14ac:dyDescent="0.4">
      <c r="A71" s="52" t="s">
        <v>57</v>
      </c>
      <c r="B71" s="52" t="s">
        <v>24</v>
      </c>
      <c r="C71" s="58">
        <f>C64-C70</f>
        <v>94.461298842557838</v>
      </c>
      <c r="D71" s="52" t="s">
        <v>18</v>
      </c>
      <c r="E71" s="78" t="str">
        <f>IF(C71&lt;0,"PBudget Cannot be Made with Selected Components","")</f>
        <v/>
      </c>
    </row>
    <row r="72" spans="1:6" ht="18" x14ac:dyDescent="0.4">
      <c r="A72" s="75" t="s">
        <v>284</v>
      </c>
      <c r="B72" s="56"/>
      <c r="C72" s="95"/>
      <c r="D72" s="56"/>
      <c r="E72" s="75"/>
      <c r="F72" s="75"/>
    </row>
    <row r="73" spans="1:6" ht="18" x14ac:dyDescent="0.4">
      <c r="A73" s="52" t="s">
        <v>88</v>
      </c>
      <c r="B73" s="52" t="s">
        <v>87</v>
      </c>
      <c r="C73" s="58">
        <f>((lout*pout*0.9)/VOUT)/VOUT</f>
        <v>9.183673469387756</v>
      </c>
      <c r="D73" s="52" t="s">
        <v>89</v>
      </c>
    </row>
    <row r="74" spans="1:6" ht="18" x14ac:dyDescent="0.4">
      <c r="A74" s="52" t="s">
        <v>206</v>
      </c>
      <c r="B74" s="52" t="s">
        <v>90</v>
      </c>
      <c r="C74" s="58">
        <f>((VTRAN*0.9)/((pout*0.9)/VOUT))*10^3</f>
        <v>39.199999999999996</v>
      </c>
      <c r="D74" s="52" t="s">
        <v>205</v>
      </c>
    </row>
    <row r="75" spans="1:6" ht="18" x14ac:dyDescent="0.4">
      <c r="A75" s="52" t="s">
        <v>207</v>
      </c>
      <c r="B75" s="52" t="s">
        <v>91</v>
      </c>
      <c r="C75" s="58">
        <f>(pout*0.9*thu)/(VOUT*VTRAN*0.1)</f>
        <v>2108.4964598084134</v>
      </c>
      <c r="D75" s="52" t="s">
        <v>92</v>
      </c>
    </row>
    <row r="76" spans="1:6" ht="18" x14ac:dyDescent="0.4">
      <c r="A76" s="52" t="s">
        <v>98</v>
      </c>
      <c r="B76" s="52" t="s">
        <v>97</v>
      </c>
      <c r="C76" s="58">
        <f>dilout/(3^0.5)</f>
        <v>4.1239304942116126</v>
      </c>
      <c r="D76" s="52" t="s">
        <v>34</v>
      </c>
    </row>
    <row r="77" spans="1:6" x14ac:dyDescent="0.3">
      <c r="A77" s="52" t="s">
        <v>175</v>
      </c>
      <c r="B77" s="52" t="s">
        <v>93</v>
      </c>
      <c r="C77" s="87">
        <v>5</v>
      </c>
    </row>
    <row r="78" spans="1:6" x14ac:dyDescent="0.3">
      <c r="A78" s="52" t="s">
        <v>94</v>
      </c>
      <c r="C78" s="87">
        <v>470</v>
      </c>
      <c r="D78" s="52" t="s">
        <v>92</v>
      </c>
    </row>
    <row r="79" spans="1:6" x14ac:dyDescent="0.3">
      <c r="A79" s="52" t="s">
        <v>95</v>
      </c>
      <c r="C79" s="87">
        <v>11.62</v>
      </c>
      <c r="D79" s="52" t="s">
        <v>205</v>
      </c>
    </row>
    <row r="80" spans="1:6" ht="18" x14ac:dyDescent="0.4">
      <c r="A80" s="52" t="s">
        <v>96</v>
      </c>
      <c r="B80" s="52" t="s">
        <v>91</v>
      </c>
      <c r="C80" s="58">
        <f>C77*C78</f>
        <v>2350</v>
      </c>
      <c r="D80" s="52" t="s">
        <v>92</v>
      </c>
    </row>
    <row r="81" spans="1:7" ht="18" x14ac:dyDescent="0.4">
      <c r="A81" s="52" t="s">
        <v>265</v>
      </c>
      <c r="B81" s="52" t="s">
        <v>90</v>
      </c>
      <c r="C81" s="58">
        <f>C79/C77</f>
        <v>2.3239999999999998</v>
      </c>
      <c r="D81" s="52" t="s">
        <v>205</v>
      </c>
    </row>
    <row r="82" spans="1:7" ht="18" x14ac:dyDescent="0.4">
      <c r="A82" s="52" t="s">
        <v>99</v>
      </c>
      <c r="B82" s="52" t="s">
        <v>100</v>
      </c>
      <c r="C82" s="58">
        <f>(C76^2)*C81*0.001</f>
        <v>3.9523809523809517E-2</v>
      </c>
      <c r="D82" s="52" t="s">
        <v>18</v>
      </c>
    </row>
    <row r="83" spans="1:7" ht="18" x14ac:dyDescent="0.4">
      <c r="A83" s="52" t="s">
        <v>57</v>
      </c>
      <c r="B83" s="52" t="s">
        <v>24</v>
      </c>
      <c r="C83" s="58">
        <f>C71-C82</f>
        <v>94.421775033034024</v>
      </c>
      <c r="D83" s="52" t="s">
        <v>18</v>
      </c>
      <c r="E83" s="78" t="str">
        <f>IF(C83&lt;0,"PBudget Cannot be Made with Selected Components","")</f>
        <v/>
      </c>
    </row>
    <row r="84" spans="1:7" x14ac:dyDescent="0.3">
      <c r="A84" s="75" t="s">
        <v>109</v>
      </c>
      <c r="B84" s="56"/>
      <c r="C84" s="95"/>
      <c r="D84" s="56"/>
      <c r="E84" s="75"/>
      <c r="F84" s="75"/>
    </row>
    <row r="85" spans="1:7" ht="18" x14ac:dyDescent="0.4">
      <c r="A85" s="52" t="s">
        <v>135</v>
      </c>
      <c r="B85" s="52" t="s">
        <v>117</v>
      </c>
      <c r="C85" s="88">
        <f>2*VINMAX/_taa1</f>
        <v>153.6</v>
      </c>
      <c r="D85" s="52" t="s">
        <v>17</v>
      </c>
      <c r="E85" s="99" t="s">
        <v>336</v>
      </c>
    </row>
    <row r="86" spans="1:7" ht="18" x14ac:dyDescent="0.4">
      <c r="A86" s="52" t="s">
        <v>112</v>
      </c>
      <c r="B86" s="52" t="s">
        <v>110</v>
      </c>
      <c r="C86" s="87">
        <v>55</v>
      </c>
      <c r="D86" s="52" t="s">
        <v>71</v>
      </c>
    </row>
    <row r="87" spans="1:7" ht="18" x14ac:dyDescent="0.4">
      <c r="A87" s="52" t="s">
        <v>266</v>
      </c>
      <c r="B87" s="52" t="s">
        <v>111</v>
      </c>
      <c r="C87" s="87">
        <v>7.4</v>
      </c>
      <c r="D87" s="52" t="s">
        <v>205</v>
      </c>
    </row>
    <row r="88" spans="1:7" ht="18" x14ac:dyDescent="0.4">
      <c r="A88" s="52" t="s">
        <v>119</v>
      </c>
      <c r="B88" s="52" t="s">
        <v>118</v>
      </c>
      <c r="C88" s="87">
        <v>25</v>
      </c>
      <c r="D88" s="52" t="s">
        <v>17</v>
      </c>
    </row>
    <row r="89" spans="1:7" ht="18" x14ac:dyDescent="0.4">
      <c r="A89" s="52" t="s">
        <v>121</v>
      </c>
      <c r="B89" s="52" t="s">
        <v>120</v>
      </c>
      <c r="C89" s="87">
        <v>2300</v>
      </c>
      <c r="D89" s="52" t="s">
        <v>62</v>
      </c>
    </row>
    <row r="90" spans="1:7" ht="18" x14ac:dyDescent="0.4">
      <c r="A90" s="52" t="s">
        <v>123</v>
      </c>
      <c r="B90" s="52" t="s">
        <v>122</v>
      </c>
      <c r="C90" s="58">
        <f>C89*((C85/C88)^0.5)</f>
        <v>5701.0314856173172</v>
      </c>
      <c r="D90" s="52" t="s">
        <v>62</v>
      </c>
    </row>
    <row r="91" spans="1:7" ht="18" x14ac:dyDescent="0.4">
      <c r="A91" s="52" t="s">
        <v>124</v>
      </c>
      <c r="B91" s="52" t="s">
        <v>125</v>
      </c>
      <c r="C91" s="58">
        <f>isrms</f>
        <v>25.734945404371587</v>
      </c>
      <c r="D91" s="52" t="s">
        <v>34</v>
      </c>
    </row>
    <row r="92" spans="1:7" ht="18" x14ac:dyDescent="0.4">
      <c r="A92" s="52" t="s">
        <v>128</v>
      </c>
      <c r="B92" s="52" t="s">
        <v>126</v>
      </c>
      <c r="C92" s="87">
        <v>50</v>
      </c>
      <c r="D92" s="52" t="s">
        <v>71</v>
      </c>
    </row>
    <row r="93" spans="1:7" ht="18" x14ac:dyDescent="0.4">
      <c r="A93" s="52" t="s">
        <v>267</v>
      </c>
      <c r="B93" s="52" t="s">
        <v>127</v>
      </c>
      <c r="C93" s="87">
        <v>30</v>
      </c>
      <c r="D93" s="52" t="s">
        <v>71</v>
      </c>
    </row>
    <row r="94" spans="1:7" ht="18" x14ac:dyDescent="0.4">
      <c r="A94" s="52" t="s">
        <v>129</v>
      </c>
      <c r="B94" s="52" t="s">
        <v>130</v>
      </c>
      <c r="C94" s="87">
        <v>8</v>
      </c>
      <c r="D94" s="52" t="s">
        <v>34</v>
      </c>
    </row>
    <row r="95" spans="1:7" ht="18" x14ac:dyDescent="0.4">
      <c r="A95" s="52" t="s">
        <v>268</v>
      </c>
      <c r="B95" s="52" t="s">
        <v>131</v>
      </c>
      <c r="C95" s="58">
        <f>(C92-C93)/(C94/2)</f>
        <v>5</v>
      </c>
      <c r="D95" s="52" t="s">
        <v>132</v>
      </c>
    </row>
    <row r="96" spans="1:7" ht="18" x14ac:dyDescent="0.4">
      <c r="A96" s="52" t="s">
        <v>133</v>
      </c>
      <c r="B96" s="52" t="s">
        <v>134</v>
      </c>
      <c r="C96" s="58">
        <f>((isrms^2)*(rdsonqe*0.001))+(pout/VOUT)*vdsqe*(2*tr*0.000000001)*((fs*1000)/2)+(2*(cossqeavg*0.000000000001)*(vdsqe^2)*((fs*1000)/2))+(2*(qeg*0.000000001)*vg*((fs*1000)/2))</f>
        <v>43.923193885343821</v>
      </c>
      <c r="D96" s="52" t="s">
        <v>18</v>
      </c>
      <c r="G96" s="52">
        <v>7.66</v>
      </c>
    </row>
    <row r="97" spans="1:6" ht="18" x14ac:dyDescent="0.4">
      <c r="A97" s="54" t="s">
        <v>57</v>
      </c>
      <c r="B97" s="52" t="s">
        <v>24</v>
      </c>
      <c r="C97" s="58">
        <f>C83-2*C96</f>
        <v>6.575387262346382</v>
      </c>
      <c r="D97" s="52" t="s">
        <v>18</v>
      </c>
      <c r="E97" s="78" t="str">
        <f>IF(C97&lt;0,"PBudget Cannot be Made with Selected Components","")</f>
        <v/>
      </c>
    </row>
    <row r="98" spans="1:6" ht="18" x14ac:dyDescent="0.4">
      <c r="A98" s="75" t="s">
        <v>285</v>
      </c>
      <c r="B98" s="56"/>
      <c r="C98" s="95"/>
      <c r="D98" s="56"/>
      <c r="E98" s="75"/>
      <c r="F98" s="75"/>
    </row>
    <row r="99" spans="1:6" hidden="1" x14ac:dyDescent="0.3">
      <c r="A99" s="54" t="s">
        <v>166</v>
      </c>
      <c r="B99" s="52" t="s">
        <v>165</v>
      </c>
      <c r="C99" s="58">
        <f>1/(2*PI()*(ls*0.000001*2*cossqaavg*0.000000000001)^0.5)</f>
        <v>8141792.3129322277</v>
      </c>
      <c r="D99" s="52" t="s">
        <v>19</v>
      </c>
    </row>
    <row r="100" spans="1:6" ht="18" x14ac:dyDescent="0.4">
      <c r="A100" s="54" t="s">
        <v>167</v>
      </c>
      <c r="B100" s="52" t="s">
        <v>164</v>
      </c>
      <c r="C100" s="58">
        <f>2.2*1000000000/(C99*4)</f>
        <v>67.552693419407561</v>
      </c>
      <c r="D100" s="52" t="s">
        <v>132</v>
      </c>
    </row>
    <row r="101" spans="1:6" hidden="1" x14ac:dyDescent="0.3">
      <c r="A101" s="54" t="s">
        <v>170</v>
      </c>
      <c r="B101" s="52" t="s">
        <v>171</v>
      </c>
      <c r="C101" s="58">
        <f>1/(fs*1000)</f>
        <v>4.1666666666666669E-6</v>
      </c>
      <c r="E101" s="52" t="s">
        <v>19</v>
      </c>
    </row>
    <row r="102" spans="1:6" ht="18" x14ac:dyDescent="0.4">
      <c r="A102" s="54" t="s">
        <v>169</v>
      </c>
      <c r="B102" s="52" t="s">
        <v>168</v>
      </c>
      <c r="C102" s="58">
        <f>(C101-C100*0.000000001)/C101</f>
        <v>0.98378735357934211</v>
      </c>
    </row>
    <row r="103" spans="1:6" ht="18" x14ac:dyDescent="0.4">
      <c r="A103" s="52" t="s">
        <v>102</v>
      </c>
      <c r="B103" s="52" t="s">
        <v>101</v>
      </c>
      <c r="C103" s="58">
        <f>((2*dclamp*vrdson)+(_taa1*(VOUT+vrdson)))/dclamp</f>
        <v>144.43189566848613</v>
      </c>
      <c r="D103" s="52" t="s">
        <v>17</v>
      </c>
    </row>
    <row r="104" spans="1:6" ht="18" x14ac:dyDescent="0.4">
      <c r="A104" s="52" t="s">
        <v>104</v>
      </c>
      <c r="B104" s="52" t="s">
        <v>103</v>
      </c>
      <c r="C104" s="58">
        <f>((2*pout*(1/60))/(vin^2-C103^2))*1000000</f>
        <v>640.53996990295798</v>
      </c>
      <c r="D104" s="52" t="s">
        <v>92</v>
      </c>
      <c r="E104" s="78" t="str">
        <f>IF(VINMIN&lt;200,"Non-PFC Cin Capacitance Cannot Be Calculated, Use Other Method","")</f>
        <v/>
      </c>
    </row>
    <row r="105" spans="1:6" ht="18" x14ac:dyDescent="0.4">
      <c r="A105" s="52" t="s">
        <v>105</v>
      </c>
      <c r="B105" s="52" t="s">
        <v>106</v>
      </c>
      <c r="C105" s="58">
        <f>(    (iprms1^2)    -(        ( pout/(VINMIN*Eff)       )   ^2)           )^0.5</f>
        <v>4.4215839725983068</v>
      </c>
      <c r="D105" s="52" t="s">
        <v>34</v>
      </c>
    </row>
    <row r="106" spans="1:6" ht="18" x14ac:dyDescent="0.4">
      <c r="A106" s="52" t="s">
        <v>176</v>
      </c>
      <c r="B106" s="52" t="s">
        <v>103</v>
      </c>
      <c r="C106" s="87">
        <v>450</v>
      </c>
      <c r="D106" s="52" t="s">
        <v>92</v>
      </c>
    </row>
    <row r="107" spans="1:6" ht="18" x14ac:dyDescent="0.4">
      <c r="A107" s="52" t="s">
        <v>269</v>
      </c>
      <c r="B107" s="52" t="s">
        <v>107</v>
      </c>
      <c r="C107" s="87">
        <v>10</v>
      </c>
      <c r="D107" s="52" t="s">
        <v>205</v>
      </c>
    </row>
    <row r="108" spans="1:6" ht="18" x14ac:dyDescent="0.4">
      <c r="A108" s="52" t="s">
        <v>270</v>
      </c>
      <c r="B108" s="52" t="s">
        <v>108</v>
      </c>
      <c r="C108" s="58">
        <f>(C105^2)*(C107*0.001)</f>
        <v>0.19550404826738224</v>
      </c>
      <c r="D108" s="52" t="s">
        <v>18</v>
      </c>
    </row>
    <row r="109" spans="1:6" ht="54.75" customHeight="1" x14ac:dyDescent="0.4">
      <c r="A109" s="54" t="s">
        <v>286</v>
      </c>
      <c r="B109" s="52" t="s">
        <v>24</v>
      </c>
      <c r="C109" s="58">
        <f>C97-C108</f>
        <v>6.3798832140789994</v>
      </c>
      <c r="D109" s="52" t="s">
        <v>18</v>
      </c>
      <c r="E109" s="78" t="str">
        <f>IF(C109&lt;0,"PBudget Cannot be Made with Selected Components","")</f>
        <v/>
      </c>
    </row>
    <row r="110" spans="1:6" ht="18" x14ac:dyDescent="0.4">
      <c r="A110" s="75" t="s">
        <v>293</v>
      </c>
      <c r="B110" s="75"/>
      <c r="C110" s="94" t="s">
        <v>19</v>
      </c>
      <c r="D110" s="75" t="s">
        <v>19</v>
      </c>
      <c r="E110" s="75" t="s">
        <v>19</v>
      </c>
      <c r="F110" s="75"/>
    </row>
    <row r="111" spans="1:6" ht="18" x14ac:dyDescent="0.4">
      <c r="A111" s="52" t="s">
        <v>137</v>
      </c>
      <c r="B111" s="52" t="s">
        <v>136</v>
      </c>
      <c r="C111" s="87">
        <v>100</v>
      </c>
    </row>
    <row r="112" spans="1:6" ht="18" x14ac:dyDescent="0.4">
      <c r="A112" s="52" t="s">
        <v>158</v>
      </c>
      <c r="B112" s="52" t="s">
        <v>157</v>
      </c>
      <c r="C112" s="88">
        <f>((pout/(VOUT)+(dilout/2))/(Eff*_taa1))+((VINMIN*dmax)/(lmag2*fs))</f>
        <v>9.616071428571427</v>
      </c>
      <c r="D112" s="52" t="s">
        <v>34</v>
      </c>
      <c r="E112" s="52" t="s">
        <v>19</v>
      </c>
    </row>
    <row r="113" spans="1:6" ht="18" x14ac:dyDescent="0.4">
      <c r="A113" s="52" t="s">
        <v>155</v>
      </c>
      <c r="B113" s="52" t="s">
        <v>154</v>
      </c>
      <c r="C113" s="58">
        <f>(2-0.2)/((_ipp1/_ta2)*1.1)</f>
        <v>17.016966320587493</v>
      </c>
      <c r="D113" s="52" t="s">
        <v>156</v>
      </c>
    </row>
    <row r="114" spans="1:6" ht="18" x14ac:dyDescent="0.4">
      <c r="A114" s="52" t="s">
        <v>295</v>
      </c>
      <c r="B114" s="52" t="s">
        <v>154</v>
      </c>
      <c r="C114" s="58">
        <f>(IF((10^(LOG(C113)-INT(LOG(C113)))*100)-VLOOKUP((10^(LOG(C113)-INT(LOG(C113)))*100),E48_s:E48_f,1)&lt;VLOOKUP((10^(LOG(C113)-INT(LOG(C113)))*100),E48_s:E48_f,2)-(10^(LOG(C113)-INT(LOG(C113)))*100),VLOOKUP((10^(LOG(C113)-INT(LOG(C113)))*100),E48_s:E48_f,1),VLOOKUP((10^(LOG(C113)-INT(LOG(C113)))*100),E48_s:E48_f,2)))*10^INT(LOG(C113))/100</f>
        <v>16.899999999999999</v>
      </c>
      <c r="D114" s="52" t="s">
        <v>156</v>
      </c>
    </row>
    <row r="115" spans="1:6" ht="18" x14ac:dyDescent="0.4">
      <c r="A115" s="52" t="s">
        <v>159</v>
      </c>
      <c r="B115" s="52" t="s">
        <v>154</v>
      </c>
      <c r="C115" s="87">
        <v>16.899999999999999</v>
      </c>
      <c r="D115" s="52" t="s">
        <v>156</v>
      </c>
      <c r="E115" s="52" t="s">
        <v>19</v>
      </c>
    </row>
    <row r="116" spans="1:6" ht="18" x14ac:dyDescent="0.4">
      <c r="A116" s="52" t="s">
        <v>160</v>
      </c>
      <c r="B116" s="52" t="s">
        <v>161</v>
      </c>
      <c r="C116" s="58">
        <f>((iprms1/_ta2)^2)*C115</f>
        <v>8.7598551925782642E-2</v>
      </c>
      <c r="D116" s="52" t="s">
        <v>18</v>
      </c>
    </row>
    <row r="117" spans="1:6" ht="18" x14ac:dyDescent="0.4">
      <c r="A117" s="52" t="s">
        <v>163</v>
      </c>
      <c r="B117" s="52" t="s">
        <v>162</v>
      </c>
      <c r="C117" s="58">
        <f>(2*(dclamp))/(1-dclamp)</f>
        <v>121.36048958988164</v>
      </c>
      <c r="D117" s="52" t="s">
        <v>17</v>
      </c>
    </row>
    <row r="118" spans="1:6" ht="18" x14ac:dyDescent="0.4">
      <c r="A118" s="52" t="s">
        <v>177</v>
      </c>
      <c r="B118" s="52" t="s">
        <v>178</v>
      </c>
      <c r="C118" s="58">
        <f>(pout*0.6)/(VINMIN*Eff*_ta2)</f>
        <v>3.4090909090909088E-2</v>
      </c>
      <c r="D118" s="52" t="s">
        <v>18</v>
      </c>
    </row>
    <row r="119" spans="1:6" ht="18" x14ac:dyDescent="0.4">
      <c r="A119" s="75" t="s">
        <v>287</v>
      </c>
      <c r="B119" s="56"/>
      <c r="C119" s="95"/>
      <c r="D119" s="56"/>
      <c r="E119" s="75" t="s">
        <v>19</v>
      </c>
      <c r="F119" s="75"/>
    </row>
    <row r="120" spans="1:6" x14ac:dyDescent="0.3">
      <c r="A120" s="52" t="s">
        <v>271</v>
      </c>
      <c r="B120" s="52" t="s">
        <v>179</v>
      </c>
      <c r="C120" s="87">
        <v>2.5</v>
      </c>
      <c r="D120" s="52" t="s">
        <v>17</v>
      </c>
      <c r="E120" s="78" t="str">
        <f>IF(_va1&gt;VOUT,"V1 Needs to be &lt; VOUT",IF(_va1=VOUT,"V1 Needs to be &lt; VOUT",""))</f>
        <v/>
      </c>
      <c r="F120" s="78"/>
    </row>
    <row r="121" spans="1:6" ht="18" x14ac:dyDescent="0.4">
      <c r="A121" s="52" t="s">
        <v>181</v>
      </c>
      <c r="B121" s="52" t="s">
        <v>180</v>
      </c>
      <c r="C121" s="87">
        <v>2.37</v>
      </c>
      <c r="D121" s="52" t="s">
        <v>208</v>
      </c>
      <c r="E121" s="78" t="str">
        <f>IF(_va1&lt;0.5,"V1 Needs to be Greater than 0.5","")</f>
        <v/>
      </c>
    </row>
    <row r="122" spans="1:6" ht="18" x14ac:dyDescent="0.4">
      <c r="A122" s="52" t="s">
        <v>183</v>
      </c>
      <c r="B122" s="52" t="s">
        <v>182</v>
      </c>
      <c r="C122" s="58">
        <f>C121*(5-C120)/C120</f>
        <v>2.37</v>
      </c>
      <c r="D122" s="52" t="s">
        <v>208</v>
      </c>
    </row>
    <row r="123" spans="1:6" ht="18" x14ac:dyDescent="0.4">
      <c r="A123" s="52" t="s">
        <v>295</v>
      </c>
      <c r="B123" s="52" t="s">
        <v>182</v>
      </c>
      <c r="C123" s="58">
        <f>(IF((10^(LOG(C122)-INT(LOG(C122)))*100)-VLOOKUP((10^(LOG(C122)-INT(LOG(C122)))*100),E48_s:E48_f,1)&lt;VLOOKUP((10^(LOG(C122)-INT(LOG(C122)))*100),E48_s:E48_f,2)-(10^(LOG(C122)-INT(LOG(C122)))*100),VLOOKUP((10^(LOG(C122)-INT(LOG(C122)))*100),E48_s:E48_f,1),VLOOKUP((10^(LOG(C122)-INT(LOG(C122)))*100),E48_s:E48_f,2)))*10^INT(LOG(C122))/100</f>
        <v>2.37</v>
      </c>
      <c r="D123" s="52" t="s">
        <v>208</v>
      </c>
    </row>
    <row r="124" spans="1:6" ht="18" x14ac:dyDescent="0.4">
      <c r="A124" s="52" t="s">
        <v>323</v>
      </c>
      <c r="B124" s="52" t="s">
        <v>182</v>
      </c>
      <c r="C124" s="87">
        <v>2.37</v>
      </c>
      <c r="D124" s="52" t="s">
        <v>208</v>
      </c>
    </row>
    <row r="125" spans="1:6" ht="18" x14ac:dyDescent="0.4">
      <c r="A125" s="52" t="s">
        <v>181</v>
      </c>
      <c r="B125" s="52" t="s">
        <v>184</v>
      </c>
      <c r="C125" s="87">
        <v>2.37</v>
      </c>
      <c r="D125" s="52" t="s">
        <v>208</v>
      </c>
    </row>
    <row r="126" spans="1:6" ht="18" x14ac:dyDescent="0.4">
      <c r="A126" s="52" t="s">
        <v>183</v>
      </c>
      <c r="B126" s="52" t="s">
        <v>185</v>
      </c>
      <c r="C126" s="58">
        <f>C125*(VOUT-_va1)/_va1</f>
        <v>24.173999999999999</v>
      </c>
      <c r="D126" s="52" t="s">
        <v>208</v>
      </c>
    </row>
    <row r="127" spans="1:6" ht="18" x14ac:dyDescent="0.4">
      <c r="A127" s="52" t="s">
        <v>295</v>
      </c>
      <c r="B127" s="52" t="s">
        <v>185</v>
      </c>
      <c r="C127" s="58">
        <f>(IF((10^(LOG(C126)-INT(LOG(C126)))*100)-VLOOKUP((10^(LOG(C126)-INT(LOG(C126)))*100),E48_s:E48_f,1)&lt;VLOOKUP((10^(LOG(C126)-INT(LOG(C126)))*100),E48_s:E48_f,2)-(10^(LOG(C126)-INT(LOG(C126)))*100),VLOOKUP((10^(LOG(C126)-INT(LOG(C126)))*100),E48_s:E48_f,1),VLOOKUP((10^(LOG(C126)-INT(LOG(C126)))*100),E48_s:E48_f,2)))*10^INT(LOG(C126))/100</f>
        <v>23.7</v>
      </c>
      <c r="D127" s="52" t="s">
        <v>208</v>
      </c>
    </row>
    <row r="128" spans="1:6" ht="18" x14ac:dyDescent="0.4">
      <c r="A128" s="52" t="s">
        <v>323</v>
      </c>
      <c r="B128" s="52" t="s">
        <v>185</v>
      </c>
      <c r="C128" s="87">
        <v>23.7</v>
      </c>
      <c r="D128" s="52" t="s">
        <v>208</v>
      </c>
    </row>
    <row r="129" spans="1:5" ht="18" x14ac:dyDescent="0.4">
      <c r="A129" s="52" t="s">
        <v>280</v>
      </c>
      <c r="B129" s="52" t="s">
        <v>281</v>
      </c>
      <c r="C129" s="58">
        <f>fs/4</f>
        <v>60</v>
      </c>
      <c r="D129" s="52" t="s">
        <v>20</v>
      </c>
    </row>
    <row r="130" spans="1:5" ht="18" x14ac:dyDescent="0.4">
      <c r="A130" s="52" t="s">
        <v>187</v>
      </c>
      <c r="B130" s="52" t="s">
        <v>186</v>
      </c>
      <c r="C130" s="58">
        <f>fs/40</f>
        <v>6</v>
      </c>
      <c r="D130" s="52" t="s">
        <v>20</v>
      </c>
    </row>
    <row r="131" spans="1:5" ht="18" x14ac:dyDescent="0.4">
      <c r="A131" s="52" t="s">
        <v>272</v>
      </c>
      <c r="B131" s="52" t="s">
        <v>188</v>
      </c>
      <c r="C131" s="58">
        <f>(VOUT^2)/(pout*0.1)</f>
        <v>7.84</v>
      </c>
      <c r="D131" s="52" t="s">
        <v>156</v>
      </c>
    </row>
    <row r="132" spans="1:5" hidden="1" x14ac:dyDescent="0.3">
      <c r="A132" s="51" t="s">
        <v>189</v>
      </c>
      <c r="B132" s="51" t="s">
        <v>190</v>
      </c>
      <c r="C132" s="96">
        <f>_ta1*_ta2*(rload/RS)</f>
        <v>215.73072950425492</v>
      </c>
      <c r="D132" s="52" t="s">
        <v>19</v>
      </c>
    </row>
    <row r="133" spans="1:5" hidden="1" x14ac:dyDescent="0.3">
      <c r="A133" s="51" t="s">
        <v>197</v>
      </c>
      <c r="B133" s="51"/>
      <c r="C133" s="96" t="str">
        <f>(COMPLEX(1,2*PI()*fc*1000*esrcout*0.001*cout*0.000001))</f>
        <v>1+0,205889929419784i</v>
      </c>
    </row>
    <row r="134" spans="1:5" hidden="1" x14ac:dyDescent="0.3">
      <c r="A134" s="51" t="s">
        <v>191</v>
      </c>
      <c r="B134" s="51" t="s">
        <v>192</v>
      </c>
      <c r="C134" s="96" t="str">
        <f>IMDIV((COMPLEX(1,2*PI()*fc*1000*esrcout*0.001*cout*0.000001)),(COMPLEX(1,2*PI()*fc*1000*rload*cout*0.000001)))</f>
        <v>0,000298500812399365-0,00143931317133526i</v>
      </c>
    </row>
    <row r="135" spans="1:5" hidden="1" x14ac:dyDescent="0.3">
      <c r="A135" s="51" t="s">
        <v>193</v>
      </c>
      <c r="B135" s="51" t="s">
        <v>193</v>
      </c>
      <c r="C135" s="96" t="str">
        <f>IMDIV(1,(COMPLEX((1-(fc/fpp)^2),(fc/fpp))))</f>
        <v>0,999899000101-0,100999899000101i</v>
      </c>
    </row>
    <row r="136" spans="1:5" hidden="1" x14ac:dyDescent="0.3">
      <c r="A136" s="51" t="s">
        <v>194</v>
      </c>
      <c r="C136" s="96" t="str">
        <f>IMPRODUCT(n1divd1,d2a)</f>
        <v>0,000153100178913085-0,00146931635275411i</v>
      </c>
      <c r="E136" s="51"/>
    </row>
    <row r="137" spans="1:5" hidden="1" x14ac:dyDescent="0.3">
      <c r="A137" s="51" t="s">
        <v>195</v>
      </c>
      <c r="C137" s="96" t="str">
        <f>IMPRODUCT(constant,C136)</f>
        <v>0,0330284132841518-0,316976688652175i</v>
      </c>
    </row>
    <row r="138" spans="1:5" hidden="1" x14ac:dyDescent="0.3">
      <c r="A138" s="51" t="s">
        <v>196</v>
      </c>
      <c r="B138" s="51" t="s">
        <v>198</v>
      </c>
      <c r="C138" s="96">
        <f>IMABS(C137)</f>
        <v>0.31869279444782961</v>
      </c>
    </row>
    <row r="139" spans="1:5" ht="18" x14ac:dyDescent="0.4">
      <c r="A139" s="52" t="s">
        <v>200</v>
      </c>
      <c r="B139" s="52" t="s">
        <v>199</v>
      </c>
      <c r="C139" s="58">
        <f>RII/C138</f>
        <v>74.366287575038712</v>
      </c>
      <c r="D139" s="52" t="s">
        <v>208</v>
      </c>
    </row>
    <row r="140" spans="1:5" ht="18" x14ac:dyDescent="0.4">
      <c r="A140" s="52" t="s">
        <v>295</v>
      </c>
      <c r="B140" s="52" t="s">
        <v>199</v>
      </c>
      <c r="C140" s="58">
        <f>(IF((10^(LOG(C139)-INT(LOG(C139)))*100)-VLOOKUP((10^(LOG(C139)-INT(LOG(C139)))*100),E48_s:E48_f,1)&lt;VLOOKUP((10^(LOG(C139)-INT(LOG(C139)))*100),E48_s:E48_f,2)-(10^(LOG(C139)-INT(LOG(C139)))*100),VLOOKUP((10^(LOG(C139)-INT(LOG(C139)))*100),E48_s:E48_f,1),VLOOKUP((10^(LOG(C139)-INT(LOG(C139)))*100),E48_s:E48_f,2)))*10^INT(LOG(C139))/100</f>
        <v>75</v>
      </c>
      <c r="D140" s="52" t="s">
        <v>208</v>
      </c>
    </row>
    <row r="141" spans="1:5" ht="18" x14ac:dyDescent="0.4">
      <c r="A141" s="52" t="s">
        <v>323</v>
      </c>
      <c r="B141" s="52" t="s">
        <v>199</v>
      </c>
      <c r="C141" s="87">
        <v>75</v>
      </c>
      <c r="D141" s="52" t="s">
        <v>208</v>
      </c>
    </row>
    <row r="142" spans="1:5" ht="18" x14ac:dyDescent="0.4">
      <c r="A142" s="52" t="s">
        <v>204</v>
      </c>
      <c r="B142" s="52" t="s">
        <v>201</v>
      </c>
      <c r="C142" s="58">
        <f>(1/(2*PI()*C141*(fc/5)))*10^3</f>
        <v>1.7683882565766149</v>
      </c>
      <c r="D142" s="52" t="s">
        <v>202</v>
      </c>
      <c r="E142" s="57"/>
    </row>
    <row r="143" spans="1:5" ht="18" customHeight="1" x14ac:dyDescent="0.3">
      <c r="A143" s="52" t="s">
        <v>294</v>
      </c>
      <c r="B143" s="52" t="s">
        <v>210</v>
      </c>
      <c r="C143" s="97">
        <f>IF(C142&lt;10000,C144*10^INT(LOG(C142)),C145*10^INT(LOG(C142)))</f>
        <v>1.8</v>
      </c>
      <c r="D143" s="52" t="s">
        <v>202</v>
      </c>
    </row>
    <row r="144" spans="1:5" ht="18" hidden="1" customHeight="1" x14ac:dyDescent="0.3">
      <c r="A144" s="51" t="s">
        <v>211</v>
      </c>
      <c r="C144" s="98">
        <f>IF((10^(LOG(C142)-INT(LOG(C142))))-VLOOKUP((10^(LOG(C142)-INT(LOG(C142)))),c_s1:C_f1,1)&lt;VLOOKUP((10^(LOG(C142)-INT(LOG(C142)))),c_s1:C_f1,2)-(10^(LOG(C142)-INT(LOG(C142)))),VLOOKUP((10^(LOG(C142)-INT(LOG(C142)))),c_s1:C_f1,1),VLOOKUP((10^(LOG(C142)-INT(LOG(C142)))),c_s1:C_f1,2))</f>
        <v>1.8</v>
      </c>
    </row>
    <row r="145" spans="1:5" ht="18" hidden="1" customHeight="1" x14ac:dyDescent="0.3">
      <c r="A145" s="51" t="s">
        <v>212</v>
      </c>
      <c r="C145" s="98">
        <f>IF((10^(LOG(C142)-INT(LOG(C142))))-VLOOKUP((10^(LOG(C142)-INT(LOG(C142)))),C_s2:C_f2,1)&lt;VLOOKUP((10^(LOG(C142)-INT(LOG(C142)))),C_s2:C_f2,2)-(10^(LOG(C142)-INT(LOG(C142)))),VLOOKUP((10^(LOG(C142)-INT(LOG(C142)))),C_s2:C_f2,1),VLOOKUP((10^(LOG(C142)-INT(LOG(C142)))),C_s2:C_f2,2))</f>
        <v>1.5</v>
      </c>
    </row>
    <row r="146" spans="1:5" ht="18" x14ac:dyDescent="0.4">
      <c r="A146" s="52" t="s">
        <v>325</v>
      </c>
      <c r="B146" s="52" t="s">
        <v>201</v>
      </c>
      <c r="C146" s="87">
        <v>1.8</v>
      </c>
      <c r="D146" s="52" t="s">
        <v>202</v>
      </c>
    </row>
    <row r="147" spans="1:5" ht="18" x14ac:dyDescent="0.4">
      <c r="A147" s="61" t="s">
        <v>203</v>
      </c>
      <c r="B147" s="61" t="s">
        <v>209</v>
      </c>
      <c r="C147" s="88">
        <f>1000000/(2*PI()*rf*fc*2)</f>
        <v>176.83882565766149</v>
      </c>
      <c r="D147" s="52" t="s">
        <v>62</v>
      </c>
      <c r="E147" s="62" t="s">
        <v>19</v>
      </c>
    </row>
    <row r="148" spans="1:5" ht="18" x14ac:dyDescent="0.4">
      <c r="A148" s="52" t="s">
        <v>294</v>
      </c>
      <c r="B148" s="61" t="s">
        <v>209</v>
      </c>
      <c r="C148" s="97">
        <f>IF(C147&lt;10000,C149*10^INT(LOG(C147)),C150*10^INT(LOG(C147)))</f>
        <v>180</v>
      </c>
      <c r="D148" s="52" t="s">
        <v>62</v>
      </c>
      <c r="E148" s="60"/>
    </row>
    <row r="149" spans="1:5" hidden="1" x14ac:dyDescent="0.3">
      <c r="A149" s="51" t="s">
        <v>211</v>
      </c>
      <c r="B149" s="63"/>
      <c r="C149" s="98">
        <f>IF((10^(LOG(C147)-INT(LOG(C147))))-VLOOKUP((10^(LOG(C147)-INT(LOG(C147)))),c_s1:C_f1,1)&lt;VLOOKUP((10^(LOG(C147)-INT(LOG(C147)))),c_s1:C_f1,2)-(10^(LOG(C147)-INT(LOG(C147)))),VLOOKUP((10^(LOG(C147)-INT(LOG(C147)))),c_s1:C_f1,1),VLOOKUP((10^(LOG(C147)-INT(LOG(C147)))),c_s1:C_f1,2))</f>
        <v>1.8</v>
      </c>
    </row>
    <row r="150" spans="1:5" hidden="1" x14ac:dyDescent="0.3">
      <c r="A150" s="51" t="s">
        <v>212</v>
      </c>
      <c r="B150" s="63"/>
      <c r="C150" s="98">
        <f>IF((10^(LOG(C147)-INT(LOG(C147))))-VLOOKUP((10^(LOG(C147)-INT(LOG(C147)))),C_s2:C_f2,1)&lt;VLOOKUP((10^(LOG(C147)-INT(LOG(C147)))),C_s2:C_f2,2)-(10^(LOG(C147)-INT(LOG(C147)))),VLOOKUP((10^(LOG(C147)-INT(LOG(C147)))),C_s2:C_f2,1),VLOOKUP((10^(LOG(C147)-INT(LOG(C147)))),C_s2:C_f2,2))</f>
        <v>1.5</v>
      </c>
    </row>
    <row r="151" spans="1:5" ht="18" x14ac:dyDescent="0.4">
      <c r="A151" s="52" t="s">
        <v>325</v>
      </c>
      <c r="B151" s="52" t="s">
        <v>209</v>
      </c>
      <c r="C151" s="87">
        <v>180</v>
      </c>
      <c r="D151" s="52" t="s">
        <v>62</v>
      </c>
    </row>
    <row r="152" spans="1:5" x14ac:dyDescent="0.3">
      <c r="C152" s="87"/>
    </row>
    <row r="153" spans="1:5" x14ac:dyDescent="0.3">
      <c r="C153" s="87"/>
    </row>
    <row r="154" spans="1:5" x14ac:dyDescent="0.3">
      <c r="C154" s="87"/>
    </row>
    <row r="155" spans="1:5" x14ac:dyDescent="0.3">
      <c r="C155" s="87"/>
    </row>
    <row r="156" spans="1:5" x14ac:dyDescent="0.3">
      <c r="C156" s="87"/>
    </row>
    <row r="157" spans="1:5" x14ac:dyDescent="0.3">
      <c r="C157" s="87"/>
    </row>
    <row r="158" spans="1:5" x14ac:dyDescent="0.3">
      <c r="C158" s="87"/>
    </row>
    <row r="159" spans="1:5" x14ac:dyDescent="0.3">
      <c r="C159" s="87"/>
    </row>
    <row r="160" spans="1:5" x14ac:dyDescent="0.3">
      <c r="C160" s="87"/>
    </row>
    <row r="161" spans="1:6" x14ac:dyDescent="0.3">
      <c r="C161" s="87"/>
    </row>
    <row r="162" spans="1:6" x14ac:dyDescent="0.3">
      <c r="C162" s="87"/>
    </row>
    <row r="163" spans="1:6" x14ac:dyDescent="0.3">
      <c r="C163" s="87"/>
    </row>
    <row r="164" spans="1:6" x14ac:dyDescent="0.3">
      <c r="C164" s="87"/>
    </row>
    <row r="165" spans="1:6" x14ac:dyDescent="0.3">
      <c r="C165" s="87"/>
    </row>
    <row r="166" spans="1:6" x14ac:dyDescent="0.3">
      <c r="C166" s="87"/>
    </row>
    <row r="167" spans="1:6" x14ac:dyDescent="0.3">
      <c r="C167" s="87"/>
    </row>
    <row r="168" spans="1:6" x14ac:dyDescent="0.3">
      <c r="C168" s="87"/>
    </row>
    <row r="169" spans="1:6" x14ac:dyDescent="0.3">
      <c r="C169" s="87"/>
    </row>
    <row r="170" spans="1:6" x14ac:dyDescent="0.3">
      <c r="C170" s="87"/>
    </row>
    <row r="171" spans="1:6" x14ac:dyDescent="0.3">
      <c r="C171" s="87"/>
    </row>
    <row r="172" spans="1:6" x14ac:dyDescent="0.3">
      <c r="C172" s="87"/>
    </row>
    <row r="173" spans="1:6" ht="18" x14ac:dyDescent="0.4">
      <c r="A173" s="75" t="s">
        <v>288</v>
      </c>
      <c r="B173" s="56"/>
      <c r="C173" s="95"/>
      <c r="D173" s="56"/>
      <c r="E173" s="75" t="s">
        <v>19</v>
      </c>
      <c r="F173" s="75"/>
    </row>
    <row r="174" spans="1:6" ht="18" x14ac:dyDescent="0.4">
      <c r="A174" s="61" t="s">
        <v>214</v>
      </c>
      <c r="B174" s="61" t="s">
        <v>213</v>
      </c>
      <c r="C174" s="87">
        <v>15</v>
      </c>
      <c r="D174" s="52" t="s">
        <v>215</v>
      </c>
    </row>
    <row r="175" spans="1:6" ht="18" x14ac:dyDescent="0.4">
      <c r="A175" s="61" t="s">
        <v>273</v>
      </c>
      <c r="B175" s="61" t="s">
        <v>216</v>
      </c>
      <c r="C175" s="88">
        <f>(C174)*(25)/(_va1+0.55)</f>
        <v>122.95081967213116</v>
      </c>
      <c r="D175" s="52" t="s">
        <v>202</v>
      </c>
    </row>
    <row r="176" spans="1:6" ht="18" x14ac:dyDescent="0.4">
      <c r="A176" s="52" t="s">
        <v>294</v>
      </c>
      <c r="B176" s="61" t="s">
        <v>216</v>
      </c>
      <c r="C176" s="97">
        <f>IF(C175&lt;10000,C177*10^INT(LOG(C175)),C178*10^INT(LOG(C175)))</f>
        <v>120</v>
      </c>
      <c r="D176" s="52" t="s">
        <v>202</v>
      </c>
    </row>
    <row r="177" spans="1:6" hidden="1" x14ac:dyDescent="0.3">
      <c r="A177" s="51" t="s">
        <v>211</v>
      </c>
      <c r="B177" s="63"/>
      <c r="C177" s="98">
        <f>IF((10^(LOG(C175)-INT(LOG(C175))))-VLOOKUP((10^(LOG(C175)-INT(LOG(C175)))),c_s1:C_f1,1)&lt;VLOOKUP((10^(LOG(C175)-INT(LOG(C175)))),c_s1:C_f1,2)-(10^(LOG(C175)-INT(LOG(C175)))),VLOOKUP((10^(LOG(C175)-INT(LOG(C175)))),c_s1:C_f1,1),VLOOKUP((10^(LOG(C175)-INT(LOG(C175)))),c_s1:C_f1,2))</f>
        <v>1.2</v>
      </c>
    </row>
    <row r="178" spans="1:6" hidden="1" x14ac:dyDescent="0.3">
      <c r="A178" s="51" t="s">
        <v>217</v>
      </c>
      <c r="B178" s="63"/>
      <c r="C178" s="98">
        <f>IF((10^(LOG(C175)-INT(LOG(C175))))-VLOOKUP((10^(LOG(C175)-INT(LOG(C175)))),C_s2:C_f2,1)&lt;VLOOKUP((10^(LOG(C175)-INT(LOG(C175)))),C_s2:C_f2,2)-(10^(LOG(C175)-INT(LOG(C175)))),VLOOKUP((10^(LOG(C175)-INT(LOG(C175)))),C_s2:C_f2,1),VLOOKUP((10^(LOG(C175)-INT(LOG(C175)))),C_s2:C_f2,2))</f>
        <v>1</v>
      </c>
    </row>
    <row r="179" spans="1:6" ht="18" x14ac:dyDescent="0.4">
      <c r="A179" s="52" t="s">
        <v>325</v>
      </c>
      <c r="B179" s="52" t="s">
        <v>216</v>
      </c>
      <c r="C179" s="87">
        <v>120</v>
      </c>
      <c r="D179" s="52" t="s">
        <v>202</v>
      </c>
    </row>
    <row r="180" spans="1:6" ht="18" x14ac:dyDescent="0.4">
      <c r="A180" s="75" t="s">
        <v>313</v>
      </c>
      <c r="B180" s="56"/>
      <c r="C180" s="95"/>
      <c r="D180" s="56"/>
      <c r="E180" s="75" t="s">
        <v>19</v>
      </c>
      <c r="F180" s="75"/>
    </row>
    <row r="181" spans="1:6" ht="18" x14ac:dyDescent="0.4">
      <c r="A181" s="61" t="s">
        <v>274</v>
      </c>
      <c r="B181" s="61" t="s">
        <v>218</v>
      </c>
      <c r="C181" s="88">
        <f>tdelay</f>
        <v>67.552693419407561</v>
      </c>
      <c r="D181" s="52" t="s">
        <v>132</v>
      </c>
    </row>
    <row r="182" spans="1:6" ht="18" x14ac:dyDescent="0.4">
      <c r="A182" s="61" t="s">
        <v>312</v>
      </c>
      <c r="B182" s="61" t="s">
        <v>218</v>
      </c>
      <c r="C182" s="87">
        <v>70</v>
      </c>
      <c r="D182" s="52" t="s">
        <v>132</v>
      </c>
    </row>
    <row r="183" spans="1:6" ht="18" x14ac:dyDescent="0.4">
      <c r="A183" s="61" t="s">
        <v>307</v>
      </c>
      <c r="B183" s="61" t="s">
        <v>304</v>
      </c>
      <c r="C183" s="87">
        <v>8.25</v>
      </c>
      <c r="D183" s="52" t="s">
        <v>208</v>
      </c>
    </row>
    <row r="184" spans="1:6" ht="18" x14ac:dyDescent="0.4">
      <c r="A184" s="61" t="s">
        <v>306</v>
      </c>
      <c r="B184" s="61" t="s">
        <v>305</v>
      </c>
      <c r="C184" s="88">
        <f>IF(tabset&gt;155, 0.2, 1.8)</f>
        <v>1.8</v>
      </c>
      <c r="D184" s="52" t="s">
        <v>17</v>
      </c>
    </row>
    <row r="185" spans="1:6" ht="18" x14ac:dyDescent="0.4">
      <c r="A185" s="61" t="s">
        <v>308</v>
      </c>
      <c r="B185" s="61" t="s">
        <v>309</v>
      </c>
      <c r="C185" s="88">
        <f>C183*C184/(5-C184)</f>
        <v>4.640625</v>
      </c>
      <c r="D185" s="52" t="s">
        <v>208</v>
      </c>
    </row>
    <row r="186" spans="1:6" ht="18" x14ac:dyDescent="0.4">
      <c r="A186" s="52" t="s">
        <v>295</v>
      </c>
      <c r="B186" s="61" t="s">
        <v>309</v>
      </c>
      <c r="C186" s="58">
        <f>(IF((10^(LOG(C185)-INT(LOG(C185)))*100)-VLOOKUP((10^(LOG(C185)-INT(LOG(C185)))*100),E48_s:E48_f,1)&lt;VLOOKUP((10^(LOG(C185)-INT(LOG(C185)))*100),E48_s:E48_f,2)-(10^(LOG(C185)-INT(LOG(C185)))*100),VLOOKUP((10^(LOG(C185)-INT(LOG(C185)))*100),E48_s:E48_f,1),VLOOKUP((10^(LOG(C185)-INT(LOG(C185)))*100),E48_s:E48_f,2)))*10^INT(LOG(C185))/100</f>
        <v>4.6399999999999997</v>
      </c>
      <c r="D186" s="52" t="s">
        <v>208</v>
      </c>
    </row>
    <row r="187" spans="1:6" ht="18" x14ac:dyDescent="0.4">
      <c r="A187" s="61" t="s">
        <v>310</v>
      </c>
      <c r="B187" s="61" t="s">
        <v>309</v>
      </c>
      <c r="C187" s="87">
        <v>4.6399999999999997</v>
      </c>
      <c r="D187" s="52" t="s">
        <v>208</v>
      </c>
    </row>
    <row r="188" spans="1:6" ht="18" x14ac:dyDescent="0.4">
      <c r="A188" s="61" t="s">
        <v>311</v>
      </c>
      <c r="B188" s="61" t="s">
        <v>305</v>
      </c>
      <c r="C188" s="88">
        <f>5*C187/(C183+C187)</f>
        <v>1.7998448409619858</v>
      </c>
      <c r="D188" s="52" t="s">
        <v>17</v>
      </c>
    </row>
    <row r="189" spans="1:6" ht="18" x14ac:dyDescent="0.4">
      <c r="A189" s="52" t="s">
        <v>275</v>
      </c>
      <c r="B189" s="61" t="s">
        <v>219</v>
      </c>
      <c r="C189" s="88">
        <f>(tabset-5)*(0.15+(C188*1.46))/5</f>
        <v>36.111055081458488</v>
      </c>
      <c r="D189" s="52" t="s">
        <v>208</v>
      </c>
    </row>
    <row r="190" spans="1:6" ht="18" x14ac:dyDescent="0.4">
      <c r="A190" s="52" t="s">
        <v>295</v>
      </c>
      <c r="B190" s="61" t="s">
        <v>219</v>
      </c>
      <c r="C190" s="58">
        <f>(IF((10^(LOG(C189)-INT(LOG(C189)))*100)-VLOOKUP((10^(LOG(C189)-INT(LOG(C189)))*100),E48_s:E48_f,1)&lt;VLOOKUP((10^(LOG(C189)-INT(LOG(C189)))*100),E48_s:E48_f,2)-(10^(LOG(C189)-INT(LOG(C189)))*100),VLOOKUP((10^(LOG(C189)-INT(LOG(C189)))*100),E48_s:E48_f,1),VLOOKUP((10^(LOG(C189)-INT(LOG(C189)))*100),E48_s:E48_f,2)))*10^INT(LOG(C189))/100</f>
        <v>36.5</v>
      </c>
      <c r="D190" s="52" t="s">
        <v>208</v>
      </c>
    </row>
    <row r="191" spans="1:6" ht="18" x14ac:dyDescent="0.4">
      <c r="A191" s="52" t="s">
        <v>326</v>
      </c>
      <c r="B191" s="61" t="s">
        <v>219</v>
      </c>
      <c r="C191" s="87">
        <v>36.5</v>
      </c>
      <c r="D191" s="52" t="s">
        <v>208</v>
      </c>
    </row>
    <row r="192" spans="1:6" ht="18" x14ac:dyDescent="0.4">
      <c r="A192" s="75" t="s">
        <v>314</v>
      </c>
      <c r="B192" s="56"/>
      <c r="C192" s="95"/>
      <c r="D192" s="56"/>
      <c r="E192" s="75" t="s">
        <v>19</v>
      </c>
      <c r="F192" s="75"/>
    </row>
    <row r="193" spans="1:6" ht="18" x14ac:dyDescent="0.4">
      <c r="A193" s="52" t="s">
        <v>276</v>
      </c>
      <c r="B193" s="61" t="s">
        <v>221</v>
      </c>
      <c r="C193" s="88">
        <f>tdelay</f>
        <v>67.552693419407561</v>
      </c>
      <c r="D193" s="52" t="s">
        <v>132</v>
      </c>
    </row>
    <row r="194" spans="1:6" ht="18" x14ac:dyDescent="0.4">
      <c r="A194" s="61" t="s">
        <v>312</v>
      </c>
      <c r="B194" s="61" t="s">
        <v>221</v>
      </c>
      <c r="C194" s="87">
        <v>70</v>
      </c>
      <c r="D194" s="52" t="s">
        <v>132</v>
      </c>
    </row>
    <row r="195" spans="1:6" ht="18" x14ac:dyDescent="0.4">
      <c r="A195" s="52" t="s">
        <v>275</v>
      </c>
      <c r="B195" s="61" t="s">
        <v>220</v>
      </c>
      <c r="C195" s="88">
        <f>(tcdset-5)*(0.15+(vadel*1.46))/5</f>
        <v>36.111055081458488</v>
      </c>
      <c r="D195" s="52" t="s">
        <v>208</v>
      </c>
    </row>
    <row r="196" spans="1:6" ht="18" x14ac:dyDescent="0.4">
      <c r="A196" s="52" t="s">
        <v>295</v>
      </c>
      <c r="B196" s="61" t="s">
        <v>220</v>
      </c>
      <c r="C196" s="58">
        <f>(IF((10^(LOG(C195)-INT(LOG(C195)))*100)-VLOOKUP((10^(LOG(C195)-INT(LOG(C195)))*100),E48_s:E48_f,1)&lt;VLOOKUP((10^(LOG(C195)-INT(LOG(C195)))*100),E48_s:E48_f,2)-(10^(LOG(C195)-INT(LOG(C195)))*100),VLOOKUP((10^(LOG(C195)-INT(LOG(C195)))*100),E48_s:E48_f,1),VLOOKUP((10^(LOG(C195)-INT(LOG(C195)))*100),E48_s:E48_f,2)))*10^INT(LOG(C195))/100</f>
        <v>36.5</v>
      </c>
      <c r="D196" s="52" t="s">
        <v>208</v>
      </c>
    </row>
    <row r="197" spans="1:6" ht="18" x14ac:dyDescent="0.4">
      <c r="A197" s="52" t="s">
        <v>326</v>
      </c>
      <c r="B197" s="61" t="s">
        <v>220</v>
      </c>
      <c r="C197" s="87">
        <v>36.5</v>
      </c>
      <c r="D197" s="52" t="s">
        <v>208</v>
      </c>
    </row>
    <row r="198" spans="1:6" ht="18" x14ac:dyDescent="0.4">
      <c r="A198" s="75" t="s">
        <v>324</v>
      </c>
      <c r="B198" s="56"/>
      <c r="C198" s="95"/>
      <c r="D198" s="56"/>
      <c r="E198" s="75" t="s">
        <v>19</v>
      </c>
      <c r="F198" s="75"/>
    </row>
    <row r="199" spans="1:6" ht="18" x14ac:dyDescent="0.4">
      <c r="A199" s="52" t="s">
        <v>222</v>
      </c>
      <c r="B199" s="52" t="s">
        <v>321</v>
      </c>
      <c r="C199" s="58">
        <f>C182/2</f>
        <v>35</v>
      </c>
      <c r="D199" s="52" t="s">
        <v>132</v>
      </c>
    </row>
    <row r="200" spans="1:6" ht="18" x14ac:dyDescent="0.4">
      <c r="A200" s="52" t="s">
        <v>322</v>
      </c>
      <c r="B200" s="52" t="s">
        <v>321</v>
      </c>
      <c r="C200" s="87">
        <v>35</v>
      </c>
      <c r="D200" s="52" t="s">
        <v>132</v>
      </c>
    </row>
    <row r="201" spans="1:6" ht="18" x14ac:dyDescent="0.4">
      <c r="A201" s="61" t="s">
        <v>316</v>
      </c>
      <c r="B201" s="52" t="s">
        <v>315</v>
      </c>
      <c r="C201" s="87">
        <v>8.25</v>
      </c>
      <c r="D201" s="52" t="s">
        <v>208</v>
      </c>
    </row>
    <row r="202" spans="1:6" ht="18" x14ac:dyDescent="0.4">
      <c r="A202" s="61" t="s">
        <v>319</v>
      </c>
      <c r="B202" s="52" t="s">
        <v>320</v>
      </c>
      <c r="C202" s="88">
        <f>IF(tafset&lt;170, 0.2,1.7)</f>
        <v>0.2</v>
      </c>
      <c r="D202" s="52" t="s">
        <v>17</v>
      </c>
    </row>
    <row r="203" spans="1:6" ht="18" x14ac:dyDescent="0.4">
      <c r="A203" s="61" t="s">
        <v>317</v>
      </c>
      <c r="B203" s="52" t="s">
        <v>318</v>
      </c>
      <c r="C203" s="88">
        <f>C202*C201/(5-C202)</f>
        <v>0.34375000000000006</v>
      </c>
      <c r="D203" s="52" t="s">
        <v>208</v>
      </c>
    </row>
    <row r="204" spans="1:6" ht="18" x14ac:dyDescent="0.4">
      <c r="A204" s="52" t="s">
        <v>295</v>
      </c>
      <c r="B204" s="52" t="s">
        <v>318</v>
      </c>
      <c r="C204" s="58">
        <f>(IF((10^(LOG(C203)-INT(LOG(C203)))*100)-VLOOKUP((10^(LOG(C203)-INT(LOG(C203)))*100),E48_s:E48_f,1)&lt;VLOOKUP((10^(LOG(C203)-INT(LOG(C203)))*100),E48_s:E48_f,2)-(10^(LOG(C203)-INT(LOG(C203)))*100),VLOOKUP((10^(LOG(C203)-INT(LOG(C203)))*100),E48_s:E48_f,1),VLOOKUP((10^(LOG(C203)-INT(LOG(C203)))*100),E48_s:E48_f,2)))*10^INT(LOG(C203))/100</f>
        <v>0.34800000000000003</v>
      </c>
      <c r="D204" s="52" t="s">
        <v>208</v>
      </c>
    </row>
    <row r="205" spans="1:6" ht="18" x14ac:dyDescent="0.4">
      <c r="A205" s="52" t="s">
        <v>323</v>
      </c>
      <c r="B205" s="52" t="s">
        <v>318</v>
      </c>
      <c r="C205" s="87">
        <v>0.35</v>
      </c>
      <c r="D205" s="52" t="s">
        <v>208</v>
      </c>
    </row>
    <row r="206" spans="1:6" ht="18" x14ac:dyDescent="0.4">
      <c r="A206" s="61" t="s">
        <v>319</v>
      </c>
      <c r="B206" s="52" t="s">
        <v>320</v>
      </c>
      <c r="C206" s="58">
        <f>5*C205/(C205+C201)</f>
        <v>0.20348837209302326</v>
      </c>
      <c r="D206" s="52" t="s">
        <v>17</v>
      </c>
    </row>
    <row r="207" spans="1:6" ht="18" x14ac:dyDescent="0.4">
      <c r="A207" s="52" t="s">
        <v>275</v>
      </c>
      <c r="B207" s="61" t="s">
        <v>223</v>
      </c>
      <c r="C207" s="88">
        <f>(tafset-4)*(2.65-(C206*1.32))/5</f>
        <v>14.764651162790699</v>
      </c>
      <c r="D207" s="52" t="s">
        <v>208</v>
      </c>
    </row>
    <row r="208" spans="1:6" ht="18" x14ac:dyDescent="0.4">
      <c r="A208" s="52" t="s">
        <v>295</v>
      </c>
      <c r="B208" s="61" t="s">
        <v>223</v>
      </c>
      <c r="C208" s="58">
        <f>(IF((10^(LOG(C207)-INT(LOG(C207)))*100)-VLOOKUP((10^(LOG(C207)-INT(LOG(C207)))*100),E48_s:E48_f,1)&lt;VLOOKUP((10^(LOG(C207)-INT(LOG(C207)))*100),E48_s:E48_f,2)-(10^(LOG(C207)-INT(LOG(C207)))*100),VLOOKUP((10^(LOG(C207)-INT(LOG(C207)))*100),E48_s:E48_f,1),VLOOKUP((10^(LOG(C207)-INT(LOG(C207)))*100),E48_s:E48_f,2)))*10^INT(LOG(C207))/100</f>
        <v>14.7</v>
      </c>
      <c r="D208" s="52" t="s">
        <v>208</v>
      </c>
    </row>
    <row r="209" spans="1:6" ht="18" x14ac:dyDescent="0.4">
      <c r="A209" s="52" t="s">
        <v>327</v>
      </c>
      <c r="B209" s="61" t="s">
        <v>223</v>
      </c>
      <c r="C209" s="87">
        <v>14.7</v>
      </c>
      <c r="D209" s="52" t="s">
        <v>208</v>
      </c>
    </row>
    <row r="210" spans="1:6" x14ac:dyDescent="0.3">
      <c r="A210" s="75" t="s">
        <v>224</v>
      </c>
      <c r="B210" s="65"/>
      <c r="C210" s="95"/>
      <c r="D210" s="56"/>
      <c r="E210" s="75" t="s">
        <v>19</v>
      </c>
      <c r="F210" s="75"/>
    </row>
    <row r="211" spans="1:6" ht="18" x14ac:dyDescent="0.4">
      <c r="A211" s="52" t="s">
        <v>225</v>
      </c>
      <c r="B211" s="52" t="s">
        <v>226</v>
      </c>
      <c r="C211" s="87">
        <v>100</v>
      </c>
      <c r="D211" s="52" t="s">
        <v>132</v>
      </c>
    </row>
    <row r="212" spans="1:6" ht="18" x14ac:dyDescent="0.4">
      <c r="A212" s="52" t="s">
        <v>228</v>
      </c>
      <c r="B212" s="52" t="s">
        <v>227</v>
      </c>
      <c r="C212" s="58">
        <f>(C211-15)/6.6</f>
        <v>12.878787878787879</v>
      </c>
      <c r="D212" s="52" t="s">
        <v>208</v>
      </c>
    </row>
    <row r="213" spans="1:6" ht="18" x14ac:dyDescent="0.4">
      <c r="A213" s="52" t="s">
        <v>295</v>
      </c>
      <c r="B213" s="52" t="s">
        <v>227</v>
      </c>
      <c r="C213" s="58">
        <f>(IF((10^(LOG(C212)-INT(LOG(C212)))*100)-VLOOKUP((10^(LOG(C212)-INT(LOG(C212)))*100),E48_s:E48_f,1)&lt;VLOOKUP((10^(LOG(C212)-INT(LOG(C212)))*100),E48_s:E48_f,2)-(10^(LOG(C212)-INT(LOG(C212)))*100),VLOOKUP((10^(LOG(C212)-INT(LOG(C212)))*100),E48_s:E48_f,1),VLOOKUP((10^(LOG(C212)-INT(LOG(C212)))*100),E48_s:E48_f,2)))*10^INT(LOG(C212))/100</f>
        <v>12.7</v>
      </c>
      <c r="D213" s="52" t="s">
        <v>208</v>
      </c>
    </row>
    <row r="214" spans="1:6" ht="18" x14ac:dyDescent="0.4">
      <c r="A214" s="52" t="s">
        <v>323</v>
      </c>
      <c r="B214" s="52" t="s">
        <v>227</v>
      </c>
      <c r="C214" s="87">
        <v>12.7</v>
      </c>
      <c r="D214" s="52" t="s">
        <v>208</v>
      </c>
    </row>
    <row r="215" spans="1:6" x14ac:dyDescent="0.3">
      <c r="A215" s="75" t="s">
        <v>229</v>
      </c>
      <c r="B215" s="65"/>
      <c r="C215" s="95"/>
      <c r="D215" s="56"/>
      <c r="E215" s="75" t="s">
        <v>19</v>
      </c>
      <c r="F215" s="75"/>
    </row>
    <row r="216" spans="1:6" ht="18" x14ac:dyDescent="0.4">
      <c r="A216" s="52" t="s">
        <v>230</v>
      </c>
      <c r="B216" s="52" t="s">
        <v>231</v>
      </c>
      <c r="C216" s="58">
        <f>(((2.5*10^3)/(fs/2))-1)*2.5</f>
        <v>49.583333333333329</v>
      </c>
      <c r="D216" s="52" t="s">
        <v>208</v>
      </c>
      <c r="E216" s="52" t="s">
        <v>19</v>
      </c>
    </row>
    <row r="217" spans="1:6" ht="18" x14ac:dyDescent="0.4">
      <c r="A217" s="52" t="s">
        <v>295</v>
      </c>
      <c r="B217" s="52" t="s">
        <v>231</v>
      </c>
      <c r="C217" s="58">
        <f>(IF((10^(LOG(C216)-INT(LOG(C216)))*100)-VLOOKUP((10^(LOG(C216)-INT(LOG(C216)))*100),E48_s:E48_f,1)&lt;VLOOKUP((10^(LOG(C216)-INT(LOG(C216)))*100),E48_s:E48_f,2)-(10^(LOG(C216)-INT(LOG(C216)))*100),VLOOKUP((10^(LOG(C216)-INT(LOG(C216)))*100),E48_s:E48_f,1),VLOOKUP((10^(LOG(C216)-INT(LOG(C216)))*100),E48_s:E48_f,2)))*10^INT(LOG(C216))/100</f>
        <v>48.7</v>
      </c>
      <c r="D217" s="52" t="s">
        <v>208</v>
      </c>
    </row>
    <row r="218" spans="1:6" ht="18" x14ac:dyDescent="0.4">
      <c r="A218" s="52" t="s">
        <v>323</v>
      </c>
      <c r="B218" s="52" t="s">
        <v>231</v>
      </c>
      <c r="C218" s="87">
        <v>48.7</v>
      </c>
      <c r="D218" s="52" t="s">
        <v>208</v>
      </c>
    </row>
    <row r="219" spans="1:6" x14ac:dyDescent="0.3">
      <c r="A219" s="75" t="s">
        <v>232</v>
      </c>
      <c r="B219" s="65"/>
      <c r="C219" s="95"/>
      <c r="D219" s="56"/>
      <c r="E219" s="75" t="s">
        <v>19</v>
      </c>
      <c r="F219" s="75"/>
    </row>
    <row r="220" spans="1:6" ht="18" x14ac:dyDescent="0.4">
      <c r="A220" s="52" t="s">
        <v>277</v>
      </c>
      <c r="B220" s="52" t="s">
        <v>44</v>
      </c>
      <c r="C220" s="58">
        <f>(vin*(1-dtyp))/(lmag2*fs)</f>
        <v>0.66762945434298437</v>
      </c>
      <c r="D220" s="52" t="s">
        <v>34</v>
      </c>
    </row>
    <row r="221" spans="1:6" ht="18" x14ac:dyDescent="0.4">
      <c r="A221" s="52" t="s">
        <v>334</v>
      </c>
      <c r="B221" s="52" t="s">
        <v>332</v>
      </c>
      <c r="C221" s="58">
        <f>fs*0.2*0.001</f>
        <v>4.8000000000000001E-2</v>
      </c>
      <c r="D221" s="52" t="s">
        <v>233</v>
      </c>
    </row>
    <row r="222" spans="1:6" ht="18" x14ac:dyDescent="0.4">
      <c r="A222" s="52" t="s">
        <v>335</v>
      </c>
      <c r="B222" s="52" t="s">
        <v>333</v>
      </c>
      <c r="C222" s="58">
        <f>((((dilout/(_taa1*2))-C220)*RS*(1-dtyp)*fs)/_ta2)*0.001</f>
        <v>8.9842291696044688E-4</v>
      </c>
      <c r="D222" s="52" t="s">
        <v>233</v>
      </c>
      <c r="E222" s="52" t="s">
        <v>19</v>
      </c>
    </row>
    <row r="223" spans="1:6" ht="18" x14ac:dyDescent="0.4">
      <c r="A223" s="52" t="s">
        <v>234</v>
      </c>
      <c r="B223" s="52" t="s">
        <v>235</v>
      </c>
      <c r="C223" s="88">
        <f>IF(Vslope1&gt;Vslope2, Vslope1, Vslope2)</f>
        <v>4.8000000000000001E-2</v>
      </c>
      <c r="D223" s="52" t="s">
        <v>233</v>
      </c>
      <c r="E223" s="52" t="s">
        <v>19</v>
      </c>
    </row>
    <row r="224" spans="1:6" ht="18" x14ac:dyDescent="0.4">
      <c r="A224" s="52" t="s">
        <v>236</v>
      </c>
      <c r="B224" s="52" t="s">
        <v>237</v>
      </c>
      <c r="C224" s="58">
        <f>2.5/(C223*0.5)</f>
        <v>104.16666666666667</v>
      </c>
      <c r="D224" s="52" t="s">
        <v>208</v>
      </c>
      <c r="E224" s="57"/>
    </row>
    <row r="225" spans="1:6" ht="18" x14ac:dyDescent="0.4">
      <c r="A225" s="52" t="s">
        <v>295</v>
      </c>
      <c r="B225" s="52" t="s">
        <v>237</v>
      </c>
      <c r="C225" s="58">
        <f>(IF((10^(LOG(C224)-INT(LOG(C224)))*100)-VLOOKUP((10^(LOG(C224)-INT(LOG(C224)))*100),E48_s:E48_f,1)&lt;VLOOKUP((10^(LOG(C224)-INT(LOG(C224)))*100),E48_s:E48_f,2)-(10^(LOG(C224)-INT(LOG(C224)))*100),VLOOKUP((10^(LOG(C224)-INT(LOG(C224)))*100),E48_s:E48_f,1),VLOOKUP((10^(LOG(C224)-INT(LOG(C224)))*100),E48_s:E48_f,2)))*10^INT(LOG(C224))/100</f>
        <v>105</v>
      </c>
      <c r="D225" s="52" t="s">
        <v>208</v>
      </c>
    </row>
    <row r="226" spans="1:6" ht="18" x14ac:dyDescent="0.4">
      <c r="A226" s="52" t="s">
        <v>323</v>
      </c>
      <c r="B226" s="52" t="s">
        <v>237</v>
      </c>
      <c r="C226" s="87">
        <v>105</v>
      </c>
      <c r="D226" s="52" t="s">
        <v>208</v>
      </c>
    </row>
    <row r="227" spans="1:6" x14ac:dyDescent="0.3">
      <c r="A227" s="75" t="s">
        <v>278</v>
      </c>
      <c r="B227" s="65"/>
      <c r="C227" s="95"/>
      <c r="D227" s="56"/>
      <c r="E227" s="75" t="s">
        <v>19</v>
      </c>
      <c r="F227" s="75"/>
    </row>
    <row r="228" spans="1:6" ht="18" x14ac:dyDescent="0.4">
      <c r="A228" s="52" t="s">
        <v>238</v>
      </c>
      <c r="B228" s="52" t="s">
        <v>239</v>
      </c>
      <c r="C228" s="58">
        <f>(((pout*0.15/VOUT)+(dilout/2))*RS)/(_ta1*_ta2)</f>
        <v>0.32447857642190642</v>
      </c>
      <c r="D228" s="52" t="s">
        <v>17</v>
      </c>
    </row>
    <row r="229" spans="1:6" ht="18" x14ac:dyDescent="0.4">
      <c r="A229" s="52" t="s">
        <v>181</v>
      </c>
      <c r="B229" s="52" t="s">
        <v>240</v>
      </c>
      <c r="C229" s="87">
        <v>1</v>
      </c>
      <c r="D229" s="52" t="s">
        <v>208</v>
      </c>
    </row>
    <row r="230" spans="1:6" ht="18" x14ac:dyDescent="0.4">
      <c r="A230" s="52" t="s">
        <v>242</v>
      </c>
      <c r="B230" s="52" t="s">
        <v>241</v>
      </c>
      <c r="C230" s="58">
        <f>(C229*(5-C228)/C228)</f>
        <v>14.409337821732493</v>
      </c>
      <c r="D230" s="52" t="s">
        <v>208</v>
      </c>
    </row>
    <row r="231" spans="1:6" ht="18" x14ac:dyDescent="0.4">
      <c r="A231" s="52" t="s">
        <v>295</v>
      </c>
      <c r="B231" s="52" t="s">
        <v>241</v>
      </c>
      <c r="C231" s="58">
        <f>(IF((10^(LOG(C230)-INT(LOG(C230)))*100)-VLOOKUP((10^(LOG(C230)-INT(LOG(C230)))*100),E48_s:E48_f,1)&lt;VLOOKUP((10^(LOG(C230)-INT(LOG(C230)))*100),E48_s:E48_f,2)-(10^(LOG(C230)-INT(LOG(C230)))*100),VLOOKUP((10^(LOG(C230)-INT(LOG(C230)))*100),E48_s:E48_f,1),VLOOKUP((10^(LOG(C230)-INT(LOG(C230)))*100),E48_s:E48_f,2)))*10^INT(LOG(C230))/100</f>
        <v>14.7</v>
      </c>
      <c r="D231" s="52" t="s">
        <v>208</v>
      </c>
    </row>
    <row r="232" spans="1:6" ht="18" x14ac:dyDescent="0.4">
      <c r="A232" s="52" t="s">
        <v>323</v>
      </c>
      <c r="B232" s="52" t="s">
        <v>241</v>
      </c>
      <c r="C232" s="87">
        <v>14.7</v>
      </c>
      <c r="D232" s="52" t="s">
        <v>208</v>
      </c>
    </row>
  </sheetData>
  <sheetProtection password="ECDD" sheet="1" formatColumns="0" formatRows="0" selectLockedCells="1"/>
  <phoneticPr fontId="0"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L30"/>
  <sheetViews>
    <sheetView topLeftCell="A10" workbookViewId="0">
      <selection activeCell="K19" sqref="K19"/>
    </sheetView>
  </sheetViews>
  <sheetFormatPr defaultRowHeight="13.2" x14ac:dyDescent="0.25"/>
  <sheetData>
    <row r="30" spans="12:12" x14ac:dyDescent="0.25">
      <c r="L30" t="s">
        <v>19</v>
      </c>
    </row>
  </sheetData>
  <sheetProtection password="ECDD" sheet="1"/>
  <phoneticPr fontId="21"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Visio.Drawing.6" shapeId="5125" r:id="rId4">
          <objectPr defaultSize="0" autoPict="0" r:id="rId5">
            <anchor moveWithCells="1">
              <from>
                <xdr:col>0</xdr:col>
                <xdr:colOff>38100</xdr:colOff>
                <xdr:row>5</xdr:row>
                <xdr:rowOff>45720</xdr:rowOff>
              </from>
              <to>
                <xdr:col>8</xdr:col>
                <xdr:colOff>426720</xdr:colOff>
                <xdr:row>46</xdr:row>
                <xdr:rowOff>45720</xdr:rowOff>
              </to>
            </anchor>
          </objectPr>
        </oleObject>
      </mc:Choice>
      <mc:Fallback>
        <oleObject progId="Visio.Drawing.6" shapeId="5125"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I22" sqref="I22"/>
    </sheetView>
  </sheetViews>
  <sheetFormatPr defaultRowHeight="13.2" x14ac:dyDescent="0.25"/>
  <sheetData/>
  <sheetProtection password="ECDD" sheet="1"/>
  <phoneticPr fontId="21"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G31"/>
  <sheetViews>
    <sheetView workbookViewId="0">
      <selection activeCell="I3" sqref="I3"/>
    </sheetView>
  </sheetViews>
  <sheetFormatPr defaultRowHeight="13.2" x14ac:dyDescent="0.25"/>
  <sheetData>
    <row r="31" spans="7:7" x14ac:dyDescent="0.25">
      <c r="G31" t="s">
        <v>19</v>
      </c>
    </row>
  </sheetData>
  <sheetProtection password="ECDD" sheet="1"/>
  <phoneticPr fontId="21" type="noConversion"/>
  <pageMargins left="0.75" right="0.75" top="1" bottom="1" header="0.5" footer="0.5"/>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3"/>
  <sheetViews>
    <sheetView workbookViewId="0">
      <selection activeCell="A3" sqref="A3:U3"/>
    </sheetView>
  </sheetViews>
  <sheetFormatPr defaultRowHeight="13.2" x14ac:dyDescent="0.25"/>
  <sheetData>
    <row r="1" spans="1:21" x14ac:dyDescent="0.25">
      <c r="A1" s="108" t="s">
        <v>340</v>
      </c>
      <c r="B1" s="108"/>
      <c r="C1" s="108"/>
      <c r="D1" s="108"/>
      <c r="E1" s="108"/>
      <c r="F1" s="108"/>
      <c r="G1" s="108"/>
      <c r="H1" s="108"/>
      <c r="I1" s="108"/>
      <c r="J1" s="108"/>
      <c r="K1" s="108"/>
      <c r="L1" s="108"/>
      <c r="M1" s="108"/>
      <c r="N1" s="108"/>
      <c r="O1" s="108"/>
      <c r="P1" s="108"/>
      <c r="Q1" s="108"/>
      <c r="R1" s="108"/>
      <c r="S1" s="108"/>
      <c r="T1" s="108"/>
      <c r="U1" s="108"/>
    </row>
    <row r="2" spans="1:21" x14ac:dyDescent="0.25">
      <c r="A2" s="108"/>
      <c r="B2" s="108"/>
      <c r="C2" s="108"/>
      <c r="D2" s="108"/>
      <c r="E2" s="108"/>
      <c r="F2" s="108"/>
      <c r="G2" s="108"/>
      <c r="H2" s="108"/>
      <c r="I2" s="108"/>
      <c r="J2" s="108"/>
      <c r="K2" s="108"/>
      <c r="L2" s="108"/>
      <c r="M2" s="108"/>
      <c r="N2" s="108"/>
      <c r="O2" s="108"/>
      <c r="P2" s="108"/>
      <c r="Q2" s="108"/>
      <c r="R2" s="108"/>
      <c r="S2" s="108"/>
      <c r="T2" s="108"/>
      <c r="U2" s="108"/>
    </row>
    <row r="3" spans="1:21" ht="387" customHeight="1" x14ac:dyDescent="0.25">
      <c r="A3" s="109" t="s">
        <v>341</v>
      </c>
      <c r="B3" s="109"/>
      <c r="C3" s="109"/>
      <c r="D3" s="109"/>
      <c r="E3" s="109"/>
      <c r="F3" s="109"/>
      <c r="G3" s="109"/>
      <c r="H3" s="109"/>
      <c r="I3" s="109"/>
      <c r="J3" s="109"/>
      <c r="K3" s="109"/>
      <c r="L3" s="109"/>
      <c r="M3" s="109"/>
      <c r="N3" s="109"/>
      <c r="O3" s="109"/>
      <c r="P3" s="109"/>
      <c r="Q3" s="109"/>
      <c r="R3" s="109"/>
      <c r="S3" s="109"/>
      <c r="T3" s="109"/>
      <c r="U3" s="109"/>
    </row>
  </sheetData>
  <sheetProtection algorithmName="SHA-512" hashValue="+PcoHR4I2iULuSXVLYlvHInwmbIr8mvl29gW/turBkgZWMMUOwL6rLVWXa7SRfRK/NPJDZ//14B7PXso5Ci7sA==" saltValue="2yqKKuZ4bA/xqIUehV6iRQ==" spinCount="100000" sheet="1" formatCells="0" formatRows="0" insertColumns="0" insertRows="0" insertHyperlinks="0" deleteColumns="0" deleteRows="0" sort="0" autoFilter="0" pivotTables="0"/>
  <mergeCells count="2">
    <mergeCell ref="A1:U2"/>
    <mergeCell ref="A3:U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01"/>
  <sheetViews>
    <sheetView workbookViewId="0">
      <selection sqref="A1:IV65536"/>
    </sheetView>
  </sheetViews>
  <sheetFormatPr defaultColWidth="9.109375" defaultRowHeight="13.2" x14ac:dyDescent="0.25"/>
  <cols>
    <col min="1" max="1" width="9.109375" style="70"/>
    <col min="2" max="2" width="10.109375" style="70" customWidth="1"/>
    <col min="3" max="3" width="9.109375" style="70"/>
    <col min="4" max="4" width="12.44140625" style="70" customWidth="1"/>
    <col min="5" max="5" width="21.5546875" style="70" customWidth="1"/>
    <col min="6" max="6" width="15.44140625" style="70" customWidth="1"/>
    <col min="7" max="7" width="21.109375" style="70" customWidth="1"/>
    <col min="8" max="8" width="9.109375" style="70"/>
    <col min="9" max="9" width="14.33203125" style="70" customWidth="1"/>
    <col min="10" max="10" width="17.109375" style="70" customWidth="1"/>
    <col min="11" max="11" width="11.88671875" style="70" customWidth="1"/>
    <col min="12" max="12" width="13.5546875" style="70" customWidth="1"/>
    <col min="13" max="16384" width="9.109375" style="70"/>
  </cols>
  <sheetData>
    <row r="1" spans="1:18" ht="43.2" x14ac:dyDescent="0.35">
      <c r="A1" s="70" t="s">
        <v>245</v>
      </c>
      <c r="B1" s="70" t="s">
        <v>260</v>
      </c>
      <c r="C1" s="70" t="s">
        <v>190</v>
      </c>
      <c r="D1" s="70" t="s">
        <v>246</v>
      </c>
      <c r="E1" s="51" t="s">
        <v>247</v>
      </c>
      <c r="F1" s="70" t="s">
        <v>248</v>
      </c>
      <c r="G1" s="70" t="s">
        <v>249</v>
      </c>
      <c r="H1" s="70" t="s">
        <v>250</v>
      </c>
      <c r="I1" s="70" t="s">
        <v>251</v>
      </c>
      <c r="J1" s="70" t="s">
        <v>252</v>
      </c>
      <c r="K1" s="70" t="s">
        <v>253</v>
      </c>
      <c r="L1" s="70" t="s">
        <v>254</v>
      </c>
      <c r="M1" s="70" t="s">
        <v>255</v>
      </c>
      <c r="N1" s="70" t="s">
        <v>256</v>
      </c>
      <c r="O1" s="70" t="s">
        <v>261</v>
      </c>
      <c r="P1" s="74" t="s">
        <v>258</v>
      </c>
      <c r="Q1" s="74" t="s">
        <v>259</v>
      </c>
      <c r="R1" s="70" t="s">
        <v>257</v>
      </c>
    </row>
    <row r="2" spans="1:18" ht="15" x14ac:dyDescent="0.25">
      <c r="A2" s="71">
        <f>1</f>
        <v>1</v>
      </c>
      <c r="B2" s="70">
        <v>100</v>
      </c>
      <c r="C2" s="70">
        <f t="shared" ref="C2:C33" si="0">_ta1*_ta2*(rload/RS)</f>
        <v>215.73072950425492</v>
      </c>
      <c r="D2" s="51" t="str">
        <f t="shared" ref="D2:D33" si="1">IMDIV((COMPLEX(1,2*PI()*(B2)*(esrcout*0.001)*(cout*0.000001))),(COMPLEX(1,2*PI()*(B2)*rload*(cout*0.000001))))</f>
        <v>0,00770125453422649-0,0857193065375401i</v>
      </c>
      <c r="E2" s="51" t="str">
        <f t="shared" ref="E2:E33" si="2">IMDIV(1,(COMPLEX((1-(B2/(fpp*1000))^2),(B2/(fpp*1000)))))</f>
        <v>0,999999999992284-0,0016666712962963i</v>
      </c>
      <c r="F2" s="70" t="str">
        <f t="shared" ref="F2:F33" si="3">IMPRODUCT(D2,E2)</f>
        <v>0,00755838862642253-0,0857321419967564i</v>
      </c>
      <c r="G2" s="70" t="str">
        <f t="shared" ref="G2:G33" si="4">IMPRODUCT(C2,F2)</f>
        <v>1,6305766922548-18,4950575349226i</v>
      </c>
      <c r="H2" s="72">
        <f t="shared" ref="H2:H33" si="5">IMABS(G2)</f>
        <v>18.566796534928201</v>
      </c>
      <c r="I2" s="51" t="str">
        <f t="shared" ref="I2:I33" si="6">IMDIV((COMPLEX(1,(2*PI()*B2*(rf*1000)*(Cz*0.000000001)))),(COMPLEX(0,2*PI()*B2*((Cz*0.000000001)+(Cp*0.000000000001))*(RII*1000))))</f>
        <v>2,87686996547756-33,91615375099i</v>
      </c>
      <c r="J2" s="73" t="str">
        <f t="shared" ref="J2:J33" si="7">IMDIV(1,(COMPLEX(1,2*PI()*B2*(((Cz*0.000000001)*(Cp*0.000000000001))/((Cz*0.000000001)+(Cp*0.000000000001)))*(rf*1000))))</f>
        <v>0,999940541208216-0,00771072347033918i</v>
      </c>
      <c r="K2" s="73" t="str">
        <f t="shared" ref="K2:K33" si="8">IMPRODUCT(I2,J2)</f>
        <v>2,6151808275139-33,9363198862299i</v>
      </c>
      <c r="L2" s="73" t="str">
        <f t="shared" ref="L2:L33" si="9">IMPRODUCT(G2,K2)</f>
        <v>-623,389935915984-103,703692096486i</v>
      </c>
      <c r="M2" s="70">
        <f t="shared" ref="M2:M33" si="10">20*LOG(IMABS(L2))</f>
        <v>56.013748597205179</v>
      </c>
      <c r="N2" s="70">
        <f t="shared" ref="N2:N33" si="11">(180/PI())*IMARGUMENT(L2)+180</f>
        <v>9.4449163025278153</v>
      </c>
      <c r="O2" s="70">
        <f t="shared" ref="O2:O55" si="12">IF(N2&gt;180,-(360-N2),N2)</f>
        <v>9.4449163025278153</v>
      </c>
      <c r="P2" s="70">
        <v>48.311999999999998</v>
      </c>
      <c r="Q2" s="70">
        <v>11.617000000000001</v>
      </c>
      <c r="R2" s="70">
        <f>B2</f>
        <v>100</v>
      </c>
    </row>
    <row r="3" spans="1:18" ht="15" x14ac:dyDescent="0.25">
      <c r="A3" s="71">
        <f>1+A2</f>
        <v>2</v>
      </c>
      <c r="B3" s="70">
        <v>1000</v>
      </c>
      <c r="C3" s="70">
        <f t="shared" si="0"/>
        <v>215.73072950425492</v>
      </c>
      <c r="D3" s="51" t="str">
        <f t="shared" si="1"/>
        <v>0,000371023834495249-0,00863525254095908i</v>
      </c>
      <c r="E3" s="51" t="str">
        <f t="shared" si="2"/>
        <v>0,999999922818073-0,016671296295939i</v>
      </c>
      <c r="F3" s="70" t="str">
        <f t="shared" si="3"/>
        <v>0,000227062952158326-0,00864143732275138i</v>
      </c>
      <c r="G3" s="70" t="str">
        <f t="shared" si="4"/>
        <v>0,0489844563125054-1,86422357760245i</v>
      </c>
      <c r="H3" s="72">
        <f t="shared" si="5"/>
        <v>1.864867025889275</v>
      </c>
      <c r="I3" s="51" t="str">
        <f t="shared" si="6"/>
        <v>2,87686996547756-3,391615375099i</v>
      </c>
      <c r="J3" s="73" t="str">
        <f t="shared" si="7"/>
        <v>0,994088915947279-0,0766560052314412i</v>
      </c>
      <c r="K3" s="73" t="str">
        <f t="shared" si="8"/>
        <v>2,59987685936625-3,59209661066611i</v>
      </c>
      <c r="L3" s="73" t="str">
        <f t="shared" si="9"/>
        <v>-6,56911764019409-5,02270863958905i</v>
      </c>
      <c r="M3" s="70">
        <f t="shared" si="10"/>
        <v>18.349348674255719</v>
      </c>
      <c r="N3" s="70">
        <f t="shared" si="11"/>
        <v>37.401315320360794</v>
      </c>
      <c r="O3" s="70">
        <f t="shared" si="12"/>
        <v>37.401315320360794</v>
      </c>
    </row>
    <row r="4" spans="1:18" ht="15" x14ac:dyDescent="0.25">
      <c r="A4" s="71">
        <f t="shared" ref="A4:A67" si="13">1+A3</f>
        <v>3</v>
      </c>
      <c r="B4" s="70">
        <f t="shared" ref="B4:B35" si="14">(fs*1000/2)*(A4/100)</f>
        <v>3600</v>
      </c>
      <c r="C4" s="70">
        <f t="shared" si="0"/>
        <v>215.73072950425492</v>
      </c>
      <c r="D4" s="51" t="str">
        <f t="shared" si="1"/>
        <v>0,000302184775135389-0,00239884644562656i</v>
      </c>
      <c r="E4" s="51" t="str">
        <f t="shared" si="2"/>
        <v>0,999986993344607-0,0602159971905624i</v>
      </c>
      <c r="F4" s="70" t="str">
        <f t="shared" si="3"/>
        <v>0,000157731913891714-0,00241701160222808i</v>
      </c>
      <c r="G4" s="70" t="str">
        <f t="shared" si="4"/>
        <v>0,0340276208499618-0,521423676168912i</v>
      </c>
      <c r="H4" s="72">
        <f t="shared" si="5"/>
        <v>0.52253280188923179</v>
      </c>
      <c r="I4" s="51" t="str">
        <f t="shared" si="6"/>
        <v>2,87686996547757-0,942115381971945i</v>
      </c>
      <c r="J4" s="73" t="str">
        <f t="shared" si="7"/>
        <v>0,928450644367288-0,25774026720956i</v>
      </c>
      <c r="K4" s="73" t="str">
        <f t="shared" si="8"/>
        <v>2,42821070291686-1,61619286708953i</v>
      </c>
      <c r="L4" s="73" t="str">
        <f t="shared" si="9"/>
        <v>-0,760094993013122-1,32112174932934i</v>
      </c>
      <c r="M4" s="70">
        <f t="shared" si="10"/>
        <v>3.6606922744563413</v>
      </c>
      <c r="N4" s="70">
        <f t="shared" si="11"/>
        <v>60.086433896564827</v>
      </c>
      <c r="O4" s="70">
        <f t="shared" si="12"/>
        <v>60.086433896564827</v>
      </c>
    </row>
    <row r="5" spans="1:18" ht="15" x14ac:dyDescent="0.25">
      <c r="A5" s="71">
        <f t="shared" si="13"/>
        <v>4</v>
      </c>
      <c r="B5" s="70">
        <f t="shared" si="14"/>
        <v>4800</v>
      </c>
      <c r="C5" s="70">
        <f t="shared" si="0"/>
        <v>215.73072950425492</v>
      </c>
      <c r="D5" s="51" t="str">
        <f t="shared" si="1"/>
        <v>0,000299666444170136-0,00179913936640644i</v>
      </c>
      <c r="E5" s="51" t="str">
        <f t="shared" si="2"/>
        <v>0,999958777866806-0,0805119788942678i</v>
      </c>
      <c r="F5" s="70" t="str">
        <f t="shared" si="3"/>
        <v>0,000154801820584099-0,00182319194047219i</v>
      </c>
      <c r="G5" s="70" t="str">
        <f t="shared" si="4"/>
        <v>0,0333955096831945-0,393318527344344i</v>
      </c>
      <c r="H5" s="72">
        <f t="shared" si="5"/>
        <v>0.39473373813157125</v>
      </c>
      <c r="I5" s="51" t="str">
        <f t="shared" si="6"/>
        <v>2,87686996547757-0,706586536478959i</v>
      </c>
      <c r="J5" s="73" t="str">
        <f t="shared" si="7"/>
        <v>0,879506545875614-0,325537680825984i</v>
      </c>
      <c r="K5" s="73" t="str">
        <f t="shared" si="8"/>
        <v>2,30020542388225-1,55797706066032i</v>
      </c>
      <c r="L5" s="73" t="str">
        <f t="shared" si="9"/>
        <v>-0,535964710628591-0,956742847926316i</v>
      </c>
      <c r="M5" s="70">
        <f t="shared" si="10"/>
        <v>0.80126633789168833</v>
      </c>
      <c r="N5" s="70">
        <f t="shared" si="11"/>
        <v>60.74257093951924</v>
      </c>
      <c r="O5" s="70">
        <f t="shared" si="12"/>
        <v>60.74257093951924</v>
      </c>
    </row>
    <row r="6" spans="1:18" ht="15" x14ac:dyDescent="0.25">
      <c r="A6" s="71">
        <f t="shared" si="13"/>
        <v>5</v>
      </c>
      <c r="B6" s="70">
        <f t="shared" si="14"/>
        <v>6000</v>
      </c>
      <c r="C6" s="70">
        <f t="shared" si="0"/>
        <v>215.73072950425492</v>
      </c>
      <c r="D6" s="51" t="str">
        <f t="shared" si="1"/>
        <v>0,000298500812399365-0,00143931317133526i</v>
      </c>
      <c r="E6" s="51" t="str">
        <f t="shared" si="2"/>
        <v>0,999899000101-0,100999899000101i</v>
      </c>
      <c r="F6" s="70" t="str">
        <f t="shared" si="3"/>
        <v>0,000153100178913085-0,00146931635275411i</v>
      </c>
      <c r="G6" s="70" t="str">
        <f t="shared" si="4"/>
        <v>0,0330284132841518-0,316976688652175i</v>
      </c>
      <c r="H6" s="72">
        <f t="shared" si="5"/>
        <v>0.31869279444782961</v>
      </c>
      <c r="I6" s="51" t="str">
        <f t="shared" si="6"/>
        <v>2,87686996547756-0,565269229183164i</v>
      </c>
      <c r="J6" s="73" t="str">
        <f t="shared" si="7"/>
        <v>0,823679549260716-0,381092573255344i</v>
      </c>
      <c r="K6" s="73" t="str">
        <f t="shared" si="8"/>
        <v>2,15419905131477-1,5619544819694i</v>
      </c>
      <c r="L6" s="73" t="str">
        <f t="shared" si="9"/>
        <v>-0,423953382956932-0,734419760144931i</v>
      </c>
      <c r="M6" s="70">
        <f t="shared" si="10"/>
        <v>-1.4320536336856402</v>
      </c>
      <c r="N6" s="70">
        <f t="shared" si="11"/>
        <v>60.003748564494074</v>
      </c>
      <c r="O6" s="70">
        <f t="shared" si="12"/>
        <v>60.003748564494074</v>
      </c>
    </row>
    <row r="7" spans="1:18" ht="15" x14ac:dyDescent="0.25">
      <c r="A7" s="71">
        <f t="shared" si="13"/>
        <v>6</v>
      </c>
      <c r="B7" s="70">
        <f t="shared" si="14"/>
        <v>7200</v>
      </c>
      <c r="C7" s="70">
        <f t="shared" si="0"/>
        <v>215.73072950425492</v>
      </c>
      <c r="D7" s="51" t="str">
        <f t="shared" si="1"/>
        <v>0,000297867628569747-0,00119942840246434i</v>
      </c>
      <c r="E7" s="51" t="str">
        <f t="shared" si="2"/>
        <v>0,999789654644088-0,121727636523225i</v>
      </c>
      <c r="F7" s="70" t="str">
        <f t="shared" si="3"/>
        <v>0,000151801388886589-0,00123543483069271i</v>
      </c>
      <c r="G7" s="70" t="str">
        <f t="shared" si="4"/>
        <v>0,0327482243642629-0,266521257280304i</v>
      </c>
      <c r="H7" s="72">
        <f t="shared" si="5"/>
        <v>0.26852565386064348</v>
      </c>
      <c r="I7" s="51" t="str">
        <f t="shared" si="6"/>
        <v>2,87686996547756-0,471057690985971i</v>
      </c>
      <c r="J7" s="73" t="str">
        <f t="shared" si="7"/>
        <v>0,764378316377917-0,424386740873437i</v>
      </c>
      <c r="K7" s="73" t="str">
        <f t="shared" si="8"/>
        <v>1,99910638240903-1,58097175331842i</v>
      </c>
      <c r="L7" s="73" t="str">
        <f t="shared" si="9"/>
        <v>-0,355895395079911-0,584578364167969i</v>
      </c>
      <c r="M7" s="70">
        <f t="shared" si="10"/>
        <v>-3.2938923670141356</v>
      </c>
      <c r="N7" s="70">
        <f t="shared" si="11"/>
        <v>58.666652699999617</v>
      </c>
      <c r="O7" s="70">
        <f t="shared" si="12"/>
        <v>58.666652699999617</v>
      </c>
    </row>
    <row r="8" spans="1:18" ht="15" x14ac:dyDescent="0.25">
      <c r="A8" s="71">
        <f t="shared" si="13"/>
        <v>7</v>
      </c>
      <c r="B8" s="70">
        <f t="shared" si="14"/>
        <v>8400</v>
      </c>
      <c r="C8" s="70">
        <f t="shared" si="0"/>
        <v>215.73072950425492</v>
      </c>
      <c r="D8" s="51" t="str">
        <f t="shared" si="1"/>
        <v>0,000297485838303414-0,00102808188045503i</v>
      </c>
      <c r="E8" s="51" t="str">
        <f t="shared" si="2"/>
        <v>0,999608313413218-0,142742925212006i</v>
      </c>
      <c r="F8" s="70" t="str">
        <f t="shared" si="3"/>
        <v>0,000150617902117182-0,00107014319334092i</v>
      </c>
      <c r="G8" s="70" t="str">
        <f t="shared" si="4"/>
        <v>0,0324929099001401-0,23086277177345i</v>
      </c>
      <c r="H8" s="72">
        <f t="shared" si="5"/>
        <v>0.2331381748763996</v>
      </c>
      <c r="I8" s="51" t="str">
        <f t="shared" si="6"/>
        <v>2,87686996547756-0,403763735130832i</v>
      </c>
      <c r="J8" s="73" t="str">
        <f t="shared" si="7"/>
        <v>0,704440562809291-0,456293826693087i</v>
      </c>
      <c r="K8" s="73" t="str">
        <f t="shared" si="8"/>
        <v>1,84234899782742-1,59712555826371i</v>
      </c>
      <c r="L8" s="73" t="str">
        <f t="shared" si="9"/>
        <v>-0,308853553259959-0,47722505307635i</v>
      </c>
      <c r="M8" s="70">
        <f t="shared" si="10"/>
        <v>-4.9061698226632506</v>
      </c>
      <c r="N8" s="70">
        <f t="shared" si="11"/>
        <v>57.089605921368786</v>
      </c>
      <c r="O8" s="70">
        <f t="shared" si="12"/>
        <v>57.089605921368786</v>
      </c>
    </row>
    <row r="9" spans="1:18" ht="15" x14ac:dyDescent="0.25">
      <c r="A9" s="71">
        <f t="shared" si="13"/>
        <v>8</v>
      </c>
      <c r="B9" s="70">
        <f t="shared" si="14"/>
        <v>9600</v>
      </c>
      <c r="C9" s="70">
        <f t="shared" si="0"/>
        <v>215.73072950425492</v>
      </c>
      <c r="D9" s="51" t="str">
        <f t="shared" si="1"/>
        <v>0,000297238041580266-0,000899571868375389i</v>
      </c>
      <c r="E9" s="51" t="str">
        <f t="shared" si="2"/>
        <v>0,999327874060402-0,164093246972151i</v>
      </c>
      <c r="F9" s="70" t="str">
        <f t="shared" si="3"/>
        <v>0,000149424591415763-0,00094774199815467i</v>
      </c>
      <c r="G9" s="70" t="str">
        <f t="shared" si="4"/>
        <v>0,0322354761119978-0,204457072643727i</v>
      </c>
      <c r="H9" s="72">
        <f t="shared" si="5"/>
        <v>0.20698265742377897</v>
      </c>
      <c r="I9" s="51" t="str">
        <f t="shared" si="6"/>
        <v>2,87686996547756-0,353293268239478i</v>
      </c>
      <c r="J9" s="73" t="str">
        <f t="shared" si="7"/>
        <v>0,645992825296849-0,478211349679034i</v>
      </c>
      <c r="K9" s="73" t="str">
        <f t="shared" si="8"/>
        <v>1,68948850637318-1,60397678555048i</v>
      </c>
      <c r="L9" s="73" t="str">
        <f t="shared" si="9"/>
        <v>-0,273482931773459-0,397132829633095i</v>
      </c>
      <c r="M9" s="70">
        <f t="shared" si="10"/>
        <v>-6.3356322338148754</v>
      </c>
      <c r="N9" s="70">
        <f t="shared" si="11"/>
        <v>55.447012247423643</v>
      </c>
      <c r="O9" s="70">
        <f t="shared" si="12"/>
        <v>55.447012247423643</v>
      </c>
    </row>
    <row r="10" spans="1:18" ht="15" x14ac:dyDescent="0.25">
      <c r="A10" s="71">
        <f t="shared" si="13"/>
        <v>9</v>
      </c>
      <c r="B10" s="70">
        <f t="shared" si="14"/>
        <v>10800</v>
      </c>
      <c r="C10" s="70">
        <f t="shared" si="0"/>
        <v>215.73072950425492</v>
      </c>
      <c r="D10" s="51" t="str">
        <f t="shared" si="1"/>
        <v>0,000297068152891686-0,000799619574442591i</v>
      </c>
      <c r="E10" s="51" t="str">
        <f t="shared" si="2"/>
        <v>0,99891626463625-0,185825679655359i</v>
      </c>
      <c r="F10" s="70" t="str">
        <f t="shared" si="3"/>
        <v>0,00014815635874243-0,000853955889847281i</v>
      </c>
      <c r="G10" s="70" t="str">
        <f t="shared" si="4"/>
        <v>0,0319618793521985-0,184224527081209i</v>
      </c>
      <c r="H10" s="72">
        <f t="shared" si="5"/>
        <v>0.18697657101899051</v>
      </c>
      <c r="I10" s="51" t="str">
        <f t="shared" si="6"/>
        <v>2,87686996547756-0,314038460657314i</v>
      </c>
      <c r="J10" s="73" t="str">
        <f t="shared" si="7"/>
        <v>0,590469147926302-0,491747224977924i</v>
      </c>
      <c r="K10" s="73" t="str">
        <f t="shared" si="8"/>
        <v>1,54427541564573-1,60012284442634i</v>
      </c>
      <c r="L10" s="73" t="str">
        <f t="shared" si="9"/>
        <v>-0,245423929764846-0,335636341432723i</v>
      </c>
      <c r="M10" s="70">
        <f t="shared" si="10"/>
        <v>-7.6224354235883007</v>
      </c>
      <c r="N10" s="70">
        <f t="shared" si="11"/>
        <v>53.824990379226762</v>
      </c>
      <c r="O10" s="70">
        <f t="shared" si="12"/>
        <v>53.824990379226762</v>
      </c>
    </row>
    <row r="11" spans="1:18" ht="15" x14ac:dyDescent="0.25">
      <c r="A11" s="71">
        <f t="shared" si="13"/>
        <v>10</v>
      </c>
      <c r="B11" s="70">
        <f t="shared" si="14"/>
        <v>12000</v>
      </c>
      <c r="C11" s="70">
        <f t="shared" si="0"/>
        <v>215.73072950425492</v>
      </c>
      <c r="D11" s="51" t="str">
        <f t="shared" si="1"/>
        <v>0,000296946632476669-0,000719657704477413i</v>
      </c>
      <c r="E11" s="51" t="str">
        <f t="shared" si="2"/>
        <v>0,998336106489185-0,207986688851913i</v>
      </c>
      <c r="F11" s="70" t="str">
        <f t="shared" si="3"/>
        <v>0,000146773321840807-0,000780221217547473i</v>
      </c>
      <c r="G11" s="70" t="str">
        <f t="shared" si="4"/>
        <v>0,0316635157924801-0,168317692436214i</v>
      </c>
      <c r="H11" s="72">
        <f t="shared" si="5"/>
        <v>0.17127003187771225</v>
      </c>
      <c r="I11" s="51" t="str">
        <f t="shared" si="6"/>
        <v>2,87686996547755-0,282634614591583i</v>
      </c>
      <c r="J11" s="73" t="str">
        <f t="shared" si="7"/>
        <v>0,538718358097096-0,498498634648346i</v>
      </c>
      <c r="K11" s="73" t="str">
        <f t="shared" si="8"/>
        <v>1,40892969478265-1,58637620536558i</v>
      </c>
      <c r="L11" s="73" t="str">
        <f t="shared" si="9"/>
        <v>-0,222403514581607-0,287378043062083i</v>
      </c>
      <c r="M11" s="70">
        <f t="shared" si="10"/>
        <v>-8.7926336080276339</v>
      </c>
      <c r="N11" s="70">
        <f t="shared" si="11"/>
        <v>52.263506762209445</v>
      </c>
      <c r="O11" s="70">
        <f t="shared" si="12"/>
        <v>52.263506762209445</v>
      </c>
    </row>
    <row r="12" spans="1:18" ht="15" x14ac:dyDescent="0.25">
      <c r="A12" s="71">
        <f t="shared" si="13"/>
        <v>11</v>
      </c>
      <c r="B12" s="70">
        <f t="shared" si="14"/>
        <v>13200</v>
      </c>
      <c r="C12" s="70">
        <f t="shared" si="0"/>
        <v>215.73072950425492</v>
      </c>
      <c r="D12" s="51" t="str">
        <f t="shared" si="1"/>
        <v>0,000296856721093606-0,00065423433563823i</v>
      </c>
      <c r="E12" s="51" t="str">
        <f t="shared" si="2"/>
        <v>0,997544338518663-0,230621852116547i</v>
      </c>
      <c r="F12" s="70" t="str">
        <f t="shared" si="3"/>
        <v>0,000145247007275013-0,000721089404412288i</v>
      </c>
      <c r="G12" s="70" t="str">
        <f t="shared" si="4"/>
        <v>0,0313342428377484-0,155561143251652i</v>
      </c>
      <c r="H12" s="72">
        <f t="shared" si="5"/>
        <v>0.15868555089854899</v>
      </c>
      <c r="I12" s="51" t="str">
        <f t="shared" si="6"/>
        <v>2,87686996547756-0,256940558719621i</v>
      </c>
      <c r="J12" s="73" t="str">
        <f t="shared" si="7"/>
        <v>0,49114186560104-0,499921527297005i</v>
      </c>
      <c r="K12" s="73" t="str">
        <f t="shared" si="8"/>
        <v>1,28450116539659-1,56440349233455i</v>
      </c>
      <c r="L12" s="73" t="str">
        <f t="shared" si="9"/>
        <v>-0,203111524332532-0,248837868722205i</v>
      </c>
      <c r="M12" s="70">
        <f t="shared" si="10"/>
        <v>-9.8642730624215726</v>
      </c>
      <c r="N12" s="70">
        <f t="shared" si="11"/>
        <v>50.777287082043642</v>
      </c>
      <c r="O12" s="70">
        <f t="shared" si="12"/>
        <v>50.777287082043642</v>
      </c>
    </row>
    <row r="13" spans="1:18" ht="15" x14ac:dyDescent="0.25">
      <c r="A13" s="71">
        <f t="shared" si="13"/>
        <v>12</v>
      </c>
      <c r="B13" s="70">
        <f t="shared" si="14"/>
        <v>14400</v>
      </c>
      <c r="C13" s="70">
        <f t="shared" si="0"/>
        <v>215.73072950425492</v>
      </c>
      <c r="D13" s="51" t="str">
        <f t="shared" si="1"/>
        <v>0,000296788336102273-0,000599714848692048i</v>
      </c>
      <c r="E13" s="51" t="str">
        <f t="shared" si="2"/>
        <v>0,996491807450037-0,253775502746189i</v>
      </c>
      <c r="F13" s="70" t="str">
        <f t="shared" si="3"/>
        <v>0,000143554208241464-0,000672928542731323i</v>
      </c>
      <c r="G13" s="70" t="str">
        <f t="shared" si="4"/>
        <v>0,0309690540673368-0,145171365427664i</v>
      </c>
      <c r="H13" s="72">
        <f t="shared" si="5"/>
        <v>0.1484378915572368</v>
      </c>
      <c r="I13" s="51" t="str">
        <f t="shared" si="6"/>
        <v>2,87686996547756-0,235528845492986i</v>
      </c>
      <c r="J13" s="73" t="str">
        <f t="shared" si="7"/>
        <v>0,447825864141977-0,497270408879785i</v>
      </c>
      <c r="K13" s="73" t="str">
        <f t="shared" si="8"/>
        <v>1,17121525301281-1,53605821279026i</v>
      </c>
      <c r="L13" s="73" t="str">
        <f t="shared" si="9"/>
        <v>-0,186720239632096-0,217597187332055i</v>
      </c>
      <c r="M13" s="70">
        <f t="shared" si="10"/>
        <v>-10.850595893038367</v>
      </c>
      <c r="N13" s="70">
        <f t="shared" si="11"/>
        <v>49.367092382764611</v>
      </c>
      <c r="O13" s="70">
        <f t="shared" si="12"/>
        <v>49.367092382764611</v>
      </c>
    </row>
    <row r="14" spans="1:18" ht="15" x14ac:dyDescent="0.25">
      <c r="A14" s="71">
        <f t="shared" si="13"/>
        <v>13</v>
      </c>
      <c r="B14" s="70">
        <f t="shared" si="14"/>
        <v>15600</v>
      </c>
      <c r="C14" s="70">
        <f t="shared" si="0"/>
        <v>215.73072950425492</v>
      </c>
      <c r="D14" s="51" t="str">
        <f t="shared" si="1"/>
        <v>0,000296735116492303-0,00055358296672441i</v>
      </c>
      <c r="E14" s="51" t="str">
        <f t="shared" si="2"/>
        <v>0,99512283085849-0,277490278875169i</v>
      </c>
      <c r="F14" s="70" t="str">
        <f t="shared" si="3"/>
        <v>0,000141673997322044-0,000633224159189341i</v>
      </c>
      <c r="G14" s="70" t="str">
        <f t="shared" si="4"/>
        <v>0,0305634347940684-0,136605909801635i</v>
      </c>
      <c r="H14" s="72">
        <f t="shared" si="5"/>
        <v>0.13998320663259473</v>
      </c>
      <c r="I14" s="51" t="str">
        <f t="shared" si="6"/>
        <v>2,87686996547756-0,217411241993525i</v>
      </c>
      <c r="J14" s="73" t="str">
        <f t="shared" si="7"/>
        <v>0,408651111635903-0,491584560980757i</v>
      </c>
      <c r="K14" s="73" t="str">
        <f t="shared" si="8"/>
        <v>1,06876009947668-1,50307020470081i</v>
      </c>
      <c r="L14" s="73" t="str">
        <f t="shared" si="9"/>
        <v>-0,172663293198026-0,191937933940978i</v>
      </c>
      <c r="M14" s="70">
        <f t="shared" si="10"/>
        <v>-11.761817104943656</v>
      </c>
      <c r="N14" s="70">
        <f t="shared" si="11"/>
        <v>48.026123946388253</v>
      </c>
      <c r="O14" s="70">
        <f t="shared" si="12"/>
        <v>48.026123946388253</v>
      </c>
    </row>
    <row r="15" spans="1:18" ht="15" x14ac:dyDescent="0.25">
      <c r="A15" s="71">
        <f t="shared" si="13"/>
        <v>14</v>
      </c>
      <c r="B15" s="70">
        <f t="shared" si="14"/>
        <v>16800</v>
      </c>
      <c r="C15" s="70">
        <f t="shared" si="0"/>
        <v>215.73072950425492</v>
      </c>
      <c r="D15" s="51" t="str">
        <f t="shared" si="1"/>
        <v>0,000296692888356934-0,000514041347957546i</v>
      </c>
      <c r="E15" s="51" t="str">
        <f t="shared" si="2"/>
        <v>0,993374742343426-0,301806562343923i</v>
      </c>
      <c r="F15" s="70" t="str">
        <f t="shared" si="3"/>
        <v>0,000139586169396993-0,00060017955228809i</v>
      </c>
      <c r="G15" s="70" t="str">
        <f t="shared" si="4"/>
        <v>0,0301130261527178-0,129477172648647i</v>
      </c>
      <c r="H15" s="72">
        <f t="shared" si="5"/>
        <v>0.13293281228185092</v>
      </c>
      <c r="I15" s="51" t="str">
        <f t="shared" si="6"/>
        <v>2,87686996547756-0,201881867565416i</v>
      </c>
      <c r="J15" s="73" t="str">
        <f t="shared" si="7"/>
        <v>0,37337608562548-0,483700717705147i</v>
      </c>
      <c r="K15" s="73" t="str">
        <f t="shared" si="8"/>
        <v>0,976504042330474-1,46692192851621i</v>
      </c>
      <c r="L15" s="73" t="str">
        <f t="shared" si="9"/>
        <v>-0,160527412035647-0,170608440878328i</v>
      </c>
      <c r="M15" s="70">
        <f t="shared" si="10"/>
        <v>-12.606152565864207</v>
      </c>
      <c r="N15" s="70">
        <f t="shared" si="11"/>
        <v>46.743761828468877</v>
      </c>
      <c r="O15" s="70">
        <f t="shared" si="12"/>
        <v>46.743761828468877</v>
      </c>
    </row>
    <row r="16" spans="1:18" ht="15" x14ac:dyDescent="0.25">
      <c r="A16" s="71">
        <f t="shared" si="13"/>
        <v>15</v>
      </c>
      <c r="B16" s="70">
        <f t="shared" si="14"/>
        <v>18000</v>
      </c>
      <c r="C16" s="70">
        <f t="shared" si="0"/>
        <v>215.73072950425492</v>
      </c>
      <c r="D16" s="51" t="str">
        <f t="shared" si="1"/>
        <v>0,00029665882084957-0,000479771941109861i</v>
      </c>
      <c r="E16" s="51" t="str">
        <f t="shared" si="2"/>
        <v>0,991177431652325-0,326761790654613i</v>
      </c>
      <c r="F16" s="70" t="str">
        <f t="shared" si="3"/>
        <v>0,000137270389543786-0,000572475887882414i</v>
      </c>
      <c r="G16" s="70" t="str">
        <f t="shared" si="4"/>
        <v>0,0296134412756142-0,123500640916469i</v>
      </c>
      <c r="H16" s="72">
        <f t="shared" si="5"/>
        <v>0.12700143389333393</v>
      </c>
      <c r="I16" s="51" t="str">
        <f t="shared" si="6"/>
        <v>2,87686996547756-0,188423076394388i</v>
      </c>
      <c r="J16" s="73" t="str">
        <f t="shared" si="7"/>
        <v>0,341695837122835-0,474278179991195i</v>
      </c>
      <c r="K16" s="73" t="str">
        <f t="shared" si="8"/>
        <v>0,893649537406724-1,42882003211987i</v>
      </c>
      <c r="L16" s="73" t="str">
        <f t="shared" si="9"/>
        <v>-0,14999615162412-0,152678568739039i</v>
      </c>
      <c r="M16" s="70">
        <f t="shared" si="10"/>
        <v>-13.390435870830331</v>
      </c>
      <c r="N16" s="70">
        <f t="shared" si="11"/>
        <v>45.507763436144643</v>
      </c>
      <c r="O16" s="70">
        <f t="shared" si="12"/>
        <v>45.507763436144643</v>
      </c>
    </row>
    <row r="17" spans="1:18" ht="15" x14ac:dyDescent="0.25">
      <c r="A17" s="71">
        <f t="shared" si="13"/>
        <v>16</v>
      </c>
      <c r="B17" s="70">
        <f t="shared" si="14"/>
        <v>19200</v>
      </c>
      <c r="C17" s="70">
        <f t="shared" si="0"/>
        <v>215.73072950425492</v>
      </c>
      <c r="D17" s="51" t="str">
        <f t="shared" si="1"/>
        <v>0,00029663093908939-0,000449786207335047i</v>
      </c>
      <c r="E17" s="51" t="str">
        <f t="shared" si="2"/>
        <v>0,98845289678367-0,352389624521807i</v>
      </c>
      <c r="F17" s="70" t="str">
        <f t="shared" si="3"/>
        <v>0,000134705718300683-0,000549122144820929i</v>
      </c>
      <c r="G17" s="70" t="str">
        <f t="shared" si="4"/>
        <v>0,029060162877401-0,11846252088916i</v>
      </c>
      <c r="H17" s="72">
        <f t="shared" si="5"/>
        <v>0.12197484134802448</v>
      </c>
      <c r="I17" s="51" t="str">
        <f t="shared" si="6"/>
        <v>2,87686996547756-0,176646634119739i</v>
      </c>
      <c r="J17" s="73" t="str">
        <f t="shared" si="7"/>
        <v>0,313281320172368-0,463827699262804i</v>
      </c>
      <c r="K17" s="73" t="str">
        <f t="shared" si="8"/>
        <v>0,819336018862768-1,38971206790676i</v>
      </c>
      <c r="L17" s="73" t="str">
        <f t="shared" si="9"/>
        <v>-0,140818756714849-0,137445869295832i</v>
      </c>
      <c r="M17" s="70">
        <f t="shared" si="10"/>
        <v>-14.120501912446482</v>
      </c>
      <c r="N17" s="70">
        <f t="shared" si="11"/>
        <v>44.305543240855059</v>
      </c>
      <c r="O17" s="70">
        <f t="shared" si="12"/>
        <v>44.305543240855059</v>
      </c>
    </row>
    <row r="18" spans="1:18" ht="15" x14ac:dyDescent="0.25">
      <c r="A18" s="71">
        <f t="shared" si="13"/>
        <v>17</v>
      </c>
      <c r="B18" s="70">
        <f t="shared" si="14"/>
        <v>20400</v>
      </c>
      <c r="C18" s="70">
        <f t="shared" si="0"/>
        <v>215.73072950425492</v>
      </c>
      <c r="D18" s="51" t="str">
        <f t="shared" si="1"/>
        <v>0,000296607831367558-0,000423328204923921i</v>
      </c>
      <c r="E18" s="51" t="str">
        <f t="shared" si="2"/>
        <v>0,985114830259947-0,378718953288537i</v>
      </c>
      <c r="F18" s="70" t="str">
        <f t="shared" si="3"/>
        <v>0,00013187035878512-0,000529357900170581i</v>
      </c>
      <c r="G18" s="70" t="str">
        <f t="shared" si="4"/>
        <v>0,0284484887007018-0,11419876597264i</v>
      </c>
      <c r="H18" s="72">
        <f t="shared" si="5"/>
        <v>0.11768888927603895</v>
      </c>
      <c r="I18" s="51" t="str">
        <f t="shared" si="6"/>
        <v>2,87686996547756-0,166255655642107i</v>
      </c>
      <c r="J18" s="73" t="str">
        <f t="shared" si="7"/>
        <v>0,287804220078548-0,452739385279795i</v>
      </c>
      <c r="K18" s="73" t="str">
        <f t="shared" si="8"/>
        <v>0,752704833346972-1,35032141900594i</v>
      </c>
      <c r="L18" s="73" t="str">
        <f t="shared" si="9"/>
        <v>-0,132791724770468-0,124372566740772i</v>
      </c>
      <c r="M18" s="70">
        <f t="shared" si="10"/>
        <v>-14.801434365543463</v>
      </c>
      <c r="N18" s="70">
        <f t="shared" si="11"/>
        <v>43.124895217419663</v>
      </c>
      <c r="O18" s="70">
        <f t="shared" si="12"/>
        <v>43.124895217419663</v>
      </c>
    </row>
    <row r="19" spans="1:18" ht="15" x14ac:dyDescent="0.25">
      <c r="A19" s="71">
        <f t="shared" si="13"/>
        <v>18</v>
      </c>
      <c r="B19" s="70">
        <f t="shared" si="14"/>
        <v>21600</v>
      </c>
      <c r="C19" s="70">
        <f t="shared" si="0"/>
        <v>215.73072950425492</v>
      </c>
      <c r="D19" s="51" t="str">
        <f t="shared" si="1"/>
        <v>0,000296588466871072-0,000399809979061451i</v>
      </c>
      <c r="E19" s="51" t="str">
        <f t="shared" si="2"/>
        <v>0,981068267923973-0,405772721108261i</v>
      </c>
      <c r="F19" s="70" t="str">
        <f t="shared" si="3"/>
        <v>0,000128741550349427-0,00051258839290814i</v>
      </c>
      <c r="G19" s="70" t="str">
        <f t="shared" si="4"/>
        <v>0,0277735085743907-0,110581067937487i</v>
      </c>
      <c r="H19" s="72">
        <f t="shared" si="5"/>
        <v>0.11401552685808573</v>
      </c>
      <c r="I19" s="51" t="str">
        <f t="shared" si="6"/>
        <v>2,87686996547756-0,157019230328657i</v>
      </c>
      <c r="J19" s="73" t="str">
        <f t="shared" si="7"/>
        <v>0,264951593003402-0,441307428408316i</v>
      </c>
      <c r="K19" s="73" t="str">
        <f t="shared" si="8"/>
        <v>0,692937527469929-1,31118658153777i</v>
      </c>
      <c r="L19" s="73" t="str">
        <f t="shared" si="9"/>
        <v>-0,125747106091046-0,113042023566552i</v>
      </c>
      <c r="M19" s="70">
        <f t="shared" si="10"/>
        <v>-15.437731793125529</v>
      </c>
      <c r="N19" s="70">
        <f t="shared" si="11"/>
        <v>41.954376211717857</v>
      </c>
      <c r="O19" s="70">
        <f t="shared" si="12"/>
        <v>41.954376211717857</v>
      </c>
    </row>
    <row r="20" spans="1:18" ht="15" x14ac:dyDescent="0.25">
      <c r="A20" s="71">
        <f t="shared" si="13"/>
        <v>19</v>
      </c>
      <c r="B20" s="70">
        <f t="shared" si="14"/>
        <v>22800</v>
      </c>
      <c r="C20" s="70">
        <f t="shared" si="0"/>
        <v>215.73072950425492</v>
      </c>
      <c r="D20" s="51" t="str">
        <f t="shared" si="1"/>
        <v>0,000296572078697878-0,000378767354793679i</v>
      </c>
      <c r="E20" s="51" t="str">
        <f t="shared" si="2"/>
        <v>0,976209335792462-0,433566558673604i</v>
      </c>
      <c r="F20" s="70" t="str">
        <f t="shared" si="3"/>
        <v>0,000125295573404446-0,000498339963402721i</v>
      </c>
      <c r="G20" s="70" t="str">
        <f t="shared" si="4"/>
        <v>0,0270301054541951-0,107507243845993i</v>
      </c>
      <c r="H20" s="72">
        <f t="shared" si="5"/>
        <v>0.11085320960724009</v>
      </c>
      <c r="I20" s="51" t="str">
        <f t="shared" si="6"/>
        <v>2,87686996547757-0,148755060311359i</v>
      </c>
      <c r="J20" s="73" t="str">
        <f t="shared" si="7"/>
        <v>0,244433657478126-0,429750909911768i</v>
      </c>
      <c r="K20" s="73" t="str">
        <f t="shared" si="8"/>
        <v>0,639276225227866-1,27269822882211i</v>
      </c>
      <c r="L20" s="73" t="str">
        <f t="shared" si="9"/>
        <v>-0,119544575046073-0,103127992366947i</v>
      </c>
      <c r="M20" s="70">
        <f t="shared" si="10"/>
        <v>-16.033423873655611</v>
      </c>
      <c r="N20" s="70">
        <f t="shared" si="11"/>
        <v>40.783484846128857</v>
      </c>
      <c r="O20" s="70">
        <f t="shared" si="12"/>
        <v>40.783484846128857</v>
      </c>
    </row>
    <row r="21" spans="1:18" ht="15" x14ac:dyDescent="0.25">
      <c r="A21" s="71">
        <f t="shared" si="13"/>
        <v>20</v>
      </c>
      <c r="B21" s="70">
        <f t="shared" si="14"/>
        <v>24000</v>
      </c>
      <c r="C21" s="70">
        <f t="shared" si="0"/>
        <v>215.73072950425492</v>
      </c>
      <c r="D21" s="51" t="str">
        <f t="shared" si="1"/>
        <v>0,000296558086740933-0,000359828992090201i</v>
      </c>
      <c r="E21" s="51" t="str">
        <f t="shared" si="2"/>
        <v>0,970425138632163-0,462107208872458i</v>
      </c>
      <c r="F21" s="70" t="str">
        <f t="shared" si="3"/>
        <v>0,000121507851231866-0,000486228729265414i</v>
      </c>
      <c r="G21" s="70" t="str">
        <f t="shared" si="4"/>
        <v>0,0262129773867449-0,104894478470355i</v>
      </c>
      <c r="H21" s="72">
        <f t="shared" si="5"/>
        <v>0.1081201729421747</v>
      </c>
      <c r="I21" s="51" t="str">
        <f t="shared" si="6"/>
        <v>2,87686996547757-0,141317307295791i</v>
      </c>
      <c r="J21" s="73" t="str">
        <f t="shared" si="7"/>
        <v>0,225987165644568-0,418230757606973i</v>
      </c>
      <c r="K21" s="73" t="str">
        <f t="shared" si="8"/>
        <v>0,591032444932966-1,23513140293073i</v>
      </c>
      <c r="L21" s="73" t="str">
        <f t="shared" si="9"/>
        <v>-0,114065744238916-0,094372511604984i</v>
      </c>
      <c r="M21" s="70">
        <f t="shared" si="10"/>
        <v>-16.592156237209743</v>
      </c>
      <c r="N21" s="70">
        <f t="shared" si="11"/>
        <v>39.602720019619795</v>
      </c>
      <c r="O21" s="70">
        <f t="shared" si="12"/>
        <v>39.602720019619795</v>
      </c>
    </row>
    <row r="22" spans="1:18" ht="15" x14ac:dyDescent="0.25">
      <c r="A22" s="71">
        <f t="shared" si="13"/>
        <v>21</v>
      </c>
      <c r="B22" s="70">
        <f t="shared" si="14"/>
        <v>25200</v>
      </c>
      <c r="C22" s="70">
        <f t="shared" si="0"/>
        <v>215.73072950425492</v>
      </c>
      <c r="D22" s="51" t="str">
        <f t="shared" si="1"/>
        <v>0,000296546045636211-0,000342694282308786i</v>
      </c>
      <c r="E22" s="51" t="str">
        <f t="shared" si="2"/>
        <v>0,963593842808501-0,491390740625996i</v>
      </c>
      <c r="F22" s="70" t="str">
        <f t="shared" si="3"/>
        <v>0,000117353146492253-0,000475938081393313i</v>
      </c>
      <c r="G22" s="70" t="str">
        <f t="shared" si="4"/>
        <v>0,0253166799023934-0,102674469497835i</v>
      </c>
      <c r="H22" s="72">
        <f t="shared" si="5"/>
        <v>0.10574961450493378</v>
      </c>
      <c r="I22" s="51" t="str">
        <f t="shared" si="6"/>
        <v>2,87686996547757-0,134587911710278i</v>
      </c>
      <c r="J22" s="73" t="str">
        <f t="shared" si="7"/>
        <v>0,209376041920161-0,406863263259302i</v>
      </c>
      <c r="K22" s="73" t="str">
        <f t="shared" si="8"/>
        <v>0,547588769536985-1,19867218637108i</v>
      </c>
      <c r="L22" s="73" t="str">
        <f t="shared" si="9"/>
        <v>-0,109209901240947-0,0865697864654408i</v>
      </c>
      <c r="M22" s="70">
        <f t="shared" si="10"/>
        <v>-17.117254944452604</v>
      </c>
      <c r="N22" s="70">
        <f t="shared" si="11"/>
        <v>38.403571749059438</v>
      </c>
      <c r="O22" s="70">
        <f t="shared" si="12"/>
        <v>38.403571749059438</v>
      </c>
    </row>
    <row r="23" spans="1:18" ht="15" x14ac:dyDescent="0.25">
      <c r="A23" s="71">
        <f t="shared" si="13"/>
        <v>22</v>
      </c>
      <c r="B23" s="70">
        <f t="shared" si="14"/>
        <v>26400</v>
      </c>
      <c r="C23" s="70">
        <f t="shared" si="0"/>
        <v>215.73072950425492</v>
      </c>
      <c r="D23" s="51" t="str">
        <f t="shared" si="1"/>
        <v>0,000296535608879212-0,000327117272891625i</v>
      </c>
      <c r="E23" s="51" t="str">
        <f t="shared" si="2"/>
        <v>0,95558501521352-0,521400553935948i</v>
      </c>
      <c r="F23" s="70" t="str">
        <f t="shared" si="3"/>
        <v>0,000112805857034482-0,000467202194924103i</v>
      </c>
      <c r="G23" s="70" t="str">
        <f t="shared" si="4"/>
        <v>0,0243356898304015-0,100789870336966i</v>
      </c>
      <c r="H23" s="72">
        <f t="shared" si="5"/>
        <v>0.10368617922396373</v>
      </c>
      <c r="I23" s="51" t="str">
        <f t="shared" si="6"/>
        <v>2,87686996547755-0,12847027935981i</v>
      </c>
      <c r="J23" s="73" t="str">
        <f t="shared" si="7"/>
        <v>0,194390422454844-0,395730698976805i</v>
      </c>
      <c r="K23" s="73" t="str">
        <f t="shared" si="8"/>
        <v>0,50839633448803-1,16343915418145i</v>
      </c>
      <c r="L23" s="73" t="str">
        <f t="shared" si="9"/>
        <v>-0,104890705987884-0,0795542950255418i</v>
      </c>
      <c r="M23" s="70">
        <f t="shared" si="10"/>
        <v>-17.611777294228336</v>
      </c>
      <c r="N23" s="70">
        <f t="shared" si="11"/>
        <v>37.178477411081502</v>
      </c>
      <c r="O23" s="70">
        <f t="shared" si="12"/>
        <v>37.178477411081502</v>
      </c>
    </row>
    <row r="24" spans="1:18" ht="15" x14ac:dyDescent="0.25">
      <c r="A24" s="71">
        <f t="shared" si="13"/>
        <v>23</v>
      </c>
      <c r="B24" s="70">
        <f t="shared" si="14"/>
        <v>27600</v>
      </c>
      <c r="C24" s="70">
        <f t="shared" si="0"/>
        <v>215.73072950425492</v>
      </c>
      <c r="D24" s="51" t="str">
        <f t="shared" si="1"/>
        <v>0,000296526503614925-0,000312894785615736i</v>
      </c>
      <c r="E24" s="51" t="str">
        <f t="shared" si="2"/>
        <v>0,946260289080358-0,552105191497926i</v>
      </c>
      <c r="F24" s="70" t="str">
        <f t="shared" si="3"/>
        <v>0,000107840419499568-0,000459793732351012i</v>
      </c>
      <c r="G24" s="70" t="str">
        <f t="shared" si="4"/>
        <v>0,0232644923686867-0,099191637301568i</v>
      </c>
      <c r="H24" s="72">
        <f t="shared" si="5"/>
        <v>0.10188335249557946</v>
      </c>
      <c r="I24" s="51" t="str">
        <f t="shared" si="6"/>
        <v>2,87686996547755-0,122884615039819i</v>
      </c>
      <c r="J24" s="73" t="str">
        <f t="shared" si="7"/>
        <v>0,180844833899561-0,38488956851466i</v>
      </c>
      <c r="K24" s="73" t="str">
        <f t="shared" si="8"/>
        <v>0,472970064597657-1,12950028748113i</v>
      </c>
      <c r="L24" s="73" t="str">
        <f t="shared" si="9"/>
        <v>-0,101033574389396-0,0731919259206042i</v>
      </c>
      <c r="M24" s="70">
        <f t="shared" si="10"/>
        <v>-18.078553065693882</v>
      </c>
      <c r="N24" s="70">
        <f t="shared" si="11"/>
        <v>35.920763947917521</v>
      </c>
      <c r="O24" s="70">
        <f t="shared" si="12"/>
        <v>35.920763947917521</v>
      </c>
    </row>
    <row r="25" spans="1:18" ht="15" x14ac:dyDescent="0.25">
      <c r="A25" s="71">
        <f t="shared" si="13"/>
        <v>24</v>
      </c>
      <c r="B25" s="70">
        <f t="shared" si="14"/>
        <v>28800</v>
      </c>
      <c r="C25" s="70">
        <f t="shared" si="0"/>
        <v>215.73072950425492</v>
      </c>
      <c r="D25" s="51" t="str">
        <f t="shared" si="1"/>
        <v>0,000296518512621272-0,000299857505278617i</v>
      </c>
      <c r="E25" s="51" t="str">
        <f t="shared" si="2"/>
        <v>0,935474435292397-0,583455988747857i</v>
      </c>
      <c r="F25" s="70" t="str">
        <f t="shared" si="3"/>
        <v>0,000102431830922325-0,000453514532382189i</v>
      </c>
      <c r="G25" s="70" t="str">
        <f t="shared" si="4"/>
        <v>0,0220976936093297-0,0978370209115907i</v>
      </c>
      <c r="H25" s="72">
        <f t="shared" si="5"/>
        <v>0.10030149910996768</v>
      </c>
      <c r="I25" s="51" t="str">
        <f t="shared" si="6"/>
        <v>2,87686996547756-0,117764422746493i</v>
      </c>
      <c r="J25" s="73" t="str">
        <f t="shared" si="7"/>
        <v>0,168575978454076-0,374376973039645i</v>
      </c>
      <c r="K25" s="73" t="str">
        <f t="shared" si="8"/>
        <v>0,44088288119593-1,09688612229573i</v>
      </c>
      <c r="L25" s="73" t="str">
        <f t="shared" si="9"/>
        <v>-0,0975735756584148-0,0673733211219454i</v>
      </c>
      <c r="M25" s="70">
        <f t="shared" si="10"/>
        <v>-18.520218744007671</v>
      </c>
      <c r="N25" s="70">
        <f t="shared" si="11"/>
        <v>34.624588619840182</v>
      </c>
      <c r="O25" s="70">
        <f t="shared" si="12"/>
        <v>34.624588619840182</v>
      </c>
      <c r="P25" s="70">
        <v>-9.1029999999999998</v>
      </c>
      <c r="Q25" s="70">
        <v>72.905000000000001</v>
      </c>
      <c r="R25" s="70">
        <f>B25</f>
        <v>28800</v>
      </c>
    </row>
    <row r="26" spans="1:18" ht="15" x14ac:dyDescent="0.25">
      <c r="A26" s="71">
        <f t="shared" si="13"/>
        <v>25</v>
      </c>
      <c r="B26" s="70">
        <f t="shared" si="14"/>
        <v>30000</v>
      </c>
      <c r="C26" s="70">
        <f t="shared" si="0"/>
        <v>215.73072950425492</v>
      </c>
      <c r="D26" s="51" t="str">
        <f t="shared" si="1"/>
        <v>0,00029651146123235-0,00028786320709791i</v>
      </c>
      <c r="E26" s="51" t="str">
        <f t="shared" si="2"/>
        <v>0,923076923076923-0,615384615384615i</v>
      </c>
      <c r="F26" s="70" t="str">
        <f t="shared" si="3"/>
        <v>0,0000965562983080708-0,000448188475002594i</v>
      </c>
      <c r="G26" s="70" t="str">
        <f t="shared" si="4"/>
        <v>0,0208301606722306-0,0966880266677091i</v>
      </c>
      <c r="H26" s="72">
        <f t="shared" si="5"/>
        <v>9.8906370343505023E-2</v>
      </c>
      <c r="I26" s="51" t="str">
        <f t="shared" si="6"/>
        <v>2,87686996547756-0,113053845836633i</v>
      </c>
      <c r="J26" s="73" t="str">
        <f t="shared" si="7"/>
        <v>0,157440410367386-0,364215496033235i</v>
      </c>
      <c r="K26" s="73" t="str">
        <f t="shared" si="8"/>
        <v>0,41175962539854-1,06559986538166i</v>
      </c>
      <c r="L26" s="73" t="str">
        <f t="shared" si="9"/>
        <v>-0,0944537290457401-0,0620088420494272i</v>
      </c>
      <c r="M26" s="70">
        <f t="shared" si="10"/>
        <v>-18.939246321710552</v>
      </c>
      <c r="N26" s="70">
        <f t="shared" si="11"/>
        <v>33.28488576169994</v>
      </c>
      <c r="O26" s="70">
        <f t="shared" si="12"/>
        <v>33.28488576169994</v>
      </c>
    </row>
    <row r="27" spans="1:18" ht="15" x14ac:dyDescent="0.25">
      <c r="A27" s="71">
        <f t="shared" si="13"/>
        <v>26</v>
      </c>
      <c r="B27" s="70">
        <f t="shared" si="14"/>
        <v>31200</v>
      </c>
      <c r="C27" s="70">
        <f t="shared" si="0"/>
        <v>215.73072950425492</v>
      </c>
      <c r="D27" s="51" t="str">
        <f t="shared" si="1"/>
        <v>0,000296505207712128-0,000276791547017887i</v>
      </c>
      <c r="E27" s="51" t="str">
        <f t="shared" si="2"/>
        <v>0,908914055000462-0,647800587445505i</v>
      </c>
      <c r="F27" s="70" t="str">
        <f t="shared" si="3"/>
        <v>0,0000901920239122472-0,000443655975126447i</v>
      </c>
      <c r="G27" s="70" t="str">
        <f t="shared" si="4"/>
        <v>0,0194571911140543-0,09571022716295i</v>
      </c>
      <c r="H27" s="72">
        <f t="shared" si="5"/>
        <v>9.7667957230774122E-2</v>
      </c>
      <c r="I27" s="51" t="str">
        <f t="shared" si="6"/>
        <v>2,87686996547756-0,108705620996763i</v>
      </c>
      <c r="J27" s="73" t="str">
        <f t="shared" si="7"/>
        <v>0,147312270113636-0,354416936936714i</v>
      </c>
      <c r="K27" s="73" t="str">
        <f t="shared" si="8"/>
        <v>0,385271132214761-1,03562511293293i</v>
      </c>
      <c r="L27" s="73" t="str">
        <f t="shared" si="9"/>
        <v>-0,0916236207642358-0,0570247433284518i</v>
      </c>
      <c r="M27" s="70">
        <f t="shared" si="10"/>
        <v>-19.337967667893189</v>
      </c>
      <c r="N27" s="70">
        <f t="shared" si="11"/>
        <v>31.897323683225579</v>
      </c>
      <c r="O27" s="70">
        <f t="shared" si="12"/>
        <v>31.897323683225579</v>
      </c>
    </row>
    <row r="28" spans="1:18" ht="15" x14ac:dyDescent="0.25">
      <c r="A28" s="71">
        <f t="shared" si="13"/>
        <v>27</v>
      </c>
      <c r="B28" s="70">
        <f t="shared" si="14"/>
        <v>32400.000000000004</v>
      </c>
      <c r="C28" s="70">
        <f t="shared" si="0"/>
        <v>215.73072950425492</v>
      </c>
      <c r="D28" s="51" t="str">
        <f t="shared" si="1"/>
        <v>0,000296499636075997-0,000266540009724951i</v>
      </c>
      <c r="E28" s="51" t="str">
        <f t="shared" si="2"/>
        <v>0,89283175581238-0,680588859597241i</v>
      </c>
      <c r="F28" s="70" t="str">
        <f t="shared" si="3"/>
        <v>0,0000833201294197221-0,000439769734064937i</v>
      </c>
      <c r="G28" s="70" t="str">
        <f t="shared" si="4"/>
        <v>0,0179747123021056-0,0948718455437211i</v>
      </c>
      <c r="H28" s="72">
        <f t="shared" si="5"/>
        <v>9.655960521468146E-2</v>
      </c>
      <c r="I28" s="51" t="str">
        <f t="shared" si="6"/>
        <v>2,87686996547756-0,104679486885771i</v>
      </c>
      <c r="J28" s="73" t="str">
        <f t="shared" si="7"/>
        <v>0,138081166324542-0,344985155957465i</v>
      </c>
      <c r="K28" s="73" t="str">
        <f t="shared" si="8"/>
        <v>0,361128691088351-1,00693169934906i</v>
      </c>
      <c r="L28" s="73" t="str">
        <f t="shared" si="9"/>
        <v>-0,0890382843273716-0,0523602530060099i</v>
      </c>
      <c r="M28" s="70">
        <f t="shared" si="10"/>
        <v>-19.718595072862819</v>
      </c>
      <c r="N28" s="70">
        <f t="shared" si="11"/>
        <v>30.458273671101296</v>
      </c>
      <c r="O28" s="70">
        <f t="shared" si="12"/>
        <v>30.458273671101296</v>
      </c>
    </row>
    <row r="29" spans="1:18" ht="15" x14ac:dyDescent="0.25">
      <c r="A29" s="71">
        <f t="shared" si="13"/>
        <v>28</v>
      </c>
      <c r="B29" s="70">
        <f t="shared" si="14"/>
        <v>33600</v>
      </c>
      <c r="C29" s="70">
        <f t="shared" si="0"/>
        <v>215.73072950425492</v>
      </c>
      <c r="D29" s="51" t="str">
        <f t="shared" si="1"/>
        <v>0,000296494650673766-0,000257020724945077i</v>
      </c>
      <c r="E29" s="51" t="str">
        <f t="shared" si="2"/>
        <v>0,874679080449271-0,713607641392179i</v>
      </c>
      <c r="F29" s="70" t="str">
        <f t="shared" si="3"/>
        <v>0,0000759257150924931-0,000436391499704069i</v>
      </c>
      <c r="G29" s="70" t="str">
        <f t="shared" si="4"/>
        <v>0,0163795099050358-0,0941430565806146i</v>
      </c>
      <c r="H29" s="72">
        <f t="shared" si="5"/>
        <v>9.5557330682004546E-2</v>
      </c>
      <c r="I29" s="51" t="str">
        <f t="shared" si="6"/>
        <v>2,87686996547756-0,100940933782708i</v>
      </c>
      <c r="J29" s="73" t="str">
        <f t="shared" si="7"/>
        <v>0,129650247972678-0,335918235845125i</v>
      </c>
      <c r="K29" s="73" t="str">
        <f t="shared" si="8"/>
        <v>0,339079004008468-0,979480100654569i</v>
      </c>
      <c r="L29" s="73" t="str">
        <f t="shared" si="9"/>
        <v>-0,0866573026307628-0,0479653378701246i</v>
      </c>
      <c r="M29" s="70">
        <f t="shared" si="10"/>
        <v>-20.083238325206342</v>
      </c>
      <c r="N29" s="70">
        <f t="shared" si="11"/>
        <v>28.964791572329233</v>
      </c>
      <c r="O29" s="70">
        <f t="shared" si="12"/>
        <v>28.964791572329233</v>
      </c>
    </row>
    <row r="30" spans="1:18" ht="15" x14ac:dyDescent="0.25">
      <c r="A30" s="71">
        <f t="shared" si="13"/>
        <v>29</v>
      </c>
      <c r="B30" s="70">
        <f t="shared" si="14"/>
        <v>34800</v>
      </c>
      <c r="C30" s="70">
        <f t="shared" si="0"/>
        <v>215.73072950425492</v>
      </c>
      <c r="D30" s="51" t="str">
        <f t="shared" si="1"/>
        <v>0,000296490172056946-0,000248157942438015i</v>
      </c>
      <c r="E30" s="51" t="str">
        <f t="shared" si="2"/>
        <v>0,854312480830752-0,74668661675985i</v>
      </c>
      <c r="F30" s="70" t="str">
        <f t="shared" si="3"/>
        <v>0,000067999039970779-0,000433389670917822i</v>
      </c>
      <c r="G30" s="70" t="str">
        <f t="shared" si="4"/>
        <v>0,0146694824984851-0,0934954698667107i</v>
      </c>
      <c r="H30" s="72">
        <f t="shared" si="5"/>
        <v>9.4639297347192772E-2</v>
      </c>
      <c r="I30" s="51" t="str">
        <f t="shared" si="6"/>
        <v>2,87686996547756-0,0974602119281318i</v>
      </c>
      <c r="J30" s="73" t="str">
        <f t="shared" si="7"/>
        <v>0,121934480429433-0,327210120430034i</v>
      </c>
      <c r="K30" s="73" t="str">
        <f t="shared" si="8"/>
        <v>0,318899676821406-0,953224728169459i</v>
      </c>
      <c r="L30" s="73" t="str">
        <f t="shared" si="9"/>
        <v>-0,084444100620867-0,0437989885917646i</v>
      </c>
      <c r="M30" s="70">
        <f t="shared" si="10"/>
        <v>-20.433918513501727</v>
      </c>
      <c r="N30" s="70">
        <f t="shared" si="11"/>
        <v>27.414611383356913</v>
      </c>
      <c r="O30" s="70">
        <f t="shared" si="12"/>
        <v>27.414611383356913</v>
      </c>
    </row>
    <row r="31" spans="1:18" ht="15" x14ac:dyDescent="0.25">
      <c r="A31" s="71">
        <f t="shared" si="13"/>
        <v>30</v>
      </c>
      <c r="B31" s="70">
        <f t="shared" si="14"/>
        <v>36000</v>
      </c>
      <c r="C31" s="70">
        <f t="shared" si="0"/>
        <v>215.73072950425492</v>
      </c>
      <c r="D31" s="51" t="str">
        <f t="shared" si="1"/>
        <v>0,000296486133793764-0,000239886011992425i</v>
      </c>
      <c r="E31" s="51" t="str">
        <f t="shared" si="2"/>
        <v>0,831600831600832-0,77962577962578i</v>
      </c>
      <c r="F31" s="70" t="str">
        <f t="shared" si="3"/>
        <v>0,0000595367963000961-0,000430637640269504i</v>
      </c>
      <c r="G31" s="70" t="str">
        <f t="shared" si="4"/>
        <v>0,012843916498166-0,092901772287331i</v>
      </c>
      <c r="H31" s="72">
        <f t="shared" si="5"/>
        <v>9.3785422562032331E-2</v>
      </c>
      <c r="I31" s="51" t="str">
        <f t="shared" si="6"/>
        <v>2,87686996547757-0,0942115381971945i</v>
      </c>
      <c r="J31" s="73" t="str">
        <f t="shared" si="7"/>
        <v>0,114859122219094-0,318851853157785i</v>
      </c>
      <c r="K31" s="73" t="str">
        <f t="shared" si="8"/>
        <v>0,300395235430208-0,928116374366737i</v>
      </c>
      <c r="L31" s="73" t="str">
        <f t="shared" si="9"/>
        <v>-0,0823654047472493-0,0398278989710833i</v>
      </c>
      <c r="M31" s="70">
        <f t="shared" si="10"/>
        <v>-20.77257863985291</v>
      </c>
      <c r="N31" s="70">
        <f t="shared" si="11"/>
        <v>25.806149460183434</v>
      </c>
      <c r="O31" s="70">
        <f t="shared" si="12"/>
        <v>25.806149460183434</v>
      </c>
    </row>
    <row r="32" spans="1:18" ht="15" x14ac:dyDescent="0.25">
      <c r="A32" s="71">
        <f t="shared" si="13"/>
        <v>31</v>
      </c>
      <c r="B32" s="70">
        <f t="shared" si="14"/>
        <v>37200</v>
      </c>
      <c r="C32" s="70">
        <f t="shared" si="0"/>
        <v>215.73072950425492</v>
      </c>
      <c r="D32" s="51" t="str">
        <f t="shared" si="1"/>
        <v>0,000296482479991385-0,00023214775438953i</v>
      </c>
      <c r="E32" s="51" t="str">
        <f t="shared" si="2"/>
        <v>0,80643116012275-0,812195125529735i</v>
      </c>
      <c r="F32" s="70" t="str">
        <f t="shared" si="3"/>
        <v>0,0000505434357776722-0,00042801280794621i</v>
      </c>
      <c r="G32" s="70" t="str">
        <f t="shared" si="4"/>
        <v>0,0109037722719687-0,0923355152954004i</v>
      </c>
      <c r="H32" s="72">
        <f t="shared" si="5"/>
        <v>9.2977091988435928E-2</v>
      </c>
      <c r="I32" s="51" t="str">
        <f t="shared" si="6"/>
        <v>2,87686996547756-0,0911724563198653i</v>
      </c>
      <c r="J32" s="73" t="str">
        <f t="shared" si="7"/>
        <v>0,108358390136661-0,310832510242497i</v>
      </c>
      <c r="K32" s="73" t="str">
        <f t="shared" si="8"/>
        <v>0,283393634628782-0,904104013602261i</v>
      </c>
      <c r="L32" s="73" t="str">
        <f t="shared" si="9"/>
        <v>-0,0803908503212867-0,036025441559377i</v>
      </c>
      <c r="M32" s="70">
        <f t="shared" si="10"/>
        <v>-21.101091072809961</v>
      </c>
      <c r="N32" s="70">
        <f t="shared" si="11"/>
        <v>24.138517293711004</v>
      </c>
      <c r="O32" s="70">
        <f t="shared" si="12"/>
        <v>24.138517293711004</v>
      </c>
    </row>
    <row r="33" spans="1:18" ht="15" x14ac:dyDescent="0.25">
      <c r="A33" s="71">
        <f t="shared" si="13"/>
        <v>32</v>
      </c>
      <c r="B33" s="70">
        <f t="shared" si="14"/>
        <v>38400</v>
      </c>
      <c r="C33" s="70">
        <f t="shared" si="0"/>
        <v>215.73072950425492</v>
      </c>
      <c r="D33" s="51" t="str">
        <f t="shared" si="1"/>
        <v>0,000296479163351456-0,000224893137810968i</v>
      </c>
      <c r="E33" s="51" t="str">
        <f t="shared" si="2"/>
        <v>0,778714955716654-0,844135453351387i</v>
      </c>
      <c r="F33" s="70" t="str">
        <f t="shared" si="3"/>
        <v>0,0000410324877184623-0,000425396222816369i</v>
      </c>
      <c r="G33" s="70" t="str">
        <f t="shared" si="4"/>
        <v>0,00885196850887825-0,0917710374765299i</v>
      </c>
      <c r="H33" s="72">
        <f t="shared" si="5"/>
        <v>9.2196966685465453E-2</v>
      </c>
      <c r="I33" s="51" t="str">
        <f t="shared" si="6"/>
        <v>2,87686996547757-0,0883233170598699i</v>
      </c>
      <c r="J33" s="73" t="str">
        <f t="shared" si="7"/>
        <v>0,102374295993517-0,303139900892886i</v>
      </c>
      <c r="K33" s="73" t="str">
        <f t="shared" si="8"/>
        <v>0,2677432158006-0,881136113620407i</v>
      </c>
      <c r="L33" s="73" t="str">
        <f t="shared" si="9"/>
        <v>-0,0784927207902496-0,0323708618211267i</v>
      </c>
      <c r="M33" s="70">
        <f t="shared" si="10"/>
        <v>-21.421261846410793</v>
      </c>
      <c r="N33" s="70">
        <f t="shared" si="11"/>
        <v>22.411540205941748</v>
      </c>
      <c r="O33" s="70">
        <f t="shared" si="12"/>
        <v>22.411540205941748</v>
      </c>
    </row>
    <row r="34" spans="1:18" ht="15" x14ac:dyDescent="0.25">
      <c r="A34" s="71">
        <f t="shared" si="13"/>
        <v>33</v>
      </c>
      <c r="B34" s="70">
        <f t="shared" si="14"/>
        <v>39600</v>
      </c>
      <c r="C34" s="70">
        <f t="shared" ref="C34:C65" si="15">_ta1*_ta2*(rload/RS)</f>
        <v>215.73072950425492</v>
      </c>
      <c r="D34" s="51" t="str">
        <f t="shared" ref="D34:D65" si="16">IMDIV((COMPLEX(1,2*PI()*(B34)*(esrcout*0.001)*(cout*0.000001))),(COMPLEX(1,2*PI()*(B34)*rload*(cout*0.000001))))</f>
        <v>0,000296476143631685-0,000218078194899669i</v>
      </c>
      <c r="E34" s="51" t="str">
        <f t="shared" ref="E34:E65" si="17">IMDIV(1,(COMPLEX((1-(B34/(fpp*1000))^2),(B34/(fpp*1000)))))</f>
        <v>0,748394849515882-0,875160525656418i</v>
      </c>
      <c r="F34" s="70" t="str">
        <f t="shared" ref="F34:F65" si="18">IMPRODUCT(D34,E34)</f>
        <v>0,0000310277912156868-0,000422672815559926i</v>
      </c>
      <c r="G34" s="70" t="str">
        <f t="shared" ref="G34:G65" si="19">IMPRODUCT(C34,F34)</f>
        <v>0,00669364803386583-0,0911835148423602i</v>
      </c>
      <c r="H34" s="72">
        <f t="shared" ref="H34:H65" si="20">IMABS(G34)</f>
        <v>9.1428870183373687E-2</v>
      </c>
      <c r="I34" s="51" t="str">
        <f t="shared" ref="I34:I65" si="21">IMDIV((COMPLEX(1,(2*PI()*B34*(rf*1000)*(Cz*0.000000001)))),(COMPLEX(0,2*PI()*B34*((Cz*0.000000001)+(Cp*0.000000000001))*(RII*1000))))</f>
        <v>2,87686996547756-0,0856468529065401i</v>
      </c>
      <c r="J34" s="73" t="str">
        <f t="shared" ref="J34:J65" si="22">IMDIV(1,(COMPLEX(1,2*PI()*B34*(((Cz*0.000000001)*(Cp*0.000000000001))/((Cz*0.000000001)+(Cp*0.000000000001)))*(rf*1000))))</f>
        <v>0,0968556367243653-0,295761090001851i</v>
      </c>
      <c r="K34" s="73" t="str">
        <f t="shared" ref="K34:K65" si="23">IMPRODUCT(I34,J34)</f>
        <v>0,253310065708665-0,859161577254932i</v>
      </c>
      <c r="L34" s="73" t="str">
        <f t="shared" ref="L34:L65" si="24">IMPRODUCT(G34,K34)</f>
        <v>-0,0766458040083215-0,0288486273386308i</v>
      </c>
      <c r="M34" s="70">
        <f t="shared" ref="M34:M65" si="25">20*LOG(IMABS(L34))</f>
        <v>-21.734831827422308</v>
      </c>
      <c r="N34" s="70">
        <f t="shared" ref="N34:N65" si="26">(180/PI())*IMARGUMENT(L34)+180</f>
        <v>20.625778799697258</v>
      </c>
      <c r="O34" s="70">
        <f t="shared" si="12"/>
        <v>20.625778799697258</v>
      </c>
    </row>
    <row r="35" spans="1:18" ht="15" x14ac:dyDescent="0.25">
      <c r="A35" s="71">
        <f t="shared" si="13"/>
        <v>34</v>
      </c>
      <c r="B35" s="70">
        <f t="shared" si="14"/>
        <v>40800</v>
      </c>
      <c r="C35" s="70">
        <f t="shared" si="15"/>
        <v>215.73072950425492</v>
      </c>
      <c r="D35" s="51" t="str">
        <f t="shared" si="16"/>
        <v>0,000296473386419345-0,000211664130927572i</v>
      </c>
      <c r="E35" s="51" t="str">
        <f t="shared" si="17"/>
        <v>0,715451364638305-0,904960803485952i</v>
      </c>
      <c r="F35" s="70" t="str">
        <f t="shared" si="18"/>
        <v>0,0000205645468992886-0,000419732185303364i</v>
      </c>
      <c r="G35" s="70" t="str">
        <f t="shared" si="19"/>
        <v>0,00443640470450799-0,0905491305319098i</v>
      </c>
      <c r="H35" s="72">
        <f t="shared" si="20"/>
        <v>9.0657744990635086E-2</v>
      </c>
      <c r="I35" s="51" t="str">
        <f t="shared" si="21"/>
        <v>2,87686996547757-0,083127827821054i</v>
      </c>
      <c r="J35" s="73" t="str">
        <f t="shared" si="22"/>
        <v>0,0917571197300594-0,288682785612345i</v>
      </c>
      <c r="K35" s="73" t="str">
        <f t="shared" si="23"/>
        <v>0,239975728972852-0,838130405528832i</v>
      </c>
      <c r="L35" s="73" t="str">
        <f t="shared" si="24"/>
        <v>-0,0748273500400098-0,0254478792813323i</v>
      </c>
      <c r="M35" s="70">
        <f t="shared" si="25"/>
        <v>-22.043474823266376</v>
      </c>
      <c r="N35" s="70">
        <f t="shared" si="26"/>
        <v>18.782549552629206</v>
      </c>
      <c r="O35" s="70">
        <f t="shared" si="12"/>
        <v>18.782549552629206</v>
      </c>
    </row>
    <row r="36" spans="1:18" ht="15" x14ac:dyDescent="0.25">
      <c r="A36" s="71">
        <f t="shared" si="13"/>
        <v>35</v>
      </c>
      <c r="B36" s="70">
        <f t="shared" ref="B36:B67" si="27">(fs*1000/2)*(A36/100)</f>
        <v>42000</v>
      </c>
      <c r="C36" s="70">
        <f t="shared" si="15"/>
        <v>215.73072950425492</v>
      </c>
      <c r="D36" s="51" t="str">
        <f t="shared" si="16"/>
        <v>0,000296470862146501-0,000205616584848828i</v>
      </c>
      <c r="E36" s="51" t="str">
        <f t="shared" si="17"/>
        <v>0,679909345420611-0,933208905479269i</v>
      </c>
      <c r="F36" s="70" t="str">
        <f t="shared" si="18"/>
        <v>9,69008172315165E-06-0,00041646988638242i</v>
      </c>
      <c r="G36" s="70" t="str">
        <f t="shared" si="19"/>
        <v>0,00209044839909135-0,0898453524058336i</v>
      </c>
      <c r="H36" s="72">
        <f t="shared" si="20"/>
        <v>8.9869668539711969E-2</v>
      </c>
      <c r="I36" s="51" t="str">
        <f t="shared" si="21"/>
        <v>2,87686996547756-0,0807527470261664i</v>
      </c>
      <c r="J36" s="73" t="str">
        <f t="shared" si="22"/>
        <v>0,0870386063869704-0,281891623474669i</v>
      </c>
      <c r="K36" s="73" t="str">
        <f t="shared" si="23"/>
        <v>0,227635229592453-0,817994151657061i</v>
      </c>
      <c r="L36" s="73" t="str">
        <f t="shared" si="24"/>
        <v>-0,0730171131202612-0,0221619419875144i</v>
      </c>
      <c r="M36" s="70">
        <f t="shared" si="25"/>
        <v>-22.348792787046619</v>
      </c>
      <c r="N36" s="70">
        <f t="shared" si="26"/>
        <v>16.883940625505318</v>
      </c>
      <c r="O36" s="70">
        <f t="shared" si="12"/>
        <v>16.883940625505318</v>
      </c>
    </row>
    <row r="37" spans="1:18" ht="15" x14ac:dyDescent="0.25">
      <c r="A37" s="71">
        <f t="shared" si="13"/>
        <v>36</v>
      </c>
      <c r="B37" s="70">
        <f t="shared" si="27"/>
        <v>43200</v>
      </c>
      <c r="C37" s="70">
        <f t="shared" si="15"/>
        <v>215.73072950425492</v>
      </c>
      <c r="D37" s="51" t="str">
        <f t="shared" si="16"/>
        <v>0,000296468545293992-0,00019990501351076i</v>
      </c>
      <c r="E37" s="51" t="str">
        <f t="shared" si="17"/>
        <v>0,641843596575924-0,959566838734771i</v>
      </c>
      <c r="F37" s="70" t="str">
        <f t="shared" si="18"/>
        <v>-0,0000015357844786236-0,000412789137637357i</v>
      </c>
      <c r="G37" s="70" t="str">
        <f t="shared" si="19"/>
        <v>-0,000331315905934781-0,0890513017939393i</v>
      </c>
      <c r="H37" s="72">
        <f t="shared" si="20"/>
        <v>8.9051918123220594E-2</v>
      </c>
      <c r="I37" s="51" t="str">
        <f t="shared" si="21"/>
        <v>2,87686996547757-0,0785096151643288i</v>
      </c>
      <c r="J37" s="73" t="str">
        <f t="shared" si="22"/>
        <v>0,082664458155684-0,275374373378336i</v>
      </c>
      <c r="K37" s="73" t="str">
        <f t="shared" si="23"/>
        <v>0,216195360800513-0,798706218831911i</v>
      </c>
      <c r="L37" s="73" t="str">
        <f t="shared" si="24"/>
        <v>-0,0711974574997191-0,018987854246628i</v>
      </c>
      <c r="M37" s="70">
        <f t="shared" si="25"/>
        <v>-22.652308389776419</v>
      </c>
      <c r="N37" s="70">
        <f t="shared" si="26"/>
        <v>14.932818812304021</v>
      </c>
      <c r="O37" s="70">
        <f t="shared" si="12"/>
        <v>14.932818812304021</v>
      </c>
    </row>
    <row r="38" spans="1:18" ht="15" x14ac:dyDescent="0.25">
      <c r="A38" s="71">
        <f t="shared" si="13"/>
        <v>37</v>
      </c>
      <c r="B38" s="70">
        <f t="shared" si="27"/>
        <v>44400</v>
      </c>
      <c r="C38" s="70">
        <f t="shared" si="15"/>
        <v>215.73072950425492</v>
      </c>
      <c r="D38" s="51" t="str">
        <f t="shared" si="16"/>
        <v>0,000296466413743908-0,00019450217572248i</v>
      </c>
      <c r="E38" s="51" t="str">
        <f t="shared" si="17"/>
        <v>0,601383213294196-0,983694911223927i</v>
      </c>
      <c r="F38" s="70" t="str">
        <f t="shared" si="18"/>
        <v>-0,0000130408759490676-0,000408602845977387i</v>
      </c>
      <c r="G38" s="70" t="str">
        <f t="shared" si="19"/>
        <v>-0,00281331768186685-0,0881481900402164i</v>
      </c>
      <c r="H38" s="72">
        <f t="shared" si="20"/>
        <v>8.8193073218621937E-2</v>
      </c>
      <c r="I38" s="51" t="str">
        <f t="shared" si="21"/>
        <v>2,87686996547756-0,0763877336734007i</v>
      </c>
      <c r="J38" s="73" t="str">
        <f t="shared" si="22"/>
        <v>0,0786029713868679-0,269118086118386i</v>
      </c>
      <c r="K38" s="73" t="str">
        <f t="shared" si="23"/>
        <v>0,205573206891066-0,780222041965026i</v>
      </c>
      <c r="L38" s="73" t="str">
        <f t="shared" si="24"/>
        <v>-0,0693535035665635-0,0159258936417679i</v>
      </c>
      <c r="M38" s="70">
        <f t="shared" si="25"/>
        <v>-22.955455366102147</v>
      </c>
      <c r="N38" s="70">
        <f t="shared" si="26"/>
        <v>12.932823659796099</v>
      </c>
      <c r="O38" s="70">
        <f t="shared" si="12"/>
        <v>12.932823659796099</v>
      </c>
    </row>
    <row r="39" spans="1:18" ht="15" x14ac:dyDescent="0.25">
      <c r="A39" s="71">
        <f t="shared" si="13"/>
        <v>38</v>
      </c>
      <c r="B39" s="70">
        <f t="shared" si="27"/>
        <v>45600</v>
      </c>
      <c r="C39" s="70">
        <f t="shared" si="15"/>
        <v>215.73072950425492</v>
      </c>
      <c r="D39" s="51" t="str">
        <f t="shared" si="16"/>
        <v>0,00029646444824976-0,000189383697786337i</v>
      </c>
      <c r="E39" s="51" t="str">
        <f t="shared" si="17"/>
        <v>0,558714077224444-1,00526207076368i</v>
      </c>
      <c r="F39" s="70" t="str">
        <f t="shared" si="18"/>
        <v>-0,0000247413875718575-0,000403835803105412i</v>
      </c>
      <c r="G39" s="70" t="str">
        <f t="shared" si="19"/>
        <v>-0,00533747758982432-0,0871197924038672i</v>
      </c>
      <c r="H39" s="72">
        <f t="shared" si="20"/>
        <v>8.7283142103815187E-2</v>
      </c>
      <c r="I39" s="51" t="str">
        <f t="shared" si="21"/>
        <v>2,87686996547757-0,0743775301556799i</v>
      </c>
      <c r="J39" s="73" t="str">
        <f t="shared" si="22"/>
        <v>0,074825888585237-0,263110195512577i</v>
      </c>
      <c r="K39" s="73" t="str">
        <f t="shared" si="23"/>
        <v>0,195694865010036-0,762499183865738i</v>
      </c>
      <c r="L39" s="73" t="str">
        <f t="shared" si="24"/>
        <v>-0,067473287562936-0,0129790737080344i</v>
      </c>
      <c r="M39" s="70">
        <f t="shared" si="25"/>
        <v>-23.259567186937119</v>
      </c>
      <c r="N39" s="70">
        <f t="shared" si="26"/>
        <v>10.888345185386129</v>
      </c>
      <c r="O39" s="70">
        <f t="shared" si="12"/>
        <v>10.888345185386129</v>
      </c>
    </row>
    <row r="40" spans="1:18" ht="15" x14ac:dyDescent="0.25">
      <c r="A40" s="71">
        <f t="shared" si="13"/>
        <v>39</v>
      </c>
      <c r="B40" s="70">
        <f t="shared" si="27"/>
        <v>46800</v>
      </c>
      <c r="C40" s="70">
        <f t="shared" si="15"/>
        <v>215.73072950425492</v>
      </c>
      <c r="D40" s="51" t="str">
        <f t="shared" si="16"/>
        <v>0,000296462632000492-0,000184527705870653i</v>
      </c>
      <c r="E40" s="51" t="str">
        <f t="shared" si="17"/>
        <v>0,514079044457808-1,02395723870554i</v>
      </c>
      <c r="F40" s="70" t="str">
        <f t="shared" si="18"/>
        <v>-0,0000365432535917222-0,000398426884752577i</v>
      </c>
      <c r="G40" s="70" t="str">
        <f t="shared" si="19"/>
        <v>-0,00788350275580121-0,0859529225017811i</v>
      </c>
      <c r="H40" s="72">
        <f t="shared" si="20"/>
        <v>8.6313698230917626E-2</v>
      </c>
      <c r="I40" s="51" t="str">
        <f t="shared" si="21"/>
        <v>2,87686996547756-0,0724704139978417i</v>
      </c>
      <c r="J40" s="73" t="str">
        <f t="shared" si="22"/>
        <v>0,071307975463103-0,257338586493469i</v>
      </c>
      <c r="K40" s="73" t="str">
        <f t="shared" si="23"/>
        <v>0,186494339008011-0,745497368944669i</v>
      </c>
      <c r="L40" s="73" t="str">
        <f t="shared" si="24"/>
        <v>-0,0655479062136938-0,0101526029052586i</v>
      </c>
      <c r="M40" s="70">
        <f t="shared" si="25"/>
        <v>-23.565864754701128</v>
      </c>
      <c r="N40" s="70">
        <f t="shared" si="26"/>
        <v>8.804482361576305</v>
      </c>
      <c r="O40" s="70">
        <f t="shared" si="12"/>
        <v>8.804482361576305</v>
      </c>
    </row>
    <row r="41" spans="1:18" ht="15" x14ac:dyDescent="0.25">
      <c r="A41" s="71">
        <f t="shared" si="13"/>
        <v>40</v>
      </c>
      <c r="B41" s="70">
        <f t="shared" si="27"/>
        <v>48000</v>
      </c>
      <c r="C41" s="70">
        <f t="shared" si="15"/>
        <v>215.73072950425492</v>
      </c>
      <c r="D41" s="51" t="str">
        <f t="shared" si="16"/>
        <v>0,000296460950259808-0,000179914513526546i</v>
      </c>
      <c r="E41" s="51" t="str">
        <f t="shared" si="17"/>
        <v>0,467775467775468-1,03950103950104i</v>
      </c>
      <c r="F41" s="70" t="str">
        <f t="shared" si="18"/>
        <v>-0,0000483441641472271-0,000392331061691012i</v>
      </c>
      <c r="G41" s="70" t="str">
        <f t="shared" si="19"/>
        <v>-0,0104293217987547-0,0846378661457809i</v>
      </c>
      <c r="H41" s="72">
        <f t="shared" si="20"/>
        <v>8.5278010875565718E-2</v>
      </c>
      <c r="I41" s="51" t="str">
        <f t="shared" si="21"/>
        <v>2,87686996547757-0,0706586536478959i</v>
      </c>
      <c r="J41" s="73" t="str">
        <f t="shared" si="22"/>
        <v>0,0680266545483975-0,251791637707352i</v>
      </c>
      <c r="K41" s="73" t="str">
        <f t="shared" si="23"/>
        <v>0,177912581202003-0,729178471901251i</v>
      </c>
      <c r="L41" s="73" t="str">
        <f t="shared" si="24"/>
        <v>-0,0635716174625659-0,00745330430124315i</v>
      </c>
      <c r="M41" s="70">
        <f t="shared" si="25"/>
        <v>-23.875443935357854</v>
      </c>
      <c r="N41" s="70">
        <f t="shared" si="26"/>
        <v>6.6869806152888884</v>
      </c>
      <c r="O41" s="70">
        <f t="shared" si="12"/>
        <v>6.6869806152888884</v>
      </c>
    </row>
    <row r="42" spans="1:18" ht="15" x14ac:dyDescent="0.25">
      <c r="A42" s="71">
        <f t="shared" si="13"/>
        <v>41</v>
      </c>
      <c r="B42" s="70">
        <f t="shared" si="27"/>
        <v>49200</v>
      </c>
      <c r="C42" s="70">
        <f t="shared" si="15"/>
        <v>215.73072950425492</v>
      </c>
      <c r="D42" s="51" t="str">
        <f t="shared" si="16"/>
        <v>0,000296459390066322-0,000175526354933981i</v>
      </c>
      <c r="E42" s="51" t="str">
        <f t="shared" si="17"/>
        <v>0,420149875001565-1,05165719627986i</v>
      </c>
      <c r="F42" s="70" t="str">
        <f t="shared" si="18"/>
        <v>-0,0000600361786236886-0,000385521027052978i</v>
      </c>
      <c r="G42" s="70" t="str">
        <f t="shared" si="19"/>
        <v>-0,0129516486111361-0,0831687324053685i</v>
      </c>
      <c r="H42" s="72">
        <f t="shared" si="20"/>
        <v>8.4171154510688129E-2</v>
      </c>
      <c r="I42" s="51" t="str">
        <f t="shared" si="21"/>
        <v>2,87686996547756-0,0689352718516055i</v>
      </c>
      <c r="J42" s="73" t="str">
        <f t="shared" si="22"/>
        <v>0,0649616873914743-0,246458245069478i</v>
      </c>
      <c r="K42" s="73" t="str">
        <f t="shared" si="23"/>
        <v>0,169896661239341-0,713506474564959i</v>
      </c>
      <c r="L42" s="73" t="str">
        <f t="shared" si="24"/>
        <v>-0,0615418709091681-0,00488900481484443i</v>
      </c>
      <c r="M42" s="70">
        <f t="shared" si="25"/>
        <v>-24.189263816353368</v>
      </c>
      <c r="N42" s="70">
        <f t="shared" si="26"/>
        <v>4.5421479648900061</v>
      </c>
      <c r="O42" s="70">
        <f t="shared" si="12"/>
        <v>4.5421479648900061</v>
      </c>
    </row>
    <row r="43" spans="1:18" ht="15" x14ac:dyDescent="0.25">
      <c r="A43" s="71">
        <f t="shared" si="13"/>
        <v>42</v>
      </c>
      <c r="B43" s="70">
        <f t="shared" si="27"/>
        <v>50400</v>
      </c>
      <c r="C43" s="70">
        <f t="shared" si="15"/>
        <v>215.73072950425492</v>
      </c>
      <c r="D43" s="51" t="str">
        <f t="shared" si="16"/>
        <v>0,000296457939983069-0,000171347156255523i</v>
      </c>
      <c r="E43" s="51" t="str">
        <f t="shared" si="17"/>
        <v>0,371589855273829-1,06024279358022i</v>
      </c>
      <c r="F43" s="70" t="str">
        <f t="shared" si="18"/>
        <v>-0,0000715088246072961-0,000377988259461258i</v>
      </c>
      <c r="G43" s="70" t="str">
        <f t="shared" si="19"/>
        <v>-0,0154266508985238-0,0815436829576208i</v>
      </c>
      <c r="H43" s="72">
        <f t="shared" si="20"/>
        <v>8.2990082469159523E-2</v>
      </c>
      <c r="I43" s="51" t="str">
        <f t="shared" si="21"/>
        <v>2,87686996547757-0,067293955855139i</v>
      </c>
      <c r="J43" s="73" t="str">
        <f t="shared" si="22"/>
        <v>0,0620948985398156-0,241327831207148i</v>
      </c>
      <c r="K43" s="73" t="str">
        <f t="shared" si="23"/>
        <v>0,162399044198702-0,698447400794852i</v>
      </c>
      <c r="L43" s="73" t="str">
        <f t="shared" si="24"/>
        <v>-0,059459246774097-0,00246791194971609i</v>
      </c>
      <c r="M43" s="70">
        <f t="shared" si="25"/>
        <v>-24.508136593261366</v>
      </c>
      <c r="N43" s="70">
        <f t="shared" si="26"/>
        <v>2.3767509893015699</v>
      </c>
      <c r="O43" s="70">
        <f t="shared" si="12"/>
        <v>2.3767509893015699</v>
      </c>
    </row>
    <row r="44" spans="1:18" ht="15" x14ac:dyDescent="0.25">
      <c r="A44" s="71">
        <f t="shared" si="13"/>
        <v>43</v>
      </c>
      <c r="B44" s="70">
        <f t="shared" si="27"/>
        <v>51600</v>
      </c>
      <c r="C44" s="70">
        <f t="shared" si="15"/>
        <v>215.73072950425492</v>
      </c>
      <c r="D44" s="51" t="str">
        <f t="shared" si="16"/>
        <v>0,000296456589887308-0,000167362338894207i</v>
      </c>
      <c r="E44" s="51" t="str">
        <f t="shared" si="17"/>
        <v>0,322513460849838-1,0651366218543i</v>
      </c>
      <c r="F44" s="70" t="str">
        <f t="shared" si="18"/>
        <v>-0,0000826525154791134-0,000369743377811707i</v>
      </c>
      <c r="G44" s="70" t="str">
        <f t="shared" si="19"/>
        <v>-0,0178306874596709-0,0797650086246869i</v>
      </c>
      <c r="H44" s="72">
        <f t="shared" si="20"/>
        <v>8.1733652898795847E-2</v>
      </c>
      <c r="I44" s="51" t="str">
        <f t="shared" si="21"/>
        <v>2,87686996547756-0,0657289801375774i</v>
      </c>
      <c r="J44" s="73" t="str">
        <f t="shared" si="22"/>
        <v>0,0594099354282378-0,236390344558847i</v>
      </c>
      <c r="K44" s="73" t="str">
        <f t="shared" si="23"/>
        <v>0,155376962622235-0,683969236855976i</v>
      </c>
      <c r="L44" s="73" t="str">
        <f t="shared" si="24"/>
        <v>-0,0573272901357875-0,000198003069231701i</v>
      </c>
      <c r="M44" s="70">
        <f t="shared" si="25"/>
        <v>-24.832719928586616</v>
      </c>
      <c r="N44" s="70">
        <f t="shared" si="26"/>
        <v>0.19789344758547145</v>
      </c>
      <c r="O44" s="70">
        <f t="shared" si="12"/>
        <v>0.19789344758547145</v>
      </c>
    </row>
    <row r="45" spans="1:18" ht="15" x14ac:dyDescent="0.25">
      <c r="A45" s="71">
        <f t="shared" si="13"/>
        <v>44</v>
      </c>
      <c r="B45" s="70">
        <f t="shared" si="27"/>
        <v>52800</v>
      </c>
      <c r="C45" s="70">
        <f t="shared" si="15"/>
        <v>215.73072950425492</v>
      </c>
      <c r="D45" s="51" t="str">
        <f t="shared" si="16"/>
        <v>0,000296455330793381-0,000163558649579881i</v>
      </c>
      <c r="E45" s="51" t="str">
        <f t="shared" si="17"/>
        <v>0,27335668044953-1,0662849237393i</v>
      </c>
      <c r="F45" s="70" t="str">
        <f t="shared" si="18"/>
        <v>-0,0000933620770669403-0,000360815699295093i</v>
      </c>
      <c r="G45" s="70" t="str">
        <f t="shared" si="19"/>
        <v>-0,0201410689936835-0,0778390340255183i</v>
      </c>
      <c r="H45" s="72">
        <f t="shared" si="20"/>
        <v>8.0402598703239139E-2</v>
      </c>
      <c r="I45" s="51" t="str">
        <f t="shared" si="21"/>
        <v>2,87686996547755-0,064235139679905i</v>
      </c>
      <c r="J45" s="73" t="str">
        <f t="shared" si="22"/>
        <v>0,0568920591770215-0,231636251004932i</v>
      </c>
      <c r="K45" s="73" t="str">
        <f t="shared" si="23"/>
        <v>0,148791869382313-0,670041842799821i</v>
      </c>
      <c r="L45" s="73" t="str">
        <f t="shared" si="24"/>
        <v>-0,0551522371071446+0,00191354360091569i</v>
      </c>
      <c r="M45" s="70">
        <f t="shared" si="25"/>
        <v>-25.163512490713401</v>
      </c>
      <c r="N45" s="70">
        <f t="shared" si="26"/>
        <v>358.01288186893578</v>
      </c>
      <c r="O45" s="70">
        <f t="shared" si="12"/>
        <v>-1.9871181310642214</v>
      </c>
      <c r="P45" s="70">
        <v>-13.846</v>
      </c>
      <c r="Q45" s="70">
        <v>23.129000000000001</v>
      </c>
      <c r="R45" s="70">
        <f>B45</f>
        <v>52800</v>
      </c>
    </row>
    <row r="46" spans="1:18" ht="15" x14ac:dyDescent="0.25">
      <c r="A46" s="71">
        <f t="shared" si="13"/>
        <v>45</v>
      </c>
      <c r="B46" s="70">
        <f t="shared" si="27"/>
        <v>54000</v>
      </c>
      <c r="C46" s="70">
        <f t="shared" si="15"/>
        <v>215.73072950425492</v>
      </c>
      <c r="D46" s="51" t="str">
        <f t="shared" si="16"/>
        <v>0,000296454154702809-0,000159924013110691i</v>
      </c>
      <c r="E46" s="51" t="str">
        <f t="shared" si="17"/>
        <v>0,224559744711027-1,06370405389434i</v>
      </c>
      <c r="F46" s="70" t="str">
        <f t="shared" si="18"/>
        <v>-0,000103540151762308-0,000351251981708497i</v>
      </c>
      <c r="G46" s="70" t="str">
        <f t="shared" si="19"/>
        <v>-0,022336792472664-0,0757758462537893i</v>
      </c>
      <c r="H46" s="72">
        <f t="shared" si="20"/>
        <v>7.8999437804612077E-2</v>
      </c>
      <c r="I46" s="51" t="str">
        <f t="shared" si="21"/>
        <v>2,87686996547756-0,0628076921314628i</v>
      </c>
      <c r="J46" s="73" t="str">
        <f t="shared" si="22"/>
        <v>0,0545279620160174-0,22705652021996i</v>
      </c>
      <c r="K46" s="73" t="str">
        <f t="shared" si="23"/>
        <v>0,142608960184165-0,656636858937509i</v>
      </c>
      <c r="L46" s="73" t="str">
        <f t="shared" si="24"/>
        <v>-0,0529426404157959+0,00386084660666104i</v>
      </c>
      <c r="M46" s="70">
        <f t="shared" si="25"/>
        <v>-25.500853177061206</v>
      </c>
      <c r="N46" s="70">
        <f t="shared" si="26"/>
        <v>355.82908363305336</v>
      </c>
      <c r="O46" s="70">
        <f t="shared" si="12"/>
        <v>-4.170916366946642</v>
      </c>
    </row>
    <row r="47" spans="1:18" ht="15" x14ac:dyDescent="0.25">
      <c r="A47" s="71">
        <f t="shared" si="13"/>
        <v>46</v>
      </c>
      <c r="B47" s="70">
        <f t="shared" si="27"/>
        <v>55200</v>
      </c>
      <c r="C47" s="70">
        <f t="shared" si="15"/>
        <v>215.73072950425492</v>
      </c>
      <c r="D47" s="51" t="str">
        <f t="shared" si="16"/>
        <v>0,000296453054476959-0,000156447404302203i</v>
      </c>
      <c r="E47" s="51" t="str">
        <f t="shared" si="17"/>
        <v>0,176553152797926-1,05747982144591i</v>
      </c>
      <c r="F47" s="70" t="str">
        <f t="shared" si="18"/>
        <v>-0,000113100251742687-0,000341114405591995i</v>
      </c>
      <c r="G47" s="70" t="str">
        <f t="shared" si="19"/>
        <v>-0,0243991998155647-0,0735888595627714i</v>
      </c>
      <c r="H47" s="72">
        <f t="shared" si="20"/>
        <v>7.7528325168219295E-2</v>
      </c>
      <c r="I47" s="51" t="str">
        <f t="shared" si="21"/>
        <v>2,87686996547755-0,0614423075199091i</v>
      </c>
      <c r="J47" s="73" t="str">
        <f t="shared" si="22"/>
        <v>0,052305607673717-0,222642608409981i</v>
      </c>
      <c r="K47" s="73" t="str">
        <f t="shared" si="23"/>
        <v>0,136796756129608-0,643727610401958i</v>
      </c>
      <c r="L47" s="73" t="str">
        <f t="shared" si="24"/>
        <v>-0,0507089121054755+0,00563972131752895i</v>
      </c>
      <c r="M47" s="70">
        <f t="shared" si="25"/>
        <v>-25.844924271271225</v>
      </c>
      <c r="N47" s="70">
        <f t="shared" si="26"/>
        <v>353.65378380669483</v>
      </c>
      <c r="O47" s="70">
        <f t="shared" si="12"/>
        <v>-6.3462161933051675</v>
      </c>
    </row>
    <row r="48" spans="1:18" ht="15" x14ac:dyDescent="0.25">
      <c r="A48" s="71">
        <f t="shared" si="13"/>
        <v>47</v>
      </c>
      <c r="B48" s="70">
        <f t="shared" si="27"/>
        <v>56400</v>
      </c>
      <c r="C48" s="70">
        <f t="shared" si="15"/>
        <v>215.73072950425492</v>
      </c>
      <c r="D48" s="51" t="str">
        <f t="shared" si="16"/>
        <v>0,000296452023728455-0,000153118736283434i</v>
      </c>
      <c r="E48" s="51" t="str">
        <f t="shared" si="17"/>
        <v>0,129744340337863-1,04776357317518i</v>
      </c>
      <c r="F48" s="70" t="str">
        <f t="shared" si="18"/>
        <v>-0,000121969261987926-0,000330477921089201i</v>
      </c>
      <c r="G48" s="70" t="str">
        <f t="shared" si="19"/>
        <v>-0,0263125178657509-0,0712942430016229i</v>
      </c>
      <c r="H48" s="72">
        <f t="shared" si="20"/>
        <v>7.5994852994198989E-2</v>
      </c>
      <c r="I48" s="51" t="str">
        <f t="shared" si="21"/>
        <v>2,87686996547756-0,0601350243811878i</v>
      </c>
      <c r="J48" s="73" t="str">
        <f t="shared" si="22"/>
        <v>0,0502140916002961-0,218386438693096i</v>
      </c>
      <c r="K48" s="73" t="str">
        <f t="shared" si="23"/>
        <v>0,131326738153301-0,631289011966437i</v>
      </c>
      <c r="L48" s="73" t="str">
        <f t="shared" si="24"/>
        <v>-0,0484628093672991+0,00724796302330716i</v>
      </c>
      <c r="M48" s="70">
        <f t="shared" si="25"/>
        <v>-26.195758506100422</v>
      </c>
      <c r="N48" s="70">
        <f t="shared" si="26"/>
        <v>351.49404719610538</v>
      </c>
      <c r="O48" s="70">
        <f t="shared" si="12"/>
        <v>-8.5059528038946155</v>
      </c>
    </row>
    <row r="49" spans="1:15" ht="15" x14ac:dyDescent="0.25">
      <c r="A49" s="71">
        <f t="shared" si="13"/>
        <v>48</v>
      </c>
      <c r="B49" s="70">
        <f t="shared" si="27"/>
        <v>57600</v>
      </c>
      <c r="C49" s="70">
        <f t="shared" si="15"/>
        <v>215.73072950425492</v>
      </c>
      <c r="D49" s="51" t="str">
        <f t="shared" si="16"/>
        <v>0,000296451056728263-0,000149928762755886i</v>
      </c>
      <c r="E49" s="51" t="str">
        <f t="shared" si="17"/>
        <v>0,0845058374562984-1,03476535660774i</v>
      </c>
      <c r="F49" s="70" t="str">
        <f t="shared" si="18"/>
        <v>-0,000130089244845225-0,000319427139087635i</v>
      </c>
      <c r="G49" s="70" t="str">
        <f t="shared" si="19"/>
        <v>-0,028064247691118-0,0689102497388326i</v>
      </c>
      <c r="H49" s="72">
        <f t="shared" si="20"/>
        <v>7.4405809702849809E-2</v>
      </c>
      <c r="I49" s="51" t="str">
        <f t="shared" si="21"/>
        <v>2,87686996547755-0,0588822113732462i</v>
      </c>
      <c r="J49" s="73" t="str">
        <f t="shared" si="22"/>
        <v>0,0482435183453728-0,214280380070207i</v>
      </c>
      <c r="K49" s="73" t="str">
        <f t="shared" si="23"/>
        <v>0,126173026324335-0,619297474659694i</v>
      </c>
      <c r="L49" s="73" t="str">
        <f t="shared" si="24"/>
        <v>-0,046216894704132+0,0086855029690193i</v>
      </c>
      <c r="M49" s="70">
        <f t="shared" si="25"/>
        <v>-26.553249732082733</v>
      </c>
      <c r="N49" s="70">
        <f t="shared" si="26"/>
        <v>349.3565916934968</v>
      </c>
      <c r="O49" s="70">
        <f t="shared" si="12"/>
        <v>-10.643408306503204</v>
      </c>
    </row>
    <row r="50" spans="1:15" ht="15" x14ac:dyDescent="0.25">
      <c r="A50" s="71">
        <f t="shared" si="13"/>
        <v>49</v>
      </c>
      <c r="B50" s="70">
        <f t="shared" si="27"/>
        <v>58800</v>
      </c>
      <c r="C50" s="70">
        <f t="shared" si="15"/>
        <v>215.73072950425492</v>
      </c>
      <c r="D50" s="51" t="str">
        <f t="shared" si="16"/>
        <v>0,000296450148325922-0,000146868992220854i</v>
      </c>
      <c r="E50" s="51" t="str">
        <f t="shared" si="17"/>
        <v>0,0411656036515804-1,01874473683204i</v>
      </c>
      <c r="F50" s="70" t="str">
        <f t="shared" si="18"/>
        <v>-0,000137418463520384-0,000308052979062581i</v>
      </c>
      <c r="G50" s="70" t="str">
        <f t="shared" si="19"/>
        <v>-0,0296453853826063-0,0664564938991296i</v>
      </c>
      <c r="H50" s="72">
        <f t="shared" si="20"/>
        <v>7.2768911327903599E-2</v>
      </c>
      <c r="I50" s="51" t="str">
        <f t="shared" si="21"/>
        <v>2,87686996547756-0,0576805335901189i</v>
      </c>
      <c r="J50" s="73" t="str">
        <f t="shared" si="22"/>
        <v>0,0463848937958324-0,210317225693431i</v>
      </c>
      <c r="K50" s="73" t="str">
        <f t="shared" si="23"/>
        <v>0,121312098011906-0,607730815244662i</v>
      </c>
      <c r="L50" s="73" t="str">
        <f t="shared" si="24"/>
        <v>-0,0439840031127554+0,00995443752539467i</v>
      </c>
      <c r="M50" s="70">
        <f t="shared" si="25"/>
        <v>-26.917166656363889</v>
      </c>
      <c r="N50" s="70">
        <f t="shared" si="26"/>
        <v>347.24767809403238</v>
      </c>
      <c r="O50" s="70">
        <f t="shared" si="12"/>
        <v>-12.752321905967619</v>
      </c>
    </row>
    <row r="51" spans="1:15" ht="15" x14ac:dyDescent="0.25">
      <c r="A51" s="71">
        <f t="shared" si="13"/>
        <v>50</v>
      </c>
      <c r="B51" s="70">
        <f t="shared" si="27"/>
        <v>60000</v>
      </c>
      <c r="C51" s="70">
        <f t="shared" si="15"/>
        <v>215.73072950425492</v>
      </c>
      <c r="D51" s="51" t="str">
        <f t="shared" si="16"/>
        <v>0,000296449293880805-0,000143931612499456i</v>
      </c>
      <c r="E51" s="51" t="str">
        <f t="shared" si="17"/>
        <v>-i</v>
      </c>
      <c r="F51" s="70" t="str">
        <f t="shared" si="18"/>
        <v>-0,000143931612499456-0,000296449293880805i</v>
      </c>
      <c r="G51" s="70" t="str">
        <f t="shared" si="19"/>
        <v>-0,0310504717632314-0,0639532224299273i</v>
      </c>
      <c r="H51" s="72">
        <f t="shared" si="20"/>
        <v>7.109252039343511E-2</v>
      </c>
      <c r="I51" s="51" t="str">
        <f t="shared" si="21"/>
        <v>2,87686996547756-0,0565269229183164i</v>
      </c>
      <c r="J51" s="73" t="str">
        <f t="shared" si="22"/>
        <v>0,0446300303064658-0,206490170955689i</v>
      </c>
      <c r="K51" s="73" t="str">
        <f t="shared" si="23"/>
        <v>0,116722539770022-0,596568169271724i</v>
      </c>
      <c r="L51" s="73" t="str">
        <f t="shared" si="24"/>
        <v>-0,0417767467493108+0,0110589405463161i</v>
      </c>
      <c r="M51" s="70">
        <f t="shared" si="25"/>
        <v>-27.287168939984547</v>
      </c>
      <c r="N51" s="70">
        <f t="shared" si="26"/>
        <v>345.17302026134314</v>
      </c>
      <c r="O51" s="70">
        <f t="shared" si="12"/>
        <v>-14.82697973865686</v>
      </c>
    </row>
    <row r="52" spans="1:15" ht="15" x14ac:dyDescent="0.25">
      <c r="A52" s="71">
        <f t="shared" si="13"/>
        <v>51</v>
      </c>
      <c r="B52" s="70">
        <f t="shared" si="27"/>
        <v>61200</v>
      </c>
      <c r="C52" s="70">
        <f t="shared" si="15"/>
        <v>215.73072950425492</v>
      </c>
      <c r="D52" s="51" t="str">
        <f t="shared" si="16"/>
        <v>0,000296448489202744-0,000141109424132655i</v>
      </c>
      <c r="E52" s="51" t="str">
        <f t="shared" si="17"/>
        <v>-0,0387703964914096-0,978856545080144i</v>
      </c>
      <c r="F52" s="70" t="str">
        <f t="shared" si="18"/>
        <v>-0,000149619308850409-0,000284709675612929i</v>
      </c>
      <c r="G52" s="70" t="str">
        <f t="shared" si="19"/>
        <v>-0,0322774826462212-0,061420626016897i</v>
      </c>
      <c r="H52" s="72">
        <f t="shared" si="20"/>
        <v>6.9385367234631221E-2</v>
      </c>
      <c r="I52" s="51" t="str">
        <f t="shared" si="21"/>
        <v>2,87686996547756-0,0554185518807025i</v>
      </c>
      <c r="J52" s="73" t="str">
        <f t="shared" si="22"/>
        <v>0,0429714630348396-0,202792791783843i</v>
      </c>
      <c r="K52" s="73" t="str">
        <f t="shared" si="23"/>
        <v>0,112384828525054-0,585789908151868i</v>
      </c>
      <c r="L52" s="73" t="str">
        <f t="shared" si="24"/>
        <v>-0,0396070822254843+0,012005077071893i</v>
      </c>
      <c r="M52" s="70">
        <f t="shared" si="25"/>
        <v>-27.662824839440503</v>
      </c>
      <c r="N52" s="70">
        <f t="shared" si="26"/>
        <v>343.13771799207325</v>
      </c>
      <c r="O52" s="70">
        <f t="shared" si="12"/>
        <v>-16.862282007926751</v>
      </c>
    </row>
    <row r="53" spans="1:15" ht="15" x14ac:dyDescent="0.25">
      <c r="A53" s="71">
        <f t="shared" si="13"/>
        <v>52</v>
      </c>
      <c r="B53" s="70">
        <f t="shared" si="27"/>
        <v>62400</v>
      </c>
      <c r="C53" s="70">
        <f t="shared" si="15"/>
        <v>215.73072950425492</v>
      </c>
      <c r="D53" s="51" t="str">
        <f t="shared" si="16"/>
        <v>0,000296447730500562-0,000138395781465906i</v>
      </c>
      <c r="E53" s="51" t="str">
        <f t="shared" si="17"/>
        <v>-0,0749821807052913-0,955655244283123i</v>
      </c>
      <c r="F53" s="70" t="str">
        <f t="shared" si="18"/>
        <v>-0,000154486951642621-0,000272924610813965i</v>
      </c>
      <c r="G53" s="70" t="str">
        <f t="shared" si="19"/>
        <v>-0,0333275827767512-0,0588782253905615i</v>
      </c>
      <c r="H53" s="72">
        <f t="shared" si="20"/>
        <v>6.7656287208824606E-2</v>
      </c>
      <c r="I53" s="51" t="str">
        <f t="shared" si="21"/>
        <v>2,87686996547755-0,0543528104983812i</v>
      </c>
      <c r="J53" s="73" t="str">
        <f t="shared" si="22"/>
        <v>0,0414023760291198-0,199219023409571i</v>
      </c>
      <c r="K53" s="73" t="str">
        <f t="shared" si="23"/>
        <v>0,108281138270529-0,575377560497257i</v>
      </c>
      <c r="L53" s="73" t="str">
        <f t="shared" si="24"/>
        <v>-0,0374859582905008+0,0128005420107187i</v>
      </c>
      <c r="M53" s="70">
        <f t="shared" si="25"/>
        <v>-28.043629552952112</v>
      </c>
      <c r="N53" s="70">
        <f t="shared" si="26"/>
        <v>341.14621335506456</v>
      </c>
      <c r="O53" s="70">
        <f t="shared" si="12"/>
        <v>-18.85378664493544</v>
      </c>
    </row>
    <row r="54" spans="1:15" ht="15" x14ac:dyDescent="0.25">
      <c r="A54" s="71">
        <f t="shared" si="13"/>
        <v>53</v>
      </c>
      <c r="B54" s="70">
        <f t="shared" si="27"/>
        <v>63600</v>
      </c>
      <c r="C54" s="70">
        <f t="shared" si="15"/>
        <v>215.73072950425492</v>
      </c>
      <c r="D54" s="51" t="str">
        <f t="shared" si="16"/>
        <v>0,00029644701433733-0,000135784540403444i</v>
      </c>
      <c r="E54" s="51" t="str">
        <f t="shared" si="17"/>
        <v>-0,108527966006091-0,93074145603929i</v>
      </c>
      <c r="F54" s="70" t="str">
        <f t="shared" si="18"/>
        <v>-0,000158553092337336-0,000261179105777769i</v>
      </c>
      <c r="G54" s="70" t="str">
        <f t="shared" si="19"/>
        <v>-0,034204774275089-0,0563443590207071i</v>
      </c>
      <c r="H54" s="72">
        <f t="shared" si="20"/>
        <v>6.591398468203942E-2</v>
      </c>
      <c r="I54" s="51" t="str">
        <f t="shared" si="21"/>
        <v>2,87686996547756-0,0533272857719968i</v>
      </c>
      <c r="J54" s="73" t="str">
        <f t="shared" si="22"/>
        <v>0,0399165368197919-0,195763139809582i</v>
      </c>
      <c r="K54" s="73" t="str">
        <f t="shared" si="23"/>
        <v>0,10439516900249-0,565313737831788i</v>
      </c>
      <c r="L54" s="73" t="str">
        <f t="shared" si="24"/>
        <v>-0,0354230533948721+0,0134543499148395i</v>
      </c>
      <c r="M54" s="70">
        <f t="shared" si="25"/>
        <v>-28.429023476746295</v>
      </c>
      <c r="N54" s="70">
        <f t="shared" si="26"/>
        <v>339.20226982462538</v>
      </c>
      <c r="O54" s="70">
        <f t="shared" si="12"/>
        <v>-20.797730175374625</v>
      </c>
    </row>
    <row r="55" spans="1:15" ht="15" x14ac:dyDescent="0.25">
      <c r="A55" s="71">
        <f t="shared" si="13"/>
        <v>54</v>
      </c>
      <c r="B55" s="70">
        <f t="shared" si="27"/>
        <v>64800.000000000007</v>
      </c>
      <c r="C55" s="70">
        <f t="shared" si="15"/>
        <v>215.73072950425492</v>
      </c>
      <c r="D55" s="51" t="str">
        <f t="shared" si="16"/>
        <v>0,000296446337591375-0,000133270011967671i</v>
      </c>
      <c r="E55" s="51" t="str">
        <f t="shared" si="17"/>
        <v>-0,139353101464065-0,9044552258485i</v>
      </c>
      <c r="F55" s="70" t="str">
        <f t="shared" si="18"/>
        <v>-0,000161847475334074-0,00024955084971832i</v>
      </c>
      <c r="G55" s="70" t="str">
        <f t="shared" si="19"/>
        <v>-0,0349154739222417-0,0538357868581399i</v>
      </c>
      <c r="H55" s="72">
        <f t="shared" si="20"/>
        <v>6.4166831508574662E-2</v>
      </c>
      <c r="I55" s="51" t="str">
        <f t="shared" si="21"/>
        <v>2,87686996547755-0,0523397434428856i</v>
      </c>
      <c r="J55" s="73" t="str">
        <f t="shared" si="22"/>
        <v>0,0385082384386722-0,192419733943851i</v>
      </c>
      <c r="K55" s="73" t="str">
        <f t="shared" si="23"/>
        <v>0,100711995079695-0,555582064668564i</v>
      </c>
      <c r="L55" s="73" t="str">
        <f t="shared" si="24"/>
        <v>-0,0334266046535641+0,013976501589432i</v>
      </c>
      <c r="M55" s="70">
        <f t="shared" si="25"/>
        <v>-28.81840967736948</v>
      </c>
      <c r="N55" s="70">
        <f t="shared" si="26"/>
        <v>337.30897231750316</v>
      </c>
      <c r="O55" s="70">
        <f t="shared" si="12"/>
        <v>-22.691027682496838</v>
      </c>
    </row>
    <row r="56" spans="1:15" ht="15" x14ac:dyDescent="0.25">
      <c r="A56" s="71">
        <f t="shared" si="13"/>
        <v>55</v>
      </c>
      <c r="B56" s="70">
        <f t="shared" si="27"/>
        <v>66000</v>
      </c>
      <c r="C56" s="70">
        <f t="shared" si="15"/>
        <v>215.73072950425492</v>
      </c>
      <c r="D56" s="51" t="str">
        <f t="shared" si="16"/>
        <v>0,000296445697422214-0,000130846920924776i</v>
      </c>
      <c r="E56" s="51" t="str">
        <f t="shared" si="17"/>
        <v>-0,167450761502273-0,877123036440475i</v>
      </c>
      <c r="F56" s="70" t="str">
        <f t="shared" si="18"/>
        <v>-0,000164408906367848-0,000238108933713605i</v>
      </c>
      <c r="G56" s="70" t="str">
        <f t="shared" si="19"/>
        <v>-0,0354680533077326-0,0513674139715163i</v>
      </c>
      <c r="H56" s="72">
        <f t="shared" si="20"/>
        <v>6.2422704391601698E-2</v>
      </c>
      <c r="I56" s="51" t="str">
        <f t="shared" si="21"/>
        <v>2,87686996547756-0,0513881117439242i</v>
      </c>
      <c r="J56" s="73" t="str">
        <f t="shared" si="22"/>
        <v>0,037172247935845-0,189183698872924i</v>
      </c>
      <c r="K56" s="73" t="str">
        <f t="shared" si="23"/>
        <v>0,097217930578107-0,546167112876166i</v>
      </c>
      <c r="L56" s="73" t="str">
        <f t="shared" si="24"/>
        <v>-0,0315033229289496+0,0143776505889625i</v>
      </c>
      <c r="M56" s="70">
        <f t="shared" si="25"/>
        <v>-29.211170023873052</v>
      </c>
      <c r="N56" s="70">
        <f t="shared" si="26"/>
        <v>335.46874535680411</v>
      </c>
      <c r="O56" s="70">
        <f>IF(N56&gt;180,-(360-N56),N56)</f>
        <v>-24.531254643195894</v>
      </c>
    </row>
    <row r="57" spans="1:15" ht="15" x14ac:dyDescent="0.25">
      <c r="A57" s="71">
        <f t="shared" si="13"/>
        <v>56</v>
      </c>
      <c r="B57" s="70">
        <f t="shared" si="27"/>
        <v>67200</v>
      </c>
      <c r="C57" s="70">
        <f t="shared" si="15"/>
        <v>215.73072950425492</v>
      </c>
      <c r="D57" s="51" t="str">
        <f t="shared" si="16"/>
        <v>0,00029644509124069-0,000128510368843328i</v>
      </c>
      <c r="E57" s="51" t="str">
        <f t="shared" si="17"/>
        <v>-0,192855936857753-0,84905129434231i</v>
      </c>
      <c r="F57" s="70" t="str">
        <f t="shared" si="18"/>
        <v>-0,000166283090800941-0,000226913100840117i</v>
      </c>
      <c r="G57" s="70" t="str">
        <f t="shared" si="19"/>
        <v>-0,0358723724827093-0,048952128778311i</v>
      </c>
      <c r="H57" s="72">
        <f t="shared" si="20"/>
        <v>6.0688862400498027E-2</v>
      </c>
      <c r="I57" s="51" t="str">
        <f t="shared" si="21"/>
        <v>2,87686996547755-0,050470466891354i</v>
      </c>
      <c r="J57" s="73" t="str">
        <f t="shared" si="22"/>
        <v>0,0359037605910008-0,186050209799465i</v>
      </c>
      <c r="K57" s="73" t="str">
        <f t="shared" si="23"/>
        <v>0,0939004095381333-0,537054340203061i</v>
      </c>
      <c r="L57" s="73" t="str">
        <f t="shared" si="24"/>
        <v>-0,029658383689802+0,014668788395173i</v>
      </c>
      <c r="M57" s="70">
        <f t="shared" si="25"/>
        <v>-29.60667957911912</v>
      </c>
      <c r="N57" s="70">
        <f t="shared" si="26"/>
        <v>333.68338604813448</v>
      </c>
      <c r="O57" s="70">
        <f t="shared" ref="O57:O101" si="28">IF(N57&gt;180,-(360-N57),N57)</f>
        <v>-26.31661395186552</v>
      </c>
    </row>
    <row r="58" spans="1:15" ht="15" x14ac:dyDescent="0.25">
      <c r="A58" s="71">
        <f t="shared" si="13"/>
        <v>57</v>
      </c>
      <c r="B58" s="70">
        <f t="shared" si="27"/>
        <v>68400</v>
      </c>
      <c r="C58" s="70">
        <f t="shared" si="15"/>
        <v>215.73072950425492</v>
      </c>
      <c r="D58" s="51" t="str">
        <f t="shared" si="16"/>
        <v>0,000296444516682751-0,000126255801041447i</v>
      </c>
      <c r="E58" s="51" t="str">
        <f t="shared" si="17"/>
        <v>-0,215638830467112-0,820521584554433i</v>
      </c>
      <c r="F58" s="70" t="str">
        <f t="shared" si="18"/>
        <v>-0,000167520558805574-0,000216013471284738i</v>
      </c>
      <c r="G58" s="70" t="str">
        <f t="shared" si="19"/>
        <v>-0,0361393323580869-0,046600743743003i</v>
      </c>
      <c r="H58" s="72">
        <f t="shared" si="20"/>
        <v>5.897186329673923E-2</v>
      </c>
      <c r="I58" s="51" t="str">
        <f t="shared" si="21"/>
        <v>2,87686996547756-0,0495850201037865i</v>
      </c>
      <c r="J58" s="73" t="str">
        <f t="shared" si="22"/>
        <v>0,034698359123358-0,183014707052478i</v>
      </c>
      <c r="K58" s="73" t="str">
        <f t="shared" si="23"/>
        <v>0,0907478792848572-0,528230032794648i</v>
      </c>
      <c r="L58" s="73" t="str">
        <f t="shared" si="24"/>
        <v>-0,0278954801658885+0,0148609620489143i</v>
      </c>
      <c r="M58" s="70">
        <f t="shared" si="25"/>
        <v>-30.004319004918507</v>
      </c>
      <c r="N58" s="70">
        <f t="shared" si="26"/>
        <v>331.95410834448336</v>
      </c>
      <c r="O58" s="70">
        <f t="shared" si="28"/>
        <v>-28.045891655516641</v>
      </c>
    </row>
    <row r="59" spans="1:15" ht="15" x14ac:dyDescent="0.25">
      <c r="A59" s="71">
        <f t="shared" si="13"/>
        <v>58</v>
      </c>
      <c r="B59" s="70">
        <f t="shared" si="27"/>
        <v>69600</v>
      </c>
      <c r="C59" s="70">
        <f t="shared" si="15"/>
        <v>215.73072950425492</v>
      </c>
      <c r="D59" s="51" t="str">
        <f t="shared" si="16"/>
        <v>0,000296443971586377-0,000124078976953215i</v>
      </c>
      <c r="E59" s="51" t="str">
        <f t="shared" si="17"/>
        <v>-0,235898099010801-0,791787600846437i</v>
      </c>
      <c r="F59" s="70" t="str">
        <f t="shared" si="18"/>
        <v>-0,000168174764837705-0,000205450666257298i</v>
      </c>
      <c r="G59" s="70" t="str">
        <f t="shared" si="19"/>
        <v>-0,0362804647026446-0,0443220221088221i</v>
      </c>
      <c r="H59" s="72">
        <f t="shared" si="20"/>
        <v>5.7277515334158445E-2</v>
      </c>
      <c r="I59" s="51" t="str">
        <f t="shared" si="21"/>
        <v>2,87686996547756-0,0487301059640659i</v>
      </c>
      <c r="J59" s="73" t="str">
        <f t="shared" si="22"/>
        <v>0,0335519772966431-0,180072880012868i</v>
      </c>
      <c r="K59" s="73" t="str">
        <f t="shared" si="23"/>
        <v>0,0877497052428159-0,519681251515034i</v>
      </c>
      <c r="L59" s="73" t="str">
        <f t="shared" si="24"/>
        <v>-0,0262169240029191+0,0149650329264027i</v>
      </c>
      <c r="M59" s="70">
        <f t="shared" si="25"/>
        <v>-30.403484877640423</v>
      </c>
      <c r="N59" s="70">
        <f t="shared" si="26"/>
        <v>330.28159514584377</v>
      </c>
      <c r="O59" s="70">
        <f t="shared" si="28"/>
        <v>-29.718404854156233</v>
      </c>
    </row>
    <row r="60" spans="1:15" ht="15" x14ac:dyDescent="0.25">
      <c r="A60" s="71">
        <f t="shared" si="13"/>
        <v>59</v>
      </c>
      <c r="B60" s="70">
        <f t="shared" si="27"/>
        <v>70800</v>
      </c>
      <c r="C60" s="70">
        <f t="shared" si="15"/>
        <v>215.73072950425492</v>
      </c>
      <c r="D60" s="51" t="str">
        <f t="shared" si="16"/>
        <v>0,000296443453971199-0,000121975943508688i</v>
      </c>
      <c r="E60" s="51" t="str">
        <f t="shared" si="17"/>
        <v>-0,253754296104207-0,763073571363313i</v>
      </c>
      <c r="F60" s="70" t="str">
        <f t="shared" si="18"/>
        <v>-0,000168300418830746-0,000195256245442385i</v>
      </c>
      <c r="G60" s="70" t="str">
        <f t="shared" si="19"/>
        <v>-0,0363075721302285-0,0421227722695476i</v>
      </c>
      <c r="H60" s="72">
        <f t="shared" si="20"/>
        <v>5.5610859889628696E-2</v>
      </c>
      <c r="I60" s="51" t="str">
        <f t="shared" si="21"/>
        <v>2,87686996547756-0,0479041719646751i</v>
      </c>
      <c r="J60" s="73" t="str">
        <f t="shared" si="22"/>
        <v>0,0324608673948155-0,177220651964695i</v>
      </c>
      <c r="K60" s="73" t="str">
        <f t="shared" si="23"/>
        <v>0,0848960858740859-0,511395781873386i</v>
      </c>
      <c r="L60" s="73" t="str">
        <f t="shared" si="24"/>
        <v>-0,0246237788209073+0,0149914807456125i</v>
      </c>
      <c r="M60" s="70">
        <f t="shared" si="25"/>
        <v>-30.80359793036417</v>
      </c>
      <c r="N60" s="70">
        <f t="shared" si="26"/>
        <v>328.66605505926145</v>
      </c>
      <c r="O60" s="70">
        <f t="shared" si="28"/>
        <v>-31.333944940738547</v>
      </c>
    </row>
    <row r="61" spans="1:15" ht="15" x14ac:dyDescent="0.25">
      <c r="A61" s="71">
        <f t="shared" si="13"/>
        <v>60</v>
      </c>
      <c r="B61" s="70">
        <f t="shared" si="27"/>
        <v>72000</v>
      </c>
      <c r="C61" s="70">
        <f t="shared" si="15"/>
        <v>215.73072950425492</v>
      </c>
      <c r="D61" s="51" t="str">
        <f t="shared" si="16"/>
        <v>0,000296442962020491-0,000119943011175901i</v>
      </c>
      <c r="E61" s="51" t="str">
        <f t="shared" si="17"/>
        <v>-0,269343780607248-0,734573947110676i</v>
      </c>
      <c r="F61" s="70" t="str">
        <f t="shared" si="18"/>
        <v>-0,000167952079272831-0,000185453372617038i</v>
      </c>
      <c r="G61" s="70" t="str">
        <f t="shared" si="19"/>
        <v>-0,0362324245832843-0,040007991363698i</v>
      </c>
      <c r="H61" s="72">
        <f t="shared" si="20"/>
        <v>5.3976179599348438E-2</v>
      </c>
      <c r="I61" s="51" t="str">
        <f t="shared" si="21"/>
        <v>2,87686996547756-0,047105769098597i</v>
      </c>
      <c r="J61" s="73" t="str">
        <f t="shared" si="22"/>
        <v>0,0314215711123014-0,174454165846322i</v>
      </c>
      <c r="K61" s="73" t="str">
        <f t="shared" si="23"/>
        <v>0,082177976546452-0,503362087349256i</v>
      </c>
      <c r="L61" s="73" t="str">
        <f t="shared" si="24"/>
        <v>-0,0231160133811083+0,0149502530920099i</v>
      </c>
      <c r="M61" s="70">
        <f t="shared" si="25"/>
        <v>-31.204109330175122</v>
      </c>
      <c r="N61" s="70">
        <f t="shared" si="26"/>
        <v>327.10728106263701</v>
      </c>
      <c r="O61" s="70">
        <f t="shared" si="28"/>
        <v>-32.892718937362986</v>
      </c>
    </row>
    <row r="62" spans="1:15" ht="15" x14ac:dyDescent="0.25">
      <c r="A62" s="71">
        <f t="shared" si="13"/>
        <v>61</v>
      </c>
      <c r="B62" s="70">
        <f t="shared" si="27"/>
        <v>73200</v>
      </c>
      <c r="C62" s="70">
        <f t="shared" si="15"/>
        <v>215.73072950425492</v>
      </c>
      <c r="D62" s="51" t="str">
        <f t="shared" si="16"/>
        <v>0,000296442494065211-0,000117976732359389i</v>
      </c>
      <c r="E62" s="51" t="str">
        <f t="shared" si="17"/>
        <v>-0,282813264215408-0,706454099800979i</v>
      </c>
      <c r="F62" s="70" t="str">
        <f t="shared" si="18"/>
        <v>-0,000167183015655152-0,000176057630507569i</v>
      </c>
      <c r="G62" s="70" t="str">
        <f t="shared" si="19"/>
        <v>-0,0360665139280072-0,0379810410641884i</v>
      </c>
      <c r="H62" s="72">
        <f t="shared" si="20"/>
        <v>5.237702652154571E-2</v>
      </c>
      <c r="I62" s="51" t="str">
        <f t="shared" si="21"/>
        <v>2,87686996547756-0,0463335433756693i</v>
      </c>
      <c r="J62" s="73" t="str">
        <f t="shared" si="22"/>
        <v>0,03043089346109-0,171769770868596i</v>
      </c>
      <c r="K62" s="73" t="str">
        <f t="shared" si="23"/>
        <v>0,0795870212916884-0,495569265910966i</v>
      </c>
      <c r="L62" s="73" t="str">
        <f t="shared" si="24"/>
        <v>-0,0216926630506194+0,0148506579074141i</v>
      </c>
      <c r="M62" s="70">
        <f t="shared" si="25"/>
        <v>-31.604505164237899</v>
      </c>
      <c r="N62" s="70">
        <f t="shared" si="26"/>
        <v>325.60470880454091</v>
      </c>
      <c r="O62" s="70">
        <f t="shared" si="28"/>
        <v>-34.395291195459095</v>
      </c>
    </row>
    <row r="63" spans="1:15" ht="15" x14ac:dyDescent="0.25">
      <c r="A63" s="71">
        <f t="shared" si="13"/>
        <v>62</v>
      </c>
      <c r="B63" s="70">
        <f t="shared" si="27"/>
        <v>74400</v>
      </c>
      <c r="C63" s="70">
        <f t="shared" si="15"/>
        <v>215.73072950425492</v>
      </c>
      <c r="D63" s="51" t="str">
        <f t="shared" si="16"/>
        <v>0,00029644204856982-0,000116073881889189i</v>
      </c>
      <c r="E63" s="51" t="str">
        <f t="shared" si="17"/>
        <v>-0,294315093739357-0,678851778714291i</v>
      </c>
      <c r="F63" s="70" t="str">
        <f t="shared" si="18"/>
        <v>-0,000166044330495862-0,000167077916528423i</v>
      </c>
      <c r="G63" s="70" t="str">
        <f t="shared" si="19"/>
        <v>-0,0358208645479179-0,0360438408167277i</v>
      </c>
      <c r="H63" s="72">
        <f t="shared" si="20"/>
        <v>5.0816265090833736E-2</v>
      </c>
      <c r="I63" s="51" t="str">
        <f t="shared" si="21"/>
        <v>2,87686996547756-0,0455862281599326i</v>
      </c>
      <c r="J63" s="73" t="str">
        <f t="shared" si="22"/>
        <v>0,0294858793475647-0,169164009962715i</v>
      </c>
      <c r="K63" s="73" t="str">
        <f t="shared" si="23"/>
        <v>0,0771154915460945-0,488007009524916i</v>
      </c>
      <c r="L63" s="73" t="str">
        <f t="shared" si="24"/>
        <v>-0,0203519905459821+0,0147012944848354i</v>
      </c>
      <c r="M63" s="70">
        <f t="shared" si="25"/>
        <v>-32.00430934794872</v>
      </c>
      <c r="N63" s="70">
        <f t="shared" si="26"/>
        <v>324.15747277745845</v>
      </c>
      <c r="O63" s="70">
        <f t="shared" si="28"/>
        <v>-35.842527222541548</v>
      </c>
    </row>
    <row r="64" spans="1:15" ht="15" x14ac:dyDescent="0.25">
      <c r="A64" s="71">
        <f t="shared" si="13"/>
        <v>63</v>
      </c>
      <c r="B64" s="70">
        <f t="shared" si="27"/>
        <v>75600</v>
      </c>
      <c r="C64" s="70">
        <f t="shared" si="15"/>
        <v>215.73072950425492</v>
      </c>
      <c r="D64" s="51" t="str">
        <f t="shared" si="16"/>
        <v>0,000296441624119672-0,000114231439368019i</v>
      </c>
      <c r="E64" s="51" t="str">
        <f t="shared" si="17"/>
        <v>-0,304003299211843-0,65187909633581i</v>
      </c>
      <c r="F64" s="70" t="str">
        <f t="shared" si="18"/>
        <v>-0,00016458431922446-0,000158517363605856i</v>
      </c>
      <c r="G64" s="70" t="str">
        <f t="shared" si="19"/>
        <v>-0,0355058952512539-0,0341970664897825i</v>
      </c>
      <c r="H64" s="72">
        <f t="shared" si="20"/>
        <v>4.9296125142850929E-2</v>
      </c>
      <c r="I64" s="51" t="str">
        <f t="shared" si="21"/>
        <v>2,87686996547756-0,0448626372367592i</v>
      </c>
      <c r="J64" s="73" t="str">
        <f t="shared" si="22"/>
        <v>0,0285837925155492-0,166633608017642i</v>
      </c>
      <c r="K64" s="73" t="str">
        <f t="shared" si="23"/>
        <v>0,074756231079478-0,480665566459591i</v>
      </c>
      <c r="L64" s="73" t="str">
        <f t="shared" si="24"/>
        <v>-0,0190916392456541+0,0145100174488484i</v>
      </c>
      <c r="M64" s="70">
        <f t="shared" si="25"/>
        <v>-32.403085186629042</v>
      </c>
      <c r="N64" s="70">
        <f t="shared" si="26"/>
        <v>322.76445908252657</v>
      </c>
      <c r="O64" s="70">
        <f t="shared" si="28"/>
        <v>-37.235540917473429</v>
      </c>
    </row>
    <row r="65" spans="1:15" ht="15" x14ac:dyDescent="0.25">
      <c r="A65" s="71">
        <f t="shared" si="13"/>
        <v>64</v>
      </c>
      <c r="B65" s="70">
        <f t="shared" si="27"/>
        <v>76800</v>
      </c>
      <c r="C65" s="70">
        <f t="shared" si="15"/>
        <v>215.73072950425492</v>
      </c>
      <c r="D65" s="51" t="str">
        <f t="shared" si="16"/>
        <v>0,000296441219409773-0,000112446573173415i</v>
      </c>
      <c r="E65" s="51" t="str">
        <f t="shared" si="17"/>
        <v>-0,312030390352364-0,625624842811758i</v>
      </c>
      <c r="F65" s="70" t="str">
        <f t="shared" si="18"/>
        <v>-0,000162848039075301-0,000150374243175079i</v>
      </c>
      <c r="G65" s="70" t="str">
        <f t="shared" si="19"/>
        <v>-0,0351313262680521-0,03244034517881i</v>
      </c>
      <c r="H65" s="72">
        <f t="shared" si="20"/>
        <v>4.781826095408185E-2</v>
      </c>
      <c r="I65" s="51" t="str">
        <f t="shared" si="21"/>
        <v>2,87686996547756-0,0441616585299347i</v>
      </c>
      <c r="J65" s="73" t="str">
        <f t="shared" si="22"/>
        <v>0,0277220965897599-0,164175460865587i</v>
      </c>
      <c r="K65" s="73" t="str">
        <f t="shared" si="23"/>
        <v>0,0725026064174074-0,473535706195975i</v>
      </c>
      <c r="L65" s="73" t="str">
        <f t="shared" si="24"/>
        <v>-0,0179087744848231+0,0142839278153992i</v>
      </c>
      <c r="M65" s="70">
        <f t="shared" si="25"/>
        <v>-32.800435823448339</v>
      </c>
      <c r="N65" s="70">
        <f t="shared" si="26"/>
        <v>321.42435393317055</v>
      </c>
      <c r="O65" s="70">
        <f t="shared" si="28"/>
        <v>-38.575646066829449</v>
      </c>
    </row>
    <row r="66" spans="1:15" ht="15" x14ac:dyDescent="0.25">
      <c r="A66" s="71">
        <f t="shared" si="13"/>
        <v>65</v>
      </c>
      <c r="B66" s="70">
        <f t="shared" si="27"/>
        <v>78000</v>
      </c>
      <c r="C66" s="70">
        <f t="shared" ref="C66:C101" si="29">_ta1*_ta2*(rload/RS)</f>
        <v>215.73072950425492</v>
      </c>
      <c r="D66" s="51" t="str">
        <f t="shared" ref="D66:D101" si="30">IMDIV((COMPLEX(1,2*PI()*(B66)*(esrcout*0.001)*(cout*0.000001))),(COMPLEX(1,2*PI()*(B66)*rload*(cout*0.000001))))</f>
        <v>0,000296440833234731-0,000110716625936593i</v>
      </c>
      <c r="E66" s="51" t="str">
        <f t="shared" ref="E66:E101" si="31">IMDIV(1,(COMPLEX((1-(B66/(fpp*1000))^2),(B66/(fpp*1000)))))</f>
        <v>-0,318544850191589-0,60015696412908i</v>
      </c>
      <c r="F66" s="70" t="str">
        <f t="shared" ref="F66:F97" si="32">IMPRODUCT(D66,E66)</f>
        <v>-0,000160877054914148-0,000142642819495361i</v>
      </c>
      <c r="G66" s="70" t="str">
        <f t="shared" ref="G66:G97" si="33">IMPRODUCT(C66,F66)</f>
        <v>-0,0347061244171252-0,030772439508278i</v>
      </c>
      <c r="H66" s="72">
        <f t="shared" ref="H66:H97" si="34">IMABS(G66)</f>
        <v>4.6383812966891841E-2</v>
      </c>
      <c r="I66" s="51" t="str">
        <f t="shared" ref="I66:I101" si="35">IMDIV((COMPLEX(1,(2*PI()*B66*(rf*1000)*(Cz*0.000000001)))),(COMPLEX(0,2*PI()*B66*((Cz*0.000000001)+(Cp*0.000000000001))*(RII*1000))))</f>
        <v>2,87686996547757-0,0434822483987051i</v>
      </c>
      <c r="J66" s="73" t="str">
        <f t="shared" ref="J66:J101" si="36">IMDIV(1,(COMPLEX(1,2*PI()*B66*(((Cz*0.000000001)*(Cp*0.000000000001))/((Cz*0.000000001)+(Cp*0.000000000001)))*(rf*1000))))</f>
        <v>0,0268984379865177-0,161786624973769i</v>
      </c>
      <c r="K66" s="73" t="str">
        <f t="shared" ref="K66:K97" si="37">IMPRODUCT(I66,J66)</f>
        <v>0,0703484621469762-0,466608686765086i</v>
      </c>
      <c r="L66" s="73" t="str">
        <f t="shared" ref="L66:L97" si="38">IMPRODUCT(G66,K66)</f>
        <v>-0,016800210067342+0,0140293853410623i</v>
      </c>
      <c r="M66" s="70">
        <f t="shared" ref="M66:M97" si="39">20*LOG(IMABS(L66))</f>
        <v>-33.196003795192176</v>
      </c>
      <c r="N66" s="70">
        <f t="shared" ref="N66:N101" si="40">(180/PI())*IMARGUMENT(L66)+180</f>
        <v>320.13568740877258</v>
      </c>
      <c r="O66" s="70">
        <f t="shared" si="28"/>
        <v>-39.864312591227417</v>
      </c>
    </row>
    <row r="67" spans="1:15" ht="15" x14ac:dyDescent="0.25">
      <c r="A67" s="71">
        <f t="shared" si="13"/>
        <v>66</v>
      </c>
      <c r="B67" s="70">
        <f t="shared" si="27"/>
        <v>79200</v>
      </c>
      <c r="C67" s="70">
        <f t="shared" si="29"/>
        <v>215.73072950425492</v>
      </c>
      <c r="D67" s="51" t="str">
        <f t="shared" si="30"/>
        <v>0,000296440464479774-0,000109039101341411i</v>
      </c>
      <c r="E67" s="51" t="str">
        <f t="shared" si="31"/>
        <v>-0,323689253851623-0,57552507419739i</v>
      </c>
      <c r="F67" s="70" t="str">
        <f t="shared" si="32"/>
        <v>-0,000158709329648819-0,000135314134960978i</v>
      </c>
      <c r="G67" s="70" t="str">
        <f t="shared" si="33"/>
        <v>-0,034238479464271-0,029191417047369i</v>
      </c>
      <c r="H67" s="72">
        <f t="shared" si="34"/>
        <v>4.4993469584582294E-2</v>
      </c>
      <c r="I67" s="51" t="str">
        <f t="shared" si="35"/>
        <v>2,87686996547756-0,0428234264532701i</v>
      </c>
      <c r="J67" s="73" t="str">
        <f t="shared" si="36"/>
        <v>0,0261106304869041-0,159464307801089i</v>
      </c>
      <c r="K67" s="73" t="str">
        <f t="shared" si="37"/>
        <v>0,0682880805704156-0,459876224342926i</v>
      </c>
      <c r="L67" s="73" t="str">
        <f t="shared" si="38"/>
        <v>-0,0157625186992284+0,0137520368239764i</v>
      </c>
      <c r="M67" s="70">
        <f t="shared" si="39"/>
        <v>-33.589469898311869</v>
      </c>
      <c r="N67" s="70">
        <f t="shared" si="40"/>
        <v>318.89687226287435</v>
      </c>
      <c r="O67" s="70">
        <f t="shared" si="28"/>
        <v>-41.103127737125646</v>
      </c>
    </row>
    <row r="68" spans="1:15" ht="15" x14ac:dyDescent="0.25">
      <c r="A68" s="71">
        <f t="shared" ref="A68:A100" si="41">1+A67</f>
        <v>67</v>
      </c>
      <c r="B68" s="70">
        <f t="shared" ref="B68:B99" si="42">(fs*1000/2)*(A68/100)</f>
        <v>80400</v>
      </c>
      <c r="C68" s="70">
        <f t="shared" si="29"/>
        <v>215.73072950425492</v>
      </c>
      <c r="D68" s="51" t="str">
        <f t="shared" si="30"/>
        <v>0,000296440112112701-0,000107411652105518i</v>
      </c>
      <c r="E68" s="51" t="str">
        <f t="shared" si="31"/>
        <v>-0,327598930100435-0,551762903889622i</v>
      </c>
      <c r="F68" s="70" t="str">
        <f t="shared" si="32"/>
        <v>-0,000156379228644296-0,000128376714778581i</v>
      </c>
      <c r="G68" s="70" t="str">
        <f t="shared" si="33"/>
        <v>-0,0337358050747467-0,0276948023305429i</v>
      </c>
      <c r="H68" s="72">
        <f t="shared" si="34"/>
        <v>4.364752707965424E-2</v>
      </c>
      <c r="I68" s="51" t="str">
        <f t="shared" si="35"/>
        <v>2,87686996547756-0,0421842708345646i</v>
      </c>
      <c r="J68" s="73" t="str">
        <f t="shared" si="36"/>
        <v>0,0253566412921541-0,157205858779293i</v>
      </c>
      <c r="K68" s="73" t="str">
        <f t="shared" si="37"/>
        <v>0,0663161452352602-0,453330464942978i</v>
      </c>
      <c r="L68" s="73" t="str">
        <f t="shared" si="38"/>
        <v>-0,0147921261659742+0,0134568556661465i</v>
      </c>
      <c r="M68" s="70">
        <f t="shared" si="39"/>
        <v>-33.980551543929984</v>
      </c>
      <c r="N68" s="70">
        <f t="shared" si="40"/>
        <v>317.70623781566957</v>
      </c>
      <c r="O68" s="70">
        <f t="shared" si="28"/>
        <v>-42.293762184330433</v>
      </c>
    </row>
    <row r="69" spans="1:15" ht="15" x14ac:dyDescent="0.25">
      <c r="A69" s="71">
        <f t="shared" si="41"/>
        <v>68</v>
      </c>
      <c r="B69" s="70">
        <f t="shared" si="42"/>
        <v>81600</v>
      </c>
      <c r="C69" s="70">
        <f t="shared" si="29"/>
        <v>215.73072950425492</v>
      </c>
      <c r="D69" s="51" t="str">
        <f t="shared" si="30"/>
        <v>0,000296439775176642-0,000105832069021988i</v>
      </c>
      <c r="E69" s="51" t="str">
        <f t="shared" si="31"/>
        <v>-0,330401080778646-0,528890618948869i</v>
      </c>
      <c r="F69" s="70" t="str">
        <f t="shared" si="32"/>
        <v>-0,00015391761059382-0,000121817186188333i</v>
      </c>
      <c r="G69" s="70" t="str">
        <f t="shared" si="33"/>
        <v>-0,0332047584169566-0,0262797104425647i</v>
      </c>
      <c r="H69" s="72">
        <f t="shared" si="34"/>
        <v>4.2345946234244133E-2</v>
      </c>
      <c r="I69" s="51" t="str">
        <f t="shared" si="35"/>
        <v>2,87686996547756-0,0415639139105268i</v>
      </c>
      <c r="J69" s="73" t="str">
        <f t="shared" si="36"/>
        <v>0,0246345784024981-0,155008760879601i</v>
      </c>
      <c r="K69" s="73" t="str">
        <f t="shared" si="37"/>
        <v>0,0644277079257718-0,446963958056361i</v>
      </c>
      <c r="L69" s="73" t="str">
        <f t="shared" si="38"/>
        <v>-0,0138853898730173+0,0131481887395808i</v>
      </c>
      <c r="M69" s="70">
        <f t="shared" si="39"/>
        <v>-34.369000754863102</v>
      </c>
      <c r="N69" s="70">
        <f t="shared" si="40"/>
        <v>316.56205912422786</v>
      </c>
      <c r="O69" s="70">
        <f t="shared" si="28"/>
        <v>-43.437940875772142</v>
      </c>
    </row>
    <row r="70" spans="1:15" ht="15" x14ac:dyDescent="0.25">
      <c r="A70" s="71">
        <f t="shared" si="41"/>
        <v>69</v>
      </c>
      <c r="B70" s="70">
        <f t="shared" si="42"/>
        <v>82800</v>
      </c>
      <c r="C70" s="70">
        <f t="shared" si="29"/>
        <v>215.73072950425492</v>
      </c>
      <c r="D70" s="51" t="str">
        <f t="shared" si="30"/>
        <v>0,000296439452783558-0,000104298270953855i</v>
      </c>
      <c r="E70" s="51" t="str">
        <f t="shared" si="31"/>
        <v>-0,332214276180469-0,506916962769844i</v>
      </c>
      <c r="F70" s="70" t="str">
        <f t="shared" si="32"/>
        <v>-0,000151351980971898-0,000115620812458386i</v>
      </c>
      <c r="G70" s="70" t="str">
        <f t="shared" si="33"/>
        <v>-0,0326512732669817-0,0249429622175223i</v>
      </c>
      <c r="H70" s="72">
        <f t="shared" si="34"/>
        <v>4.1088404813765397E-2</v>
      </c>
      <c r="I70" s="51" t="str">
        <f t="shared" si="35"/>
        <v>2,87686996547756-0,0409615383466062i</v>
      </c>
      <c r="J70" s="73" t="str">
        <f t="shared" si="36"/>
        <v>0,0239426791793249-0,152870622727327i</v>
      </c>
      <c r="K70" s="73" t="str">
        <f t="shared" si="37"/>
        <v>0,0626181587491497-0,440769632099423i</v>
      </c>
      <c r="L70" s="73" t="str">
        <f t="shared" si="38"/>
        <v>-0,0130386628928808+0,0128298073376544i</v>
      </c>
      <c r="M70" s="70">
        <f t="shared" si="39"/>
        <v>-34.754601932268145</v>
      </c>
      <c r="N70" s="70">
        <f t="shared" si="40"/>
        <v>315.4625817348732</v>
      </c>
      <c r="O70" s="70">
        <f t="shared" si="28"/>
        <v>-44.537418265126803</v>
      </c>
    </row>
    <row r="71" spans="1:15" ht="15" x14ac:dyDescent="0.25">
      <c r="A71" s="71">
        <f t="shared" si="41"/>
        <v>70</v>
      </c>
      <c r="B71" s="70">
        <f t="shared" si="42"/>
        <v>84000</v>
      </c>
      <c r="C71" s="70">
        <f t="shared" si="29"/>
        <v>215.73072950425492</v>
      </c>
      <c r="D71" s="51" t="str">
        <f t="shared" si="30"/>
        <v>0,00029643914410839-0,000102808295686258i</v>
      </c>
      <c r="E71" s="51" t="str">
        <f t="shared" si="31"/>
        <v>-0,333148250971682-0,485841199333704i</v>
      </c>
      <c r="F71" s="70" t="str">
        <f t="shared" si="32"/>
        <v>-0,000148706688056918-0,000109771945409821i</v>
      </c>
      <c r="G71" s="70" t="str">
        <f t="shared" si="33"/>
        <v>-0,0320806022966806-0,0236811818623619i</v>
      </c>
      <c r="H71" s="72">
        <f t="shared" si="34"/>
        <v>3.9874345362852628E-2</v>
      </c>
      <c r="I71" s="51" t="str">
        <f t="shared" si="35"/>
        <v>2,87686996547756-0,0403763735130832i</v>
      </c>
      <c r="J71" s="73" t="str">
        <f t="shared" si="36"/>
        <v>0,0232792999668251-0,150789171228838i</v>
      </c>
      <c r="K71" s="73" t="str">
        <f t="shared" si="37"/>
        <v>0,0608831989926381-0,434740771538081i</v>
      </c>
      <c r="L71" s="73" t="str">
        <f t="shared" si="38"/>
        <v>-0,0122483449672093+0,0125049596861582i</v>
      </c>
      <c r="M71" s="70">
        <f t="shared" si="39"/>
        <v>-35.13716949555868</v>
      </c>
      <c r="N71" s="70">
        <f t="shared" si="40"/>
        <v>314.40604239002846</v>
      </c>
      <c r="O71" s="70">
        <f t="shared" si="28"/>
        <v>-45.59395760997154</v>
      </c>
    </row>
    <row r="72" spans="1:15" ht="15" x14ac:dyDescent="0.25">
      <c r="A72" s="71">
        <f t="shared" si="41"/>
        <v>71</v>
      </c>
      <c r="B72" s="70">
        <f t="shared" si="42"/>
        <v>85200</v>
      </c>
      <c r="C72" s="70">
        <f t="shared" si="29"/>
        <v>215.73072950425492</v>
      </c>
      <c r="D72" s="51" t="str">
        <f t="shared" si="30"/>
        <v>0,000296438848383764-0,000101360291551647i</v>
      </c>
      <c r="E72" s="51" t="str">
        <f t="shared" si="31"/>
        <v>-0,333303933678997-0,465654846344132i</v>
      </c>
      <c r="F72" s="70" t="str">
        <f t="shared" si="32"/>
        <v>-0,000146003145249459-0,000104254402501559i</v>
      </c>
      <c r="G72" s="70" t="str">
        <f t="shared" si="33"/>
        <v>-0,0314973650345815-0,0224908783056915i</v>
      </c>
      <c r="H72" s="72">
        <f t="shared" si="34"/>
        <v>3.8703018113360382E-2</v>
      </c>
      <c r="I72" s="51" t="str">
        <f t="shared" si="35"/>
        <v>2,87686996547756-0,0398076921959976i</v>
      </c>
      <c r="J72" s="73" t="str">
        <f t="shared" si="36"/>
        <v>0,0226429066635086-0,148762244676989i</v>
      </c>
      <c r="K72" s="73" t="str">
        <f t="shared" si="37"/>
        <v>0,0592188164648723-0,428870995567137i</v>
      </c>
      <c r="L72" s="73" t="str">
        <f t="shared" si="38"/>
        <v>-0,0115109220492512+0,012176423105604i</v>
      </c>
      <c r="M72" s="70">
        <f t="shared" si="39"/>
        <v>-35.51654547759086</v>
      </c>
      <c r="N72" s="70">
        <f t="shared" si="40"/>
        <v>313.39068609593392</v>
      </c>
      <c r="O72" s="70">
        <f t="shared" si="28"/>
        <v>-46.609313904066084</v>
      </c>
    </row>
    <row r="73" spans="1:15" ht="15" x14ac:dyDescent="0.25">
      <c r="A73" s="71">
        <f t="shared" si="41"/>
        <v>72</v>
      </c>
      <c r="B73" s="70">
        <f t="shared" si="42"/>
        <v>86400</v>
      </c>
      <c r="C73" s="70">
        <f t="shared" si="29"/>
        <v>215.73072950425492</v>
      </c>
      <c r="D73" s="51" t="str">
        <f t="shared" si="30"/>
        <v>0,000296438564895226-0,0000999525097528843i</v>
      </c>
      <c r="E73" s="51" t="str">
        <f t="shared" si="31"/>
        <v>-0,3327736520237-0,446343199435663i</v>
      </c>
      <c r="F73" s="70" t="str">
        <f t="shared" si="32"/>
        <v>-0,000143260066835576-0,0000990517757920498i</v>
      </c>
      <c r="G73" s="70" t="str">
        <f t="shared" si="33"/>
        <v>-0,0309055987272671-0,0213685118503108i</v>
      </c>
      <c r="H73" s="72">
        <f t="shared" si="34"/>
        <v>3.7573519017889807E-2</v>
      </c>
      <c r="I73" s="51" t="str">
        <f t="shared" si="35"/>
        <v>2,87686996547756-0,0392548075821642i</v>
      </c>
      <c r="J73" s="73" t="str">
        <f t="shared" si="36"/>
        <v>0,0220320661464562-0,146787786303134i</v>
      </c>
      <c r="K73" s="73" t="str">
        <f t="shared" si="37"/>
        <v>0,0576212630674134-0,423154238231641i</v>
      </c>
      <c r="L73" s="73" t="str">
        <f t="shared" si="38"/>
        <v>-0,0108229959886818+0,0118465544438436i</v>
      </c>
      <c r="M73" s="70">
        <f t="shared" si="39"/>
        <v>-35.89259713816574</v>
      </c>
      <c r="N73" s="70">
        <f t="shared" si="40"/>
        <v>312.41477996642868</v>
      </c>
      <c r="O73" s="70">
        <f t="shared" si="28"/>
        <v>-47.585220033571318</v>
      </c>
    </row>
    <row r="74" spans="1:15" ht="15" x14ac:dyDescent="0.25">
      <c r="A74" s="71">
        <f t="shared" si="41"/>
        <v>73</v>
      </c>
      <c r="B74" s="70">
        <f t="shared" si="42"/>
        <v>87600</v>
      </c>
      <c r="C74" s="70">
        <f t="shared" si="29"/>
        <v>215.73072950425492</v>
      </c>
      <c r="D74" s="51" t="str">
        <f t="shared" si="30"/>
        <v>0,000296438292976919-0,0000985832973173303i</v>
      </c>
      <c r="E74" s="51" t="str">
        <f t="shared" si="31"/>
        <v>-0,331641465588464-0,427886655849379i</v>
      </c>
      <c r="F74" s="70" t="str">
        <f t="shared" si="32"/>
        <v>-0,000140493707351125-0,0000941476806427296i</v>
      </c>
      <c r="G74" s="70" t="str">
        <f t="shared" si="33"/>
        <v>-0,0303088099776155-0,0203105478261897i</v>
      </c>
      <c r="H74" s="72">
        <f t="shared" si="34"/>
        <v>3.6484823081099682E-2</v>
      </c>
      <c r="I74" s="51" t="str">
        <f t="shared" si="35"/>
        <v>2,87686996547756-0,0387170704919977i</v>
      </c>
      <c r="J74" s="73" t="str">
        <f t="shared" si="36"/>
        <v>0,0214454384620841-0,14486383824562i</v>
      </c>
      <c r="K74" s="73" t="str">
        <f t="shared" si="37"/>
        <v>0,05608703437097-0,417584729885292i</v>
      </c>
      <c r="L74" s="73" t="str">
        <f t="shared" si="38"/>
        <v>-0,0101813058947795+0,0115173378336265i</v>
      </c>
      <c r="M74" s="70">
        <f t="shared" si="39"/>
        <v>-36.265214642768761</v>
      </c>
      <c r="N74" s="70">
        <f t="shared" si="40"/>
        <v>311.47662424855588</v>
      </c>
      <c r="O74" s="70">
        <f t="shared" si="28"/>
        <v>-48.523375751444121</v>
      </c>
    </row>
    <row r="75" spans="1:15" ht="15" x14ac:dyDescent="0.25">
      <c r="A75" s="71">
        <f t="shared" si="41"/>
        <v>74</v>
      </c>
      <c r="B75" s="70">
        <f t="shared" si="42"/>
        <v>88800</v>
      </c>
      <c r="C75" s="70">
        <f t="shared" si="29"/>
        <v>215.73072950425492</v>
      </c>
      <c r="D75" s="51" t="str">
        <f t="shared" si="30"/>
        <v>0,000296438032007675-0,0000972510906222136i</v>
      </c>
      <c r="E75" s="51" t="str">
        <f t="shared" si="31"/>
        <v>-0,329983585977756-0,410261850846i</v>
      </c>
      <c r="F75" s="70" t="str">
        <f t="shared" si="32"/>
        <v>-0,000137718097257543-0,0000895259520488488i</v>
      </c>
      <c r="G75" s="70" t="str">
        <f t="shared" si="33"/>
        <v>-0,0297100255873077-0,0193134989450611i</v>
      </c>
      <c r="H75" s="72">
        <f t="shared" si="34"/>
        <v>3.5435813267079883E-2</v>
      </c>
      <c r="I75" s="51" t="str">
        <f t="shared" si="35"/>
        <v>2,87686996547756-0,0381938668367003i</v>
      </c>
      <c r="J75" s="73" t="str">
        <f t="shared" si="36"/>
        <v>0,0208817697067948-0,14298853590658i</v>
      </c>
      <c r="K75" s="73" t="str">
        <f t="shared" si="37"/>
        <v>0,0546128509959065-0,412156979888746i</v>
      </c>
      <c r="L75" s="73" t="str">
        <f t="shared" si="38"/>
        <v>-0,00958274259676507+0,0111904291783859i</v>
      </c>
      <c r="M75" s="70">
        <f t="shared" si="39"/>
        <v>-36.634308840045072</v>
      </c>
      <c r="N75" s="70">
        <f t="shared" si="40"/>
        <v>310.57456091414588</v>
      </c>
      <c r="O75" s="70">
        <f t="shared" si="28"/>
        <v>-49.425439085854123</v>
      </c>
    </row>
    <row r="76" spans="1:15" ht="15" x14ac:dyDescent="0.25">
      <c r="A76" s="71">
        <f t="shared" si="41"/>
        <v>75</v>
      </c>
      <c r="B76" s="70">
        <f t="shared" si="42"/>
        <v>90000</v>
      </c>
      <c r="C76" s="70">
        <f t="shared" si="29"/>
        <v>215.73072950425492</v>
      </c>
      <c r="D76" s="51" t="str">
        <f t="shared" si="30"/>
        <v>0,000296437781407448-0,0000959544094379705i</v>
      </c>
      <c r="E76" s="51" t="str">
        <f t="shared" si="31"/>
        <v>-0,327868852459016-0,39344262295082i</v>
      </c>
      <c r="F76" s="70" t="str">
        <f t="shared" si="32"/>
        <v>-0,000134945269748529-0,0000851707961478582i</v>
      </c>
      <c r="G76" s="70" t="str">
        <f t="shared" si="33"/>
        <v>-0,0291118414859986-0,0183739579854356i</v>
      </c>
      <c r="H76" s="72">
        <f t="shared" si="34"/>
        <v>3.4425305325537225E-2</v>
      </c>
      <c r="I76" s="51" t="str">
        <f t="shared" si="35"/>
        <v>2,87686996547757-0,0376846152788778i</v>
      </c>
      <c r="J76" s="73" t="str">
        <f t="shared" si="36"/>
        <v>0,0203398855293201-0,1411601026706i</v>
      </c>
      <c r="K76" s="73" t="str">
        <f t="shared" si="37"/>
        <v>0,0531956416186844-0,406865760457768i</v>
      </c>
      <c r="L76" s="73" t="str">
        <f t="shared" si="38"/>
        <v>-0,00902435747491247+0,0108671970404168i</v>
      </c>
      <c r="M76" s="70">
        <f t="shared" si="39"/>
        <v>-36.999809160597898</v>
      </c>
      <c r="N76" s="70">
        <f t="shared" si="40"/>
        <v>309.7069801722937</v>
      </c>
      <c r="O76" s="70">
        <f t="shared" si="28"/>
        <v>-50.293019827706303</v>
      </c>
    </row>
    <row r="77" spans="1:15" ht="15" x14ac:dyDescent="0.25">
      <c r="A77" s="71">
        <f t="shared" si="41"/>
        <v>76</v>
      </c>
      <c r="B77" s="70">
        <f t="shared" si="42"/>
        <v>91200</v>
      </c>
      <c r="C77" s="70">
        <f t="shared" si="29"/>
        <v>215.73072950425492</v>
      </c>
      <c r="D77" s="51" t="str">
        <f t="shared" si="30"/>
        <v>0,000296437540634109-0,0000946918514418557i</v>
      </c>
      <c r="E77" s="51" t="str">
        <f t="shared" si="31"/>
        <v>-0,325359237914116-0,377400825419304i</v>
      </c>
      <c r="F77" s="70" t="str">
        <f t="shared" si="32"/>
        <v>-0,000132185475204487-0,0000810669038987823i</v>
      </c>
      <c r="G77" s="70" t="str">
        <f t="shared" si="33"/>
        <v>-0,0285164689957306-0,0174886223167356i</v>
      </c>
      <c r="H77" s="72">
        <f t="shared" si="34"/>
        <v>3.3452068912428821E-2</v>
      </c>
      <c r="I77" s="51" t="str">
        <f t="shared" si="35"/>
        <v>2,87686996547756-0,0371887650778398i</v>
      </c>
      <c r="J77" s="73" t="str">
        <f t="shared" si="36"/>
        <v>0,0198186851939824-0,139376844960575i</v>
      </c>
      <c r="K77" s="73" t="str">
        <f t="shared" si="37"/>
        <v>0,0518325274452934-0,401706091577931i</v>
      </c>
      <c r="L77" s="73" t="str">
        <f t="shared" si="38"/>
        <v>-0,0085033667798025+0,0105487598096656i</v>
      </c>
      <c r="M77" s="70">
        <f t="shared" si="39"/>
        <v>-37.361661651001199</v>
      </c>
      <c r="N77" s="70">
        <f t="shared" si="40"/>
        <v>308.8723252243754</v>
      </c>
      <c r="O77" s="70">
        <f t="shared" si="28"/>
        <v>-51.127674775624598</v>
      </c>
    </row>
    <row r="78" spans="1:15" ht="15" x14ac:dyDescent="0.25">
      <c r="A78" s="71">
        <f t="shared" si="41"/>
        <v>77</v>
      </c>
      <c r="B78" s="70">
        <f t="shared" si="42"/>
        <v>92400</v>
      </c>
      <c r="C78" s="70">
        <f t="shared" si="29"/>
        <v>215.73072950425492</v>
      </c>
      <c r="D78" s="51" t="str">
        <f t="shared" si="30"/>
        <v>0,000296437309180505-0,0000934620871590551i</v>
      </c>
      <c r="E78" s="51" t="str">
        <f t="shared" si="31"/>
        <v>-0,322510365759674-0,362107001509111i</v>
      </c>
      <c r="F78" s="70" t="str">
        <f t="shared" si="32"/>
        <v>-0,000129447381144567-0,0000771995332484525i</v>
      </c>
      <c r="G78" s="70" t="str">
        <f t="shared" si="33"/>
        <v>-0,0279257779667328-0,0166543116250766i</v>
      </c>
      <c r="H78" s="72">
        <f t="shared" si="34"/>
        <v>3.2514845390258597E-2</v>
      </c>
      <c r="I78" s="51" t="str">
        <f t="shared" si="35"/>
        <v>2,87686996547757-0,036705794102803i</v>
      </c>
      <c r="J78" s="73" t="str">
        <f t="shared" si="36"/>
        <v>0,0193171361506486-0,137637147607708i</v>
      </c>
      <c r="K78" s="73" t="str">
        <f t="shared" si="37"/>
        <v>0,0505208080098563-0,39667322690882i</v>
      </c>
      <c r="L78" s="73" t="str">
        <f t="shared" si="38"/>
        <v>-0,00801715240144739+0,0102360191798563i</v>
      </c>
      <c r="M78" s="70">
        <f t="shared" si="39"/>
        <v>-37.719827150146308</v>
      </c>
      <c r="N78" s="70">
        <f t="shared" si="40"/>
        <v>308.06909554856685</v>
      </c>
      <c r="O78" s="70">
        <f t="shared" si="28"/>
        <v>-51.93090445143315</v>
      </c>
    </row>
    <row r="79" spans="1:15" ht="15" x14ac:dyDescent="0.25">
      <c r="A79" s="71">
        <f t="shared" si="41"/>
        <v>78</v>
      </c>
      <c r="B79" s="70">
        <f t="shared" si="42"/>
        <v>93600</v>
      </c>
      <c r="C79" s="70">
        <f t="shared" si="29"/>
        <v>215.73072950425492</v>
      </c>
      <c r="D79" s="51" t="str">
        <f t="shared" si="30"/>
        <v>0,000296437086571769-0,0000922638552929452i</v>
      </c>
      <c r="E79" s="51" t="str">
        <f t="shared" si="31"/>
        <v>-0,319372023352939-0,34753094059053i</v>
      </c>
      <c r="F79" s="70" t="str">
        <f t="shared" si="32"/>
        <v>-0,000126738256547742-0,0000735545653749526i</v>
      </c>
      <c r="G79" s="70" t="str">
        <f t="shared" si="33"/>
        <v>-0,0273413365411418-0,0158679800467069i</v>
      </c>
      <c r="H79" s="72">
        <f t="shared" si="34"/>
        <v>3.161236268643431E-2</v>
      </c>
      <c r="I79" s="51" t="str">
        <f t="shared" si="35"/>
        <v>2,87686996547756-0,0362352069989208i</v>
      </c>
      <c r="J79" s="73" t="str">
        <f t="shared" si="36"/>
        <v>0,0188342690629294-0,135939469514172i</v>
      </c>
      <c r="K79" s="73" t="str">
        <f t="shared" si="37"/>
        <v>0,0492579481716953-0,391762640606442i</v>
      </c>
      <c r="L79" s="73" t="str">
        <f t="shared" si="38"/>
        <v>-0,00756325990247667+0,00992969006233693i</v>
      </c>
      <c r="M79" s="70">
        <f t="shared" si="39"/>
        <v>-38.074279609881629</v>
      </c>
      <c r="N79" s="70">
        <f t="shared" si="40"/>
        <v>307.29584896647816</v>
      </c>
      <c r="O79" s="70">
        <f t="shared" si="28"/>
        <v>-52.704151033521839</v>
      </c>
    </row>
    <row r="80" spans="1:15" ht="15" x14ac:dyDescent="0.25">
      <c r="A80" s="71">
        <f t="shared" si="41"/>
        <v>79</v>
      </c>
      <c r="B80" s="70">
        <f t="shared" si="42"/>
        <v>94800</v>
      </c>
      <c r="C80" s="70">
        <f t="shared" si="29"/>
        <v>215.73072950425492</v>
      </c>
      <c r="D80" s="51" t="str">
        <f t="shared" si="30"/>
        <v>0,000296436872362913-0,0000910959584100219i</v>
      </c>
      <c r="E80" s="51" t="str">
        <f t="shared" si="31"/>
        <v>-0,315988661370671-0,333642131091727i</v>
      </c>
      <c r="F80" s="70" t="str">
        <f t="shared" si="32"/>
        <v>-0,000124064140176628-0,0000701185398750674i</v>
      </c>
      <c r="G80" s="70" t="str">
        <f t="shared" si="33"/>
        <v>-0,0267644474656221-0,0151267237590215i</v>
      </c>
      <c r="H80" s="72">
        <f t="shared" si="34"/>
        <v>3.0743347570194608E-2</v>
      </c>
      <c r="I80" s="51" t="str">
        <f t="shared" si="35"/>
        <v>2,87686996547756-0,0357765334926055i</v>
      </c>
      <c r="J80" s="73" t="str">
        <f t="shared" si="36"/>
        <v>0,018369173251281-0,134282339588441i</v>
      </c>
      <c r="K80" s="73" t="str">
        <f t="shared" si="37"/>
        <v>0,0480415661975128-0,3869700149981i</v>
      </c>
      <c r="L80" s="73" t="str">
        <f t="shared" si="38"/>
        <v>-0,0071393944945602+0,00963032713636712i</v>
      </c>
      <c r="M80" s="70">
        <f t="shared" si="39"/>
        <v>-38.425004558076196</v>
      </c>
      <c r="N80" s="70">
        <f t="shared" si="40"/>
        <v>306.55120271180726</v>
      </c>
      <c r="O80" s="70">
        <f t="shared" si="28"/>
        <v>-53.448797288192736</v>
      </c>
    </row>
    <row r="81" spans="1:18" ht="15" x14ac:dyDescent="0.25">
      <c r="A81" s="71">
        <f t="shared" si="41"/>
        <v>80</v>
      </c>
      <c r="B81" s="70">
        <f t="shared" si="42"/>
        <v>96000</v>
      </c>
      <c r="C81" s="70">
        <f t="shared" si="29"/>
        <v>215.73072950425492</v>
      </c>
      <c r="D81" s="51" t="str">
        <f t="shared" si="30"/>
        <v>0,000296436666136576-0,0000899572589484535i</v>
      </c>
      <c r="E81" s="51" t="str">
        <f t="shared" si="31"/>
        <v>-0,31239987183595-0,320410124959949i</v>
      </c>
      <c r="F81" s="70" t="str">
        <f t="shared" si="32"/>
        <v>-0,000121429993089271-0,0000668786730733208i</v>
      </c>
      <c r="G81" s="70" t="str">
        <f t="shared" si="33"/>
        <v>-0,0261961809928451-0,0144277849303841i</v>
      </c>
      <c r="H81" s="72">
        <f t="shared" si="34"/>
        <v>2.9906535683815294E-2</v>
      </c>
      <c r="I81" s="51" t="str">
        <f t="shared" si="35"/>
        <v>2,87686996547756-0,0353293268239478i</v>
      </c>
      <c r="J81" s="73" t="str">
        <f t="shared" si="36"/>
        <v>0,0179209925121929-0,132664352934656i</v>
      </c>
      <c r="K81" s="73" t="str">
        <f t="shared" si="37"/>
        <v>0,04686942282716-0,382291229048699i</v>
      </c>
      <c r="L81" s="73" t="str">
        <f t="shared" si="38"/>
        <v>-0,0067434155168973+0,00933834827577542i</v>
      </c>
      <c r="M81" s="70">
        <f t="shared" si="39"/>
        <v>-38.771997699507352</v>
      </c>
      <c r="N81" s="70">
        <f t="shared" si="40"/>
        <v>305.83383369052399</v>
      </c>
      <c r="O81" s="70">
        <f t="shared" si="28"/>
        <v>-54.166166309476012</v>
      </c>
    </row>
    <row r="82" spans="1:18" ht="15" x14ac:dyDescent="0.25">
      <c r="A82" s="71">
        <f t="shared" si="41"/>
        <v>81</v>
      </c>
      <c r="B82" s="70">
        <f t="shared" si="42"/>
        <v>97200</v>
      </c>
      <c r="C82" s="70">
        <f t="shared" si="29"/>
        <v>215.73072950425492</v>
      </c>
      <c r="D82" s="51" t="str">
        <f t="shared" si="30"/>
        <v>0,000296436467501007-0,0000888466755222993i</v>
      </c>
      <c r="E82" s="51" t="str">
        <f t="shared" si="31"/>
        <v>-0,308640839982196-0,307804826872173i</v>
      </c>
      <c r="F82" s="70" t="str">
        <f t="shared" si="32"/>
        <v>-0,000118839835908175-0,0000638228629949179i</v>
      </c>
      <c r="G82" s="70" t="str">
        <f t="shared" si="33"/>
        <v>-0,0256374044946365-0,0137685527929438i</v>
      </c>
      <c r="H82" s="72">
        <f t="shared" si="34"/>
        <v>2.9100679635254024E-2</v>
      </c>
      <c r="I82" s="51" t="str">
        <f t="shared" si="35"/>
        <v>2,87686996547756-0,0348931622952572i</v>
      </c>
      <c r="J82" s="73" t="str">
        <f t="shared" si="36"/>
        <v>0,0174889212786507-0,131084167278737i</v>
      </c>
      <c r="K82" s="73" t="str">
        <f t="shared" si="37"/>
        <v>0,045739411231956-0,37772234756238i</v>
      </c>
      <c r="L82" s="73" t="str">
        <f t="shared" si="38"/>
        <v>-0,00637332987058747+0,00905405511285506i</v>
      </c>
      <c r="M82" s="70">
        <f t="shared" si="39"/>
        <v>-39.115263648080912</v>
      </c>
      <c r="N82" s="70">
        <f t="shared" si="40"/>
        <v>305.14247809446744</v>
      </c>
      <c r="O82" s="70">
        <f t="shared" si="28"/>
        <v>-54.857521905532565</v>
      </c>
    </row>
    <row r="83" spans="1:18" ht="15" x14ac:dyDescent="0.25">
      <c r="A83" s="71">
        <f t="shared" si="41"/>
        <v>82</v>
      </c>
      <c r="B83" s="70">
        <f t="shared" si="42"/>
        <v>98400</v>
      </c>
      <c r="C83" s="70">
        <f t="shared" si="29"/>
        <v>215.73072950425492</v>
      </c>
      <c r="D83" s="51" t="str">
        <f t="shared" si="30"/>
        <v>0,000296436276088187-0,0000877631794961482i</v>
      </c>
      <c r="E83" s="51" t="str">
        <f t="shared" si="31"/>
        <v>-0,304742767092029-0,295796719952017i</v>
      </c>
      <c r="F83" s="70" t="str">
        <f t="shared" si="32"/>
        <v>-0,000116296871669092-0,0000609396839732256i</v>
      </c>
      <c r="G83" s="70" t="str">
        <f t="shared" si="33"/>
        <v>-0,0250888089642359-0,0131465624793027i</v>
      </c>
      <c r="H83" s="72">
        <f t="shared" si="34"/>
        <v>2.8324555429276085E-2</v>
      </c>
      <c r="I83" s="51" t="str">
        <f t="shared" si="35"/>
        <v>2,87686996547756-0,0344676359258028i</v>
      </c>
      <c r="J83" s="73" t="str">
        <f t="shared" si="36"/>
        <v>0,0170722010906184-0,129540499615139i</v>
      </c>
      <c r="K83" s="73" t="str">
        <f t="shared" si="37"/>
        <v>0,0446495477838121-0,373259611067394i</v>
      </c>
      <c r="L83" s="73" t="str">
        <f t="shared" si="38"/>
        <v>-0,00602728477258531+0,00877765100652234i</v>
      </c>
      <c r="M83" s="70">
        <f t="shared" si="39"/>
        <v>-39.454814782698293</v>
      </c>
      <c r="N83" s="70">
        <f t="shared" si="40"/>
        <v>304.47593050549955</v>
      </c>
      <c r="O83" s="70">
        <f t="shared" si="28"/>
        <v>-55.524069494500452</v>
      </c>
    </row>
    <row r="84" spans="1:18" ht="15" x14ac:dyDescent="0.25">
      <c r="A84" s="71">
        <f t="shared" si="41"/>
        <v>83</v>
      </c>
      <c r="B84" s="70">
        <f t="shared" si="42"/>
        <v>99600</v>
      </c>
      <c r="C84" s="70">
        <f t="shared" si="29"/>
        <v>215.73072950425492</v>
      </c>
      <c r="D84" s="51" t="str">
        <f t="shared" si="30"/>
        <v>0,00029643609155214-0,0000867057918073802i</v>
      </c>
      <c r="E84" s="51" t="str">
        <f t="shared" si="31"/>
        <v>-0,300733262929728-0,284357038313596i</v>
      </c>
      <c r="F84" s="70" t="str">
        <f t="shared" si="32"/>
        <v>-0,000113803595225593-0,0000582183733578854i</v>
      </c>
      <c r="G84" s="70" t="str">
        <f t="shared" si="33"/>
        <v>-0,0245509326182241-0,0125594921550477i</v>
      </c>
      <c r="H84" s="72">
        <f t="shared" si="34"/>
        <v>2.757696748406693E-2</v>
      </c>
      <c r="I84" s="51" t="str">
        <f t="shared" si="35"/>
        <v>2,87686996547756-0,0340523632038052i</v>
      </c>
      <c r="J84" s="73" t="str">
        <f t="shared" si="36"/>
        <v>0,0166701173474504-0,128032123059303i</v>
      </c>
      <c r="K84" s="73" t="str">
        <f t="shared" si="37"/>
        <v>0,0435979635616968-0,368899426336201i</v>
      </c>
      <c r="L84" s="73" t="str">
        <f t="shared" si="38"/>
        <v>-0,00570356011676612+0,00850925667755241i</v>
      </c>
      <c r="M84" s="70">
        <f t="shared" si="39"/>
        <v>-39.790670218395753</v>
      </c>
      <c r="N84" s="70">
        <f t="shared" si="40"/>
        <v>303.83304260552859</v>
      </c>
      <c r="O84" s="70">
        <f t="shared" si="28"/>
        <v>-56.16695739447141</v>
      </c>
      <c r="P84" s="70">
        <v>-27.673999999999999</v>
      </c>
      <c r="Q84" s="70">
        <v>318.15300000000002</v>
      </c>
      <c r="R84" s="70">
        <f>B84</f>
        <v>99600</v>
      </c>
    </row>
    <row r="85" spans="1:18" ht="15" x14ac:dyDescent="0.25">
      <c r="A85" s="71">
        <f t="shared" si="41"/>
        <v>84</v>
      </c>
      <c r="B85" s="70">
        <f t="shared" si="42"/>
        <v>100800</v>
      </c>
      <c r="C85" s="70">
        <f t="shared" si="29"/>
        <v>215.73072950425492</v>
      </c>
      <c r="D85" s="51" t="str">
        <f t="shared" si="30"/>
        <v>0,000296435913567359-0,0000856735800154032i</v>
      </c>
      <c r="E85" s="51" t="str">
        <f t="shared" si="31"/>
        <v>-0,296636707487767-0,273457895401365i</v>
      </c>
      <c r="F85" s="70" t="str">
        <f t="shared" si="32"/>
        <v>-0,000111361890264262-0,000055648812351052i</v>
      </c>
      <c r="G85" s="70" t="str">
        <f t="shared" si="33"/>
        <v>-0,024024181825682-0,0120051588845378i</v>
      </c>
      <c r="H85" s="72">
        <f t="shared" si="34"/>
        <v>2.6856752451412034E-2</v>
      </c>
      <c r="I85" s="51" t="str">
        <f t="shared" si="35"/>
        <v>2,87686996547756-0,0336469779275694i</v>
      </c>
      <c r="J85" s="73" t="str">
        <f t="shared" si="36"/>
        <v>0,0162819963169488-0,126557863891912i</v>
      </c>
      <c r="K85" s="73" t="str">
        <f t="shared" si="37"/>
        <v>0,0425828965293148-0,364638357496332i</v>
      </c>
      <c r="L85" s="73" t="str">
        <f t="shared" si="38"/>
        <v>-0,00540056066602482+0,00824892376251166i</v>
      </c>
      <c r="M85" s="70">
        <f t="shared" si="39"/>
        <v>-40.122854884091254</v>
      </c>
      <c r="N85" s="70">
        <f t="shared" si="40"/>
        <v>303.21272158862485</v>
      </c>
      <c r="O85" s="70">
        <f t="shared" si="28"/>
        <v>-56.787278411375155</v>
      </c>
    </row>
    <row r="86" spans="1:18" ht="15" x14ac:dyDescent="0.25">
      <c r="A86" s="71">
        <f t="shared" si="41"/>
        <v>85</v>
      </c>
      <c r="B86" s="70">
        <f t="shared" si="42"/>
        <v>102000</v>
      </c>
      <c r="C86" s="70">
        <f t="shared" si="29"/>
        <v>215.73072950425492</v>
      </c>
      <c r="D86" s="51" t="str">
        <f t="shared" si="30"/>
        <v>0,000296435741827366-0,0000846656555591783i</v>
      </c>
      <c r="E86" s="51" t="str">
        <f t="shared" si="31"/>
        <v>-0,292474582566039-0,263072375853051i</v>
      </c>
      <c r="F86" s="70" t="str">
        <f t="shared" si="32"/>
        <v>-0,000108973115009722-0,0000532215026229361i</v>
      </c>
      <c r="G86" s="70" t="str">
        <f t="shared" si="33"/>
        <v>-0,0235088495973984-0,0114815135861586i</v>
      </c>
      <c r="H86" s="72">
        <f t="shared" si="34"/>
        <v>2.6162782031394202E-2</v>
      </c>
      <c r="I86" s="51" t="str">
        <f t="shared" si="35"/>
        <v>2,87686996547755-0,0332511311284214i</v>
      </c>
      <c r="J86" s="73" t="str">
        <f t="shared" si="36"/>
        <v>0,0159072023782937-0,125116598782055i</v>
      </c>
      <c r="K86" s="73" t="str">
        <f t="shared" si="37"/>
        <v>0,041602684324442-0,360473117690966i</v>
      </c>
      <c r="L86" s="73" t="str">
        <f t="shared" si="38"/>
        <v>-0,00511680824684512+0,00799664652241046i</v>
      </c>
      <c r="M86" s="70">
        <f t="shared" si="39"/>
        <v>-40.451398698269408</v>
      </c>
      <c r="N86" s="70">
        <f t="shared" si="40"/>
        <v>302.61392835495474</v>
      </c>
      <c r="O86" s="70">
        <f t="shared" si="28"/>
        <v>-57.386071645045263</v>
      </c>
    </row>
    <row r="87" spans="1:18" ht="15" x14ac:dyDescent="0.25">
      <c r="A87" s="71">
        <f t="shared" si="41"/>
        <v>86</v>
      </c>
      <c r="B87" s="70">
        <f t="shared" si="42"/>
        <v>103200</v>
      </c>
      <c r="C87" s="70">
        <f t="shared" si="29"/>
        <v>215.73072950425492</v>
      </c>
      <c r="D87" s="51" t="str">
        <f t="shared" si="30"/>
        <v>0,000296435576043403-0,000083681171206088i</v>
      </c>
      <c r="E87" s="51" t="str">
        <f t="shared" si="31"/>
        <v>-0,288265774261145-0,253174597492427i</v>
      </c>
      <c r="F87" s="70" t="str">
        <f t="shared" si="32"/>
        <v>-0,000106638177684496-0,0000509275400384219i</v>
      </c>
      <c r="G87" s="70" t="str">
        <f t="shared" si="33"/>
        <v>-0,0230051318648807-0,0109866353643459i</v>
      </c>
      <c r="H87" s="72">
        <f t="shared" si="34"/>
        <v>2.5493964947603684E-2</v>
      </c>
      <c r="I87" s="51" t="str">
        <f t="shared" si="35"/>
        <v>2,87686996547756-0,0328644900687887i</v>
      </c>
      <c r="J87" s="73" t="str">
        <f t="shared" si="36"/>
        <v>0,0155451354783013-0,123707252177318i</v>
      </c>
      <c r="K87" s="73" t="str">
        <f t="shared" si="37"/>
        <v>0,040655757606186-0,356400561251229i</v>
      </c>
      <c r="L87" s="73" t="str">
        <f t="shared" si="38"/>
        <v>-0,00485093407491242+0,00775237192402162i</v>
      </c>
      <c r="M87" s="70">
        <f t="shared" si="39"/>
        <v>-40.776335834138884</v>
      </c>
      <c r="N87" s="70">
        <f t="shared" si="40"/>
        <v>302.03567555207735</v>
      </c>
      <c r="O87" s="70">
        <f t="shared" si="28"/>
        <v>-57.96432444792265</v>
      </c>
    </row>
    <row r="88" spans="1:18" ht="15" x14ac:dyDescent="0.25">
      <c r="A88" s="71">
        <f t="shared" si="41"/>
        <v>87</v>
      </c>
      <c r="B88" s="70">
        <f t="shared" si="42"/>
        <v>104400</v>
      </c>
      <c r="C88" s="70">
        <f t="shared" si="29"/>
        <v>215.73072950425492</v>
      </c>
      <c r="D88" s="51" t="str">
        <f t="shared" si="30"/>
        <v>0,000296435415943209-0,0000827193186767364i</v>
      </c>
      <c r="E88" s="51" t="str">
        <f t="shared" si="31"/>
        <v>-0,284026847815692-0,243739749062588i</v>
      </c>
      <c r="F88" s="70" t="str">
        <f t="shared" si="32"/>
        <v>-0,000104357602748179-0,0000487585865580465i</v>
      </c>
      <c r="G88" s="70" t="str">
        <f t="shared" si="33"/>
        <v>-0,0225131417701799-0,0105187254477637i</v>
      </c>
      <c r="H88" s="72">
        <f t="shared" si="34"/>
        <v>2.484924822624722E-2</v>
      </c>
      <c r="I88" s="51" t="str">
        <f t="shared" si="35"/>
        <v>2,87686996547757-0,0324867373093774i</v>
      </c>
      <c r="J88" s="73" t="str">
        <f t="shared" si="36"/>
        <v>0,0151952287824672-0,122328793849673i</v>
      </c>
      <c r="K88" s="73" t="str">
        <f t="shared" si="37"/>
        <v>0,0397406339116729-0,352417676345033i</v>
      </c>
      <c r="L88" s="73" t="str">
        <f t="shared" si="38"/>
        <v>-0,00460167130570256+0,00751600829263613i</v>
      </c>
      <c r="M88" s="70">
        <f t="shared" si="39"/>
        <v>-41.097704066144047</v>
      </c>
      <c r="N88" s="70">
        <f t="shared" si="40"/>
        <v>301.47702551708301</v>
      </c>
      <c r="O88" s="70">
        <f t="shared" si="28"/>
        <v>-58.522974482916993</v>
      </c>
    </row>
    <row r="89" spans="1:18" ht="15" x14ac:dyDescent="0.25">
      <c r="A89" s="71">
        <f t="shared" si="41"/>
        <v>88</v>
      </c>
      <c r="B89" s="70">
        <f t="shared" si="42"/>
        <v>105600</v>
      </c>
      <c r="C89" s="70">
        <f t="shared" si="29"/>
        <v>215.73072950425492</v>
      </c>
      <c r="D89" s="51" t="str">
        <f t="shared" si="30"/>
        <v>0,000296435261269909-0,0000817793264316996i</v>
      </c>
      <c r="E89" s="51" t="str">
        <f t="shared" si="31"/>
        <v>-0,279772296507588-0,234744108435047i</v>
      </c>
      <c r="F89" s="70" t="str">
        <f t="shared" si="32"/>
        <v>-0,000102131588882937-0,0000467068411528747i</v>
      </c>
      <c r="G89" s="70" t="str">
        <f t="shared" si="33"/>
        <v>-0,0220329221751447-0,010076100914749i</v>
      </c>
      <c r="H89" s="72">
        <f t="shared" si="34"/>
        <v>2.4227617902307041E-2</v>
      </c>
      <c r="I89" s="51" t="str">
        <f t="shared" si="35"/>
        <v>2,87686996547756-0,0321175698399526i</v>
      </c>
      <c r="J89" s="73" t="str">
        <f t="shared" si="36"/>
        <v>0,0148569465040281-0,120980236586827i</v>
      </c>
      <c r="K89" s="73" t="str">
        <f t="shared" si="37"/>
        <v>0,0388559119783139-0,348521578069964i</v>
      </c>
      <c r="L89" s="73" t="str">
        <f t="shared" si="38"/>
        <v>-0,00436784787626299+0,00728743271574604i</v>
      </c>
      <c r="M89" s="70">
        <f t="shared" si="39"/>
        <v>-41.415544190150229</v>
      </c>
      <c r="N89" s="70">
        <f t="shared" si="40"/>
        <v>300.93708816282248</v>
      </c>
      <c r="O89" s="70">
        <f t="shared" si="28"/>
        <v>-59.062911837177523</v>
      </c>
    </row>
    <row r="90" spans="1:18" ht="15" x14ac:dyDescent="0.25">
      <c r="A90" s="71">
        <f t="shared" si="41"/>
        <v>89</v>
      </c>
      <c r="B90" s="70">
        <f t="shared" si="42"/>
        <v>106800</v>
      </c>
      <c r="C90" s="70">
        <f t="shared" si="29"/>
        <v>215.73072950425492</v>
      </c>
      <c r="D90" s="51" t="str">
        <f t="shared" si="30"/>
        <v>0,000296435111780967-0,0000808604576074795i</v>
      </c>
      <c r="E90" s="51" t="str">
        <f t="shared" si="31"/>
        <v>-0,275514766381876-0,226165045268281i</v>
      </c>
      <c r="F90" s="70" t="str">
        <f t="shared" si="32"/>
        <v>-0,0000999600596249279-0,000044765010387794i</v>
      </c>
      <c r="G90" s="70" t="str">
        <f t="shared" si="33"/>
        <v>-0,0215644565841745-0,00965718834722435i</v>
      </c>
      <c r="H90" s="72">
        <f t="shared" si="34"/>
        <v>2.3628099257970641E-2</v>
      </c>
      <c r="I90" s="51" t="str">
        <f t="shared" si="35"/>
        <v>2,87686996547756-0,0317566982687171i</v>
      </c>
      <c r="J90" s="73" t="str">
        <f t="shared" si="36"/>
        <v>0,0145297818958766-0,119660634019442i</v>
      </c>
      <c r="K90" s="73" t="str">
        <f t="shared" si="37"/>
        <v>0,0380002664919882-0,344709501960113i</v>
      </c>
      <c r="L90" s="73" t="str">
        <f t="shared" si="38"/>
        <v>-0,00414837968246025+0,00706649735841342i</v>
      </c>
      <c r="M90" s="70">
        <f t="shared" si="39"/>
        <v>-41.729899510118528</v>
      </c>
      <c r="N90" s="70">
        <f t="shared" si="40"/>
        <v>300.41501884287158</v>
      </c>
      <c r="O90" s="70">
        <f t="shared" si="28"/>
        <v>-59.584981157128425</v>
      </c>
    </row>
    <row r="91" spans="1:18" ht="15" x14ac:dyDescent="0.25">
      <c r="A91" s="71">
        <f t="shared" si="41"/>
        <v>90</v>
      </c>
      <c r="B91" s="70">
        <f t="shared" si="42"/>
        <v>108000</v>
      </c>
      <c r="C91" s="70">
        <f t="shared" si="29"/>
        <v>215.73072950425492</v>
      </c>
      <c r="D91" s="51" t="str">
        <f t="shared" si="30"/>
        <v>0,000296434967247253-0,0000799620080900679i</v>
      </c>
      <c r="E91" s="51" t="str">
        <f t="shared" si="31"/>
        <v>-0,2712652586708-0,217981011431893i</v>
      </c>
      <c r="F91" s="70" t="str">
        <f t="shared" si="32"/>
        <v>-0,0000978427074689944-0,0000429262791759474i</v>
      </c>
      <c r="G91" s="70" t="str">
        <f t="shared" si="33"/>
        <v>-0,0211076786589576-0,00926051752153044i</v>
      </c>
      <c r="H91" s="72">
        <f t="shared" si="34"/>
        <v>2.3049756682802239E-2</v>
      </c>
      <c r="I91" s="51" t="str">
        <f t="shared" si="35"/>
        <v>2,87686996547756-0,0314038460657314i</v>
      </c>
      <c r="J91" s="73" t="str">
        <f t="shared" si="36"/>
        <v>0,0142132553915919-0,118369078575299i</v>
      </c>
      <c r="K91" s="73" t="str">
        <f t="shared" si="37"/>
        <v>0,0371724432252116-0,340978797878941i</v>
      </c>
      <c r="L91" s="73" t="str">
        <f t="shared" si="38"/>
        <v>-0,00394226411879443+0,00685303483334117i</v>
      </c>
      <c r="M91" s="70">
        <f t="shared" si="39"/>
        <v>-42.04081538460612</v>
      </c>
      <c r="N91" s="70">
        <f t="shared" si="40"/>
        <v>299.91001622268061</v>
      </c>
      <c r="O91" s="70">
        <f t="shared" si="28"/>
        <v>-60.089983777319389</v>
      </c>
    </row>
    <row r="92" spans="1:18" ht="15" x14ac:dyDescent="0.25">
      <c r="A92" s="71">
        <f t="shared" si="41"/>
        <v>91</v>
      </c>
      <c r="B92" s="70">
        <f t="shared" si="42"/>
        <v>109200</v>
      </c>
      <c r="C92" s="70">
        <f t="shared" si="29"/>
        <v>215.73072950425492</v>
      </c>
      <c r="D92" s="51" t="str">
        <f t="shared" si="30"/>
        <v>0,000296434827452158-0,0000790833047155214i</v>
      </c>
      <c r="E92" s="51" t="str">
        <f t="shared" si="31"/>
        <v>-0,267033311733552-0,210171521949085i</v>
      </c>
      <c r="F92" s="70" t="str">
        <f t="shared" si="32"/>
        <v>-0,0000957790322005382-0,0000411842820833152i</v>
      </c>
      <c r="G92" s="70" t="str">
        <f t="shared" si="33"/>
        <v>-0,0206624804878336-0,0088847152179426i</v>
      </c>
      <c r="H92" s="72">
        <f t="shared" si="34"/>
        <v>2.2491693231369774E-2</v>
      </c>
      <c r="I92" s="51" t="str">
        <f t="shared" si="35"/>
        <v>2,87686996547756-0,0310587488562178i</v>
      </c>
      <c r="J92" s="73" t="str">
        <f t="shared" si="36"/>
        <v>0,0139069128831315-0,117104699552121i</v>
      </c>
      <c r="K92" s="73" t="str">
        <f t="shared" si="37"/>
        <v>0,0363712545327218-0,337326924272373i</v>
      </c>
      <c r="L92" s="73" t="str">
        <f t="shared" si="38"/>
        <v>-0,00374857399460492+0,00664686275215629i</v>
      </c>
      <c r="M92" s="70">
        <f t="shared" si="39"/>
        <v>-42.348338826958745</v>
      </c>
      <c r="N92" s="70">
        <f t="shared" si="40"/>
        <v>299.42132017835797</v>
      </c>
      <c r="O92" s="70">
        <f t="shared" si="28"/>
        <v>-60.578679821642027</v>
      </c>
    </row>
    <row r="93" spans="1:18" ht="15" x14ac:dyDescent="0.25">
      <c r="A93" s="71">
        <f t="shared" si="41"/>
        <v>92</v>
      </c>
      <c r="B93" s="70">
        <f t="shared" si="42"/>
        <v>110400</v>
      </c>
      <c r="C93" s="70">
        <f t="shared" si="29"/>
        <v>215.73072950425492</v>
      </c>
      <c r="D93" s="51" t="str">
        <f t="shared" si="30"/>
        <v>0,000296434692190782-0,0000782237035878934i</v>
      </c>
      <c r="E93" s="51" t="str">
        <f t="shared" si="31"/>
        <v>-0,262827164292679-0,202717128730101i</v>
      </c>
      <c r="F93" s="70" t="str">
        <f t="shared" si="32"/>
        <v>-0,0000937683741364486-0,0000395330754624295i</v>
      </c>
      <c r="G93" s="70" t="str">
        <f t="shared" si="33"/>
        <v>-0,020228719756884-0,00852849920905668i</v>
      </c>
      <c r="H93" s="72">
        <f t="shared" si="34"/>
        <v>2.1953049942124884E-2</v>
      </c>
      <c r="I93" s="51" t="str">
        <f t="shared" si="35"/>
        <v>2,87686996547756-0,0307211537599547i</v>
      </c>
      <c r="J93" s="73" t="str">
        <f t="shared" si="36"/>
        <v>0,0136103241238811-0,11586666130136i</v>
      </c>
      <c r="K93" s="73" t="str">
        <f t="shared" si="37"/>
        <v>0,0355955751749165-0,333751442758176i</v>
      </c>
      <c r="L93" s="73" t="str">
        <f t="shared" si="38"/>
        <v>-0,00356645183038311+0,00644778756928566i</v>
      </c>
      <c r="M93" s="70">
        <f t="shared" si="39"/>
        <v>-42.652518153580004</v>
      </c>
      <c r="N93" s="70">
        <f t="shared" si="40"/>
        <v>298.94820973957371</v>
      </c>
      <c r="O93" s="70">
        <f t="shared" si="28"/>
        <v>-61.051790260426287</v>
      </c>
    </row>
    <row r="94" spans="1:18" ht="15" x14ac:dyDescent="0.25">
      <c r="A94" s="71">
        <f t="shared" si="41"/>
        <v>93</v>
      </c>
      <c r="B94" s="70">
        <f t="shared" si="42"/>
        <v>111600</v>
      </c>
      <c r="C94" s="70">
        <f t="shared" si="29"/>
        <v>215.73072950425492</v>
      </c>
      <c r="D94" s="51" t="str">
        <f t="shared" si="30"/>
        <v>0,000296434561269171-0,0000773825885056843i</v>
      </c>
      <c r="E94" s="51" t="str">
        <f t="shared" si="31"/>
        <v>-0,258653901662655-0,195599388962652i</v>
      </c>
      <c r="F94" s="70" t="str">
        <f t="shared" si="32"/>
        <v>-0,0000918099428879886-0,0000379671106139107i</v>
      </c>
      <c r="G94" s="70" t="str">
        <f t="shared" si="33"/>
        <v>-0,0198062259549698-0,0081906724699077i</v>
      </c>
      <c r="H94" s="72">
        <f t="shared" si="34"/>
        <v>2.1433004971039952E-2</v>
      </c>
      <c r="I94" s="51" t="str">
        <f t="shared" si="35"/>
        <v>2,87686996547756-0,0303908187732884i</v>
      </c>
      <c r="J94" s="73" t="str">
        <f t="shared" si="36"/>
        <v>0,0133230812467959-0,114654161515783i</v>
      </c>
      <c r="K94" s="73" t="str">
        <f t="shared" si="37"/>
        <v>0,0348443384422949-0,330250013029442i</v>
      </c>
      <c r="L94" s="73" t="str">
        <f t="shared" si="38"/>
        <v>-0,00339510453034644+0,0062556078160814i</v>
      </c>
      <c r="M94" s="70">
        <f t="shared" si="39"/>
        <v>-42.953402675164298</v>
      </c>
      <c r="N94" s="70">
        <f t="shared" si="40"/>
        <v>298.49000108898963</v>
      </c>
      <c r="O94" s="70">
        <f t="shared" si="28"/>
        <v>-61.509998911010371</v>
      </c>
    </row>
    <row r="95" spans="1:18" ht="15" x14ac:dyDescent="0.25">
      <c r="A95" s="71">
        <f t="shared" si="41"/>
        <v>94</v>
      </c>
      <c r="B95" s="70">
        <f t="shared" si="42"/>
        <v>112800</v>
      </c>
      <c r="C95" s="70">
        <f t="shared" si="29"/>
        <v>215.73072950425492</v>
      </c>
      <c r="D95" s="51" t="str">
        <f t="shared" si="30"/>
        <v>0,000296434434503645-0,0000765593694887359i</v>
      </c>
      <c r="E95" s="51" t="str">
        <f t="shared" si="31"/>
        <v>-0,254519586567639-0,188800829682434i</v>
      </c>
      <c r="F95" s="70" t="str">
        <f t="shared" si="32"/>
        <v>-0,000089902842193717-0,0000364812081105791i</v>
      </c>
      <c r="G95" s="70" t="str">
        <f t="shared" si="33"/>
        <v>-0,0193948057309565-0,00787011763889177i</v>
      </c>
      <c r="H95" s="72">
        <f t="shared" si="34"/>
        <v>2.0930772584678729E-2</v>
      </c>
      <c r="I95" s="51" t="str">
        <f t="shared" si="35"/>
        <v>2,87686996547756-0,0300675121905939i</v>
      </c>
      <c r="J95" s="73" t="str">
        <f t="shared" si="36"/>
        <v>0,0130447973882964-0,113466429614202i</v>
      </c>
      <c r="K95" s="73" t="str">
        <f t="shared" si="37"/>
        <v>0,0341165325564818-0,326820388051568i</v>
      </c>
      <c r="L95" s="73" t="str">
        <f t="shared" si="38"/>
        <v>-0,00323379842190092+0,00607011681052539i</v>
      </c>
      <c r="M95" s="70">
        <f t="shared" si="39"/>
        <v>-43.251042426254941</v>
      </c>
      <c r="N95" s="70">
        <f t="shared" si="40"/>
        <v>298.04604562726774</v>
      </c>
      <c r="O95" s="70">
        <f t="shared" si="28"/>
        <v>-61.953954372732255</v>
      </c>
    </row>
    <row r="96" spans="1:18" ht="15" x14ac:dyDescent="0.25">
      <c r="A96" s="71">
        <f t="shared" si="41"/>
        <v>95</v>
      </c>
      <c r="B96" s="70">
        <f t="shared" si="42"/>
        <v>114000</v>
      </c>
      <c r="C96" s="70">
        <f t="shared" si="29"/>
        <v>215.73072950425492</v>
      </c>
      <c r="D96" s="51" t="str">
        <f t="shared" si="30"/>
        <v>0,000296434311720136-0,0000757534813981589i</v>
      </c>
      <c r="E96" s="51" t="str">
        <f t="shared" si="31"/>
        <v>-0,250429376037459-0,18230490975907i</v>
      </c>
      <c r="F96" s="70" t="str">
        <f t="shared" si="32"/>
        <v>-0,000088046091310394-0,0000350705333684252i</v>
      </c>
      <c r="G96" s="70" t="str">
        <f t="shared" si="33"/>
        <v>-0,0189942475083895-0,00756579174767368i</v>
      </c>
      <c r="H96" s="72">
        <f t="shared" si="34"/>
        <v>2.0445602049808359E-2</v>
      </c>
      <c r="I96" s="51" t="str">
        <f t="shared" si="35"/>
        <v>2,87686996547756-0,0297510120622718i</v>
      </c>
      <c r="J96" s="73" t="str">
        <f t="shared" si="36"/>
        <v>0,0127751054094232-0,112302725217162i</v>
      </c>
      <c r="K96" s="73" t="str">
        <f t="shared" si="37"/>
        <v>0,0334111973256177-0,323460409533665i</v>
      </c>
      <c r="L96" s="73" t="str">
        <f t="shared" si="38"/>
        <v>-0,00308185464870338+0,00589110491684141i</v>
      </c>
      <c r="M96" s="70">
        <f t="shared" si="39"/>
        <v>-43.545487928938144</v>
      </c>
      <c r="N96" s="70">
        <f t="shared" si="40"/>
        <v>297.61572810999326</v>
      </c>
      <c r="O96" s="70">
        <f t="shared" si="28"/>
        <v>-62.384271890006744</v>
      </c>
    </row>
    <row r="97" spans="1:18" ht="15" x14ac:dyDescent="0.25">
      <c r="A97" s="71">
        <f t="shared" si="41"/>
        <v>96</v>
      </c>
      <c r="B97" s="70">
        <f t="shared" si="42"/>
        <v>115200</v>
      </c>
      <c r="C97" s="70">
        <f t="shared" si="29"/>
        <v>215.73072950425492</v>
      </c>
      <c r="D97" s="51" t="str">
        <f t="shared" si="30"/>
        <v>0,000296434192753589-0,0000749643826425155i</v>
      </c>
      <c r="E97" s="51" t="str">
        <f t="shared" si="31"/>
        <v>-0,246387625758944-0,176095980292277i</v>
      </c>
      <c r="F97" s="70" t="str">
        <f t="shared" si="32"/>
        <v>-0,0000862386433947651-0,0000337305735093187i</v>
      </c>
      <c r="G97" s="70" t="str">
        <f t="shared" si="33"/>
        <v>-0,01860432545101-0,00727672122976222i</v>
      </c>
      <c r="H97" s="72">
        <f t="shared" si="34"/>
        <v>1.9976776450237679E-2</v>
      </c>
      <c r="I97" s="51" t="str">
        <f t="shared" si="35"/>
        <v>2,87686996547756-0,0294411056866232i</v>
      </c>
      <c r="J97" s="73" t="str">
        <f t="shared" si="36"/>
        <v>0,0125136567065093-0,111162336707812i</v>
      </c>
      <c r="K97" s="73" t="str">
        <f t="shared" si="37"/>
        <v>0,0327274210338668-0,32016800365663i</v>
      </c>
      <c r="L97" s="73" t="str">
        <f t="shared" si="38"/>
        <v>-0,00293864490138508+0,0057183614195956i</v>
      </c>
      <c r="M97" s="70">
        <f t="shared" si="39"/>
        <v>-43.836789986894679</v>
      </c>
      <c r="N97" s="70">
        <f t="shared" si="40"/>
        <v>297.19846486064051</v>
      </c>
      <c r="O97" s="70">
        <f t="shared" si="28"/>
        <v>-62.801535139359487</v>
      </c>
    </row>
    <row r="98" spans="1:18" ht="15" x14ac:dyDescent="0.25">
      <c r="A98" s="71">
        <f t="shared" si="41"/>
        <v>97</v>
      </c>
      <c r="B98" s="70">
        <f t="shared" si="42"/>
        <v>116400</v>
      </c>
      <c r="C98" s="70">
        <f t="shared" si="29"/>
        <v>215.73072950425492</v>
      </c>
      <c r="D98" s="51" t="str">
        <f t="shared" si="30"/>
        <v>0,000296434077447422-0,0000741915539640364i</v>
      </c>
      <c r="E98" s="51" t="str">
        <f t="shared" si="31"/>
        <v>-0,242397983147737-0,170159244212842i</v>
      </c>
      <c r="F98" s="70" t="str">
        <f>IMPRODUCT(D98,E98)</f>
        <v>-0,0000844794012590119-0,0000324571155299055i</v>
      </c>
      <c r="G98" s="70" t="str">
        <f>IMPRODUCT(C98,F98)</f>
        <v>-0,0182248028616893-0,00700199721087039i</v>
      </c>
      <c r="H98" s="72">
        <f>IMABS(G98)</f>
        <v>1.9523611456092729E-2</v>
      </c>
      <c r="I98" s="51" t="str">
        <f t="shared" si="35"/>
        <v>2,87686996547756-0,0291375891331528i</v>
      </c>
      <c r="J98" s="73" t="str">
        <f t="shared" si="36"/>
        <v>0,0122601201043133-0,110044579872619i</v>
      </c>
      <c r="K98" s="73" t="str">
        <f>IMPRODUCT(I98,J98)</f>
        <v>0,0320643375465878-0,316941177041457i</v>
      </c>
      <c r="L98" s="73" t="str">
        <f>IMPRODUCT(G98,K98)</f>
        <v>-0,00280358746833149+0,00555167606826271i</v>
      </c>
      <c r="M98" s="70">
        <f>20*LOG(IMABS(L98))</f>
        <v>-44.124999506415136</v>
      </c>
      <c r="N98" s="70">
        <f t="shared" si="40"/>
        <v>296.79370206195216</v>
      </c>
      <c r="O98" s="70">
        <f t="shared" si="28"/>
        <v>-63.20629793804784</v>
      </c>
    </row>
    <row r="99" spans="1:18" ht="15" x14ac:dyDescent="0.25">
      <c r="A99" s="71">
        <f t="shared" si="41"/>
        <v>98</v>
      </c>
      <c r="B99" s="70">
        <f t="shared" si="42"/>
        <v>117600</v>
      </c>
      <c r="C99" s="70">
        <f t="shared" si="29"/>
        <v>215.73072950425492</v>
      </c>
      <c r="D99" s="51" t="str">
        <f t="shared" si="30"/>
        <v>0,000296433965652996-0,0000734344972991458i</v>
      </c>
      <c r="E99" s="51" t="str">
        <f t="shared" si="31"/>
        <v>-0,238463470296582-0,164480715716955i</v>
      </c>
      <c r="F99" s="70" t="str">
        <f>IMPRODUCT(D99,E99)</f>
        <v>-0,0000827672308374695-0,0000312462257679808i</v>
      </c>
      <c r="G99" s="70" t="str">
        <f>IMPRODUCT(C99,F99)</f>
        <v>-0,0178554350876144-0,00674077107918115i</v>
      </c>
      <c r="H99" s="72">
        <f>IMABS(G99)</f>
        <v>1.9085454066118956E-2</v>
      </c>
      <c r="I99" s="51" t="str">
        <f t="shared" si="35"/>
        <v>2,87686996547756-0,0288402667950595i</v>
      </c>
      <c r="J99" s="73" t="str">
        <f t="shared" si="36"/>
        <v>0,0120141808251727-0,10894879661691i</v>
      </c>
      <c r="K99" s="73" t="str">
        <f>IMPRODUCT(I99,J99)</f>
        <v>0,0314211236143234-0,313778012942434i</v>
      </c>
      <c r="L99" s="73" t="str">
        <f>IMPRODUCT(G99,K99)</f>
        <v>-0,00267614358800075+0,00539084034067946i</v>
      </c>
      <c r="M99" s="70">
        <f>20*LOG(IMABS(L99))</f>
        <v>-44.410167341336034</v>
      </c>
      <c r="N99" s="70">
        <f t="shared" si="40"/>
        <v>296.40091412668801</v>
      </c>
      <c r="O99" s="70">
        <f t="shared" si="28"/>
        <v>-63.599085873311992</v>
      </c>
    </row>
    <row r="100" spans="1:18" ht="15" x14ac:dyDescent="0.25">
      <c r="A100" s="71">
        <f t="shared" si="41"/>
        <v>99</v>
      </c>
      <c r="B100" s="70">
        <f>(fs*1000/2)*(A100/100)</f>
        <v>118800</v>
      </c>
      <c r="C100" s="70">
        <f t="shared" si="29"/>
        <v>215.73072950425492</v>
      </c>
      <c r="D100" s="51" t="str">
        <f t="shared" si="30"/>
        <v>0,000296433857229141-0,0000726927347080489i</v>
      </c>
      <c r="E100" s="51" t="str">
        <f t="shared" si="31"/>
        <v>-0,234586557851577-0,159047180025381i</v>
      </c>
      <c r="F100" s="70" t="str">
        <f>IMPRODUCT(D100,E100)</f>
        <v>-0,0000811009726616983-0,0000300942306403622i</v>
      </c>
      <c r="G100" s="70" t="str">
        <f>IMPRODUCT(C100,F100)</f>
        <v>-0,0174959719958128-0,00649225032991464i</v>
      </c>
      <c r="H100" s="72">
        <f>IMABS(G100)</f>
        <v>1.8661681339700944E-2</v>
      </c>
      <c r="I100" s="51" t="str">
        <f t="shared" si="35"/>
        <v>2,87686996547755-0,0285489509688467i</v>
      </c>
      <c r="J100" s="73" t="str">
        <f t="shared" si="36"/>
        <v>0,0117755395282947-0,107874353750613i</v>
      </c>
      <c r="K100" s="73" t="str">
        <f>IMPRODUCT(I100,J100)</f>
        <v>0,0307969963602224-0,310676667651064i</v>
      </c>
      <c r="L100" s="73" t="str">
        <f>IMPRODUCT(G100,K100)</f>
        <v>-0,002555814083928+0,00523564846719542i</v>
      </c>
      <c r="M100" s="70">
        <f>20*LOG(IMABS(L100))</f>
        <v>-44.69234415917029</v>
      </c>
      <c r="N100" s="70">
        <f t="shared" si="40"/>
        <v>296.01960214760481</v>
      </c>
      <c r="O100" s="70">
        <f t="shared" si="28"/>
        <v>-63.980397852395186</v>
      </c>
    </row>
    <row r="101" spans="1:18" ht="15" x14ac:dyDescent="0.25">
      <c r="A101" s="71">
        <f>1+A100</f>
        <v>100</v>
      </c>
      <c r="B101" s="70">
        <f>(fs*1000/2)*(A101/100)</f>
        <v>120000</v>
      </c>
      <c r="C101" s="70">
        <f t="shared" si="29"/>
        <v>215.73072950425492</v>
      </c>
      <c r="D101" s="51" t="str">
        <f t="shared" si="30"/>
        <v>0,00029643375204171-0,0000719658073685404i</v>
      </c>
      <c r="E101" s="51" t="str">
        <f t="shared" si="31"/>
        <v>-0,230769230769231-0,153846153846154i</v>
      </c>
      <c r="F101" s="70" t="str">
        <f>IMPRODUCT(D101,E101)</f>
        <v>-0,0000794794516047855-0,0000289976986136769i</v>
      </c>
      <c r="G101" s="70" t="str">
        <f>IMPRODUCT(C101,F101)</f>
        <v>-0,0171461600752985-0,00625569467587304i</v>
      </c>
      <c r="H101" s="72">
        <f>IMABS(G101)</f>
        <v>1.8251699132012519E-2</v>
      </c>
      <c r="I101" s="51" t="str">
        <f t="shared" si="35"/>
        <v>2,87686996547755-0,0282634614591583i</v>
      </c>
      <c r="J101" s="73" t="str">
        <f t="shared" si="36"/>
        <v>0,0115439114138065-0,106820641839846i</v>
      </c>
      <c r="K101" s="73" t="str">
        <f>IMPRODUCT(I101,J101)</f>
        <v>0,0301912109368304-0,30763536709742i</v>
      </c>
      <c r="L101" s="73" t="str">
        <f>IMPRODUCT(G101,K101)</f>
        <v>-0,00244213626365158+0,00508589825155989i</v>
      </c>
      <c r="M101" s="70">
        <f>20*LOG(IMABS(L101))</f>
        <v>-44.971580325998126</v>
      </c>
      <c r="N101" s="70">
        <f t="shared" si="40"/>
        <v>295.649292425662</v>
      </c>
      <c r="O101" s="70">
        <f t="shared" si="28"/>
        <v>-64.350707574338003</v>
      </c>
      <c r="P101" s="70">
        <v>-32.747</v>
      </c>
      <c r="Q101" s="70">
        <v>307.64999999999998</v>
      </c>
      <c r="R101" s="70">
        <f>B101</f>
        <v>120000</v>
      </c>
    </row>
  </sheetData>
  <phoneticPr fontId="21" type="noConversion"/>
  <pageMargins left="0.75" right="0.75" top="1" bottom="1" header="0.5" footer="0.5"/>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45"/>
  <sheetViews>
    <sheetView workbookViewId="0">
      <selection activeCell="C34" sqref="C34"/>
    </sheetView>
  </sheetViews>
  <sheetFormatPr defaultColWidth="9.109375" defaultRowHeight="13.2" x14ac:dyDescent="0.25"/>
  <cols>
    <col min="1" max="1" width="9.109375" style="2"/>
    <col min="2" max="2" width="19.33203125" style="2" bestFit="1" customWidth="1"/>
    <col min="3" max="3" width="12.44140625" style="2" bestFit="1" customWidth="1"/>
    <col min="4" max="4" width="7.6640625" style="2" customWidth="1"/>
    <col min="5" max="8" width="8.6640625" style="3" customWidth="1"/>
    <col min="9" max="9" width="8.6640625" style="5" customWidth="1"/>
    <col min="10" max="11" width="9.109375" style="35"/>
    <col min="12" max="12" width="4.6640625" style="35" bestFit="1" customWidth="1"/>
    <col min="13" max="13" width="10.33203125" style="3" customWidth="1"/>
    <col min="14" max="14" width="9.109375" style="3"/>
    <col min="15" max="16384" width="9.109375" style="47"/>
  </cols>
  <sheetData>
    <row r="1" spans="1:14" ht="18" thickBot="1" x14ac:dyDescent="0.35">
      <c r="A1" s="45"/>
      <c r="B1" s="3"/>
      <c r="C1" s="3"/>
      <c r="D1" s="3"/>
      <c r="E1" s="4" t="s">
        <v>138</v>
      </c>
      <c r="J1" s="4" t="s">
        <v>139</v>
      </c>
      <c r="K1" s="6"/>
      <c r="L1" s="6"/>
      <c r="N1" s="6"/>
    </row>
    <row r="2" spans="1:14" ht="13.8" thickBot="1" x14ac:dyDescent="0.3">
      <c r="A2" s="3"/>
      <c r="B2" s="7" t="s">
        <v>140</v>
      </c>
      <c r="C2" s="8">
        <v>127</v>
      </c>
      <c r="D2" s="3"/>
      <c r="E2" s="111" t="s">
        <v>141</v>
      </c>
      <c r="F2" s="112"/>
      <c r="G2" s="113" t="s">
        <v>142</v>
      </c>
      <c r="H2" s="114"/>
      <c r="J2" s="9" t="s">
        <v>143</v>
      </c>
      <c r="K2" s="10">
        <v>1000</v>
      </c>
      <c r="L2" s="11" t="s">
        <v>62</v>
      </c>
      <c r="N2" s="20"/>
    </row>
    <row r="3" spans="1:14" ht="13.8" thickBot="1" x14ac:dyDescent="0.3">
      <c r="B3" s="3"/>
      <c r="C3" s="2" t="s">
        <v>19</v>
      </c>
      <c r="E3" s="12">
        <v>100</v>
      </c>
      <c r="F3" s="13">
        <v>150</v>
      </c>
      <c r="G3" s="14">
        <v>100</v>
      </c>
      <c r="H3" s="15">
        <v>102</v>
      </c>
      <c r="J3" s="9"/>
      <c r="K3" s="16">
        <f>IF(K2&lt;10000,sta*10^INT(LOG(K2)),stb*10^INT(LOG(K2)))</f>
        <v>1000</v>
      </c>
      <c r="L3" s="17" t="s">
        <v>62</v>
      </c>
      <c r="N3" s="24"/>
    </row>
    <row r="4" spans="1:14" ht="13.8" thickBot="1" x14ac:dyDescent="0.3">
      <c r="B4" s="18" t="s">
        <v>144</v>
      </c>
      <c r="C4" s="67">
        <f>(IF((10^(LOG(C2)-INT(LOG(C2)))*100)-VLOOKUP((10^(LOG(C2)-INT(LOG(C2)))*100),E6_s:E6_f,1)&lt;VLOOKUP((10^(LOG(C2)-INT(LOG(C2)))*100),E6_s:E6_f,2)-(10^(LOG(C2)-INT(LOG(C2)))*100),VLOOKUP((10^(LOG(C2)-INT(LOG(C2)))*100),E6_s:E6_f,1),VLOOKUP((10^(LOG(C2)-INT(LOG(C2)))*100),E6_s:E6_f,2)))*10^INT(LOG(C2))/100</f>
        <v>150</v>
      </c>
      <c r="E4" s="13">
        <v>150</v>
      </c>
      <c r="F4" s="12">
        <v>220</v>
      </c>
      <c r="G4" s="15">
        <v>102</v>
      </c>
      <c r="H4" s="14">
        <v>105</v>
      </c>
      <c r="J4" s="19"/>
      <c r="K4" s="20"/>
      <c r="L4" s="21"/>
      <c r="N4" s="24"/>
    </row>
    <row r="5" spans="1:14" ht="13.8" thickBot="1" x14ac:dyDescent="0.3">
      <c r="B5" s="22" t="s">
        <v>145</v>
      </c>
      <c r="C5" s="66">
        <f>(IF((10^(LOG(C2)-INT(LOG(C2)))*100)-VLOOKUP((10^(LOG(C2)-INT(LOG(C2)))*100),E12_s:E12_f,1)&lt;VLOOKUP((10^(LOG(C2)-INT(LOG(C2)))*100),E12_s:E12_f,2)-(10^(LOG(C2)-INT(LOG(C2)))*100),VLOOKUP((10^(LOG(C2)-INT(LOG(C2)))*100),E12_s:E12_f,1),VLOOKUP((10^(LOG(C2)-INT(LOG(C2)))*100),E12_s:E12_f,2)))*10^INT(LOG(C2))/100</f>
        <v>120</v>
      </c>
      <c r="E5" s="12">
        <v>220</v>
      </c>
      <c r="F5" s="13">
        <v>330</v>
      </c>
      <c r="G5" s="14">
        <v>105</v>
      </c>
      <c r="H5" s="15">
        <v>107</v>
      </c>
      <c r="J5" s="23" t="s">
        <v>146</v>
      </c>
      <c r="K5" s="24"/>
      <c r="L5" s="3"/>
      <c r="N5" s="24"/>
    </row>
    <row r="6" spans="1:14" ht="13.8" thickBot="1" x14ac:dyDescent="0.3">
      <c r="B6" s="22" t="s">
        <v>147</v>
      </c>
      <c r="C6" s="66">
        <f>(IF((10^(LOG(C2)-INT(LOG(C2)))*100)-VLOOKUP((10^(LOG(C2)-INT(LOG(C2)))*100),E24_s:E24_f,1)&lt;VLOOKUP((10^(LOG(C2)-INT(LOG(C2)))*100),E24_s:E24_f,2)-(10^(LOG(C2)-INT(LOG(C2)))*100),VLOOKUP((10^(LOG(C2)-INT(LOG(C2)))*100),E24_s:E24_f,1),VLOOKUP((10^(LOG(C2)-INT(LOG(C2)))*100),E24_s:E24_f,2)))*10^INT(LOG(C2))/100</f>
        <v>130</v>
      </c>
      <c r="E6" s="13">
        <v>330</v>
      </c>
      <c r="F6" s="12">
        <v>470</v>
      </c>
      <c r="G6" s="15">
        <v>107</v>
      </c>
      <c r="H6" s="14">
        <v>110</v>
      </c>
      <c r="J6" s="24">
        <v>1</v>
      </c>
      <c r="K6" s="24">
        <v>1.2</v>
      </c>
      <c r="L6" s="25">
        <f>IF((10^(LOG(K2)-INT(LOG(K2))))-VLOOKUP((10^(LOG(K2)-INT(LOG(K2)))),c_s1:C_f1,1)&lt;VLOOKUP((10^(LOG(K2)-INT(LOG(K2)))),c_s1:C_f1,2)-(10^(LOG(K2)-INT(LOG(K2)))),VLOOKUP((10^(LOG(K2)-INT(LOG(K2)))),c_s1:C_f1,1),VLOOKUP((10^(LOG(K2)-INT(LOG(K2)))),c_s1:C_f1,2))</f>
        <v>1</v>
      </c>
      <c r="N6" s="24"/>
    </row>
    <row r="7" spans="1:14" ht="13.8" thickBot="1" x14ac:dyDescent="0.3">
      <c r="B7" s="22" t="s">
        <v>148</v>
      </c>
      <c r="C7" s="66">
        <f>(IF((10^(LOG(C2)-INT(LOG(C2)))*100)-VLOOKUP((10^(LOG(C2)-INT(LOG(C2)))*100),E48_s:E48_f,1)&lt;VLOOKUP((10^(LOG(C2)-INT(LOG(C2)))*100),E48_s:E48_f,2)-(10^(LOG(C2)-INT(LOG(C2)))*100),VLOOKUP((10^(LOG(C2)-INT(LOG(C2)))*100),E48_s:E48_f,1),VLOOKUP((10^(LOG(C2)-INT(LOG(C2)))*100),E48_s:E48_f,2)))*10^INT(LOG(C2))/100</f>
        <v>127</v>
      </c>
      <c r="E7" s="12">
        <v>470</v>
      </c>
      <c r="F7" s="13">
        <v>680</v>
      </c>
      <c r="G7" s="14">
        <v>110</v>
      </c>
      <c r="H7" s="15">
        <v>113</v>
      </c>
      <c r="J7" s="24">
        <v>1.2</v>
      </c>
      <c r="K7" s="24">
        <v>1.5</v>
      </c>
      <c r="L7" s="26"/>
      <c r="N7" s="24"/>
    </row>
    <row r="8" spans="1:14" ht="13.8" thickBot="1" x14ac:dyDescent="0.3">
      <c r="B8" s="27" t="s">
        <v>149</v>
      </c>
      <c r="C8" s="68">
        <f>(IF((10^(LOG(C2)-INT(LOG(C2)))*100)-VLOOKUP((10^(LOG(C2)-INT(LOG(C2)))*100),E96_s:E96_f,1)&lt;VLOOKUP((10^(LOG(C2)-INT(LOG(C2)))*100),E96_s:E96_f,2)-(10^(LOG(C2)-INT(LOG(C2)))*100),VLOOKUP((10^(LOG(C2)-INT(LOG(C2)))*100),E96_s:E96_f,1),VLOOKUP((10^(LOG(C2)-INT(LOG(C2)))*100),E96_s:E96_f,2)))*10^INT(LOG(C2))/100</f>
        <v>127</v>
      </c>
      <c r="D8" s="3"/>
      <c r="E8" s="13">
        <v>680</v>
      </c>
      <c r="F8" s="13">
        <v>1000</v>
      </c>
      <c r="G8" s="15">
        <v>113</v>
      </c>
      <c r="H8" s="14">
        <v>115</v>
      </c>
      <c r="J8" s="24">
        <v>1.5</v>
      </c>
      <c r="K8" s="24">
        <v>1.8</v>
      </c>
      <c r="L8" s="26"/>
      <c r="N8" s="24"/>
    </row>
    <row r="9" spans="1:14" ht="13.8" thickBot="1" x14ac:dyDescent="0.3">
      <c r="E9" s="115" t="s">
        <v>150</v>
      </c>
      <c r="F9" s="116"/>
      <c r="G9" s="14">
        <v>115</v>
      </c>
      <c r="H9" s="15">
        <v>118</v>
      </c>
      <c r="J9" s="24">
        <v>1.8</v>
      </c>
      <c r="K9" s="24">
        <v>2.2000000000000002</v>
      </c>
      <c r="L9" s="29"/>
      <c r="N9" s="24"/>
    </row>
    <row r="10" spans="1:14" ht="13.8" thickBot="1" x14ac:dyDescent="0.3">
      <c r="E10" s="30">
        <v>100</v>
      </c>
      <c r="F10" s="31">
        <v>120</v>
      </c>
      <c r="G10" s="15">
        <v>118</v>
      </c>
      <c r="H10" s="14">
        <v>121</v>
      </c>
      <c r="J10" s="24">
        <v>2.2000000000000002</v>
      </c>
      <c r="K10" s="24">
        <v>2.7</v>
      </c>
      <c r="L10" s="3"/>
      <c r="N10" s="24"/>
    </row>
    <row r="11" spans="1:14" ht="13.8" thickBot="1" x14ac:dyDescent="0.3">
      <c r="E11" s="31">
        <v>120</v>
      </c>
      <c r="F11" s="31">
        <v>150</v>
      </c>
      <c r="G11" s="14">
        <v>121</v>
      </c>
      <c r="H11" s="15">
        <v>124</v>
      </c>
      <c r="J11" s="24">
        <v>2.7</v>
      </c>
      <c r="K11" s="24">
        <v>3.3</v>
      </c>
      <c r="L11" s="3"/>
      <c r="N11" s="24"/>
    </row>
    <row r="12" spans="1:14" ht="13.8" thickBot="1" x14ac:dyDescent="0.3">
      <c r="C12" s="34"/>
      <c r="E12" s="31">
        <v>150</v>
      </c>
      <c r="F12" s="31">
        <v>180</v>
      </c>
      <c r="G12" s="15">
        <v>124</v>
      </c>
      <c r="H12" s="14">
        <v>127</v>
      </c>
      <c r="J12" s="24">
        <v>3.3</v>
      </c>
      <c r="K12" s="24">
        <v>3.9</v>
      </c>
      <c r="L12" s="3"/>
      <c r="N12" s="24"/>
    </row>
    <row r="13" spans="1:14" ht="13.8" thickBot="1" x14ac:dyDescent="0.3">
      <c r="E13" s="31">
        <v>180</v>
      </c>
      <c r="F13" s="30">
        <v>220</v>
      </c>
      <c r="G13" s="14">
        <v>127</v>
      </c>
      <c r="H13" s="15">
        <v>130</v>
      </c>
      <c r="J13" s="24">
        <v>3.9</v>
      </c>
      <c r="K13" s="24">
        <v>4.7</v>
      </c>
      <c r="L13" s="3"/>
      <c r="N13" s="24"/>
    </row>
    <row r="14" spans="1:14" ht="13.8" thickBot="1" x14ac:dyDescent="0.3">
      <c r="D14" s="32"/>
      <c r="E14" s="30">
        <v>220</v>
      </c>
      <c r="F14" s="31">
        <v>270</v>
      </c>
      <c r="G14" s="15">
        <v>130</v>
      </c>
      <c r="H14" s="14">
        <v>133</v>
      </c>
      <c r="J14" s="24">
        <v>4.7</v>
      </c>
      <c r="K14" s="24">
        <v>5.6</v>
      </c>
      <c r="L14" s="3"/>
      <c r="N14" s="24"/>
    </row>
    <row r="15" spans="1:14" ht="13.8" thickBot="1" x14ac:dyDescent="0.3">
      <c r="A15" s="46"/>
      <c r="B15" s="33"/>
      <c r="D15" s="34"/>
      <c r="E15" s="31">
        <v>270</v>
      </c>
      <c r="F15" s="31">
        <v>330</v>
      </c>
      <c r="G15" s="14">
        <v>133</v>
      </c>
      <c r="H15" s="15">
        <v>137</v>
      </c>
      <c r="J15" s="24">
        <v>5.6</v>
      </c>
      <c r="K15" s="24">
        <v>6.8</v>
      </c>
      <c r="L15" s="3"/>
      <c r="N15" s="24"/>
    </row>
    <row r="16" spans="1:14" ht="13.8" thickBot="1" x14ac:dyDescent="0.3">
      <c r="A16" s="46"/>
      <c r="B16" s="33"/>
      <c r="D16" s="34"/>
      <c r="E16" s="31">
        <v>330</v>
      </c>
      <c r="F16" s="31">
        <v>390</v>
      </c>
      <c r="G16" s="15">
        <v>137</v>
      </c>
      <c r="H16" s="14">
        <v>140</v>
      </c>
      <c r="J16" s="24">
        <v>6.8</v>
      </c>
      <c r="K16" s="24">
        <v>8.1999999999999993</v>
      </c>
      <c r="L16" s="3"/>
      <c r="N16" s="24"/>
    </row>
    <row r="17" spans="1:14" ht="13.8" thickBot="1" x14ac:dyDescent="0.3">
      <c r="A17" s="46"/>
      <c r="B17" s="33"/>
      <c r="D17" s="34"/>
      <c r="E17" s="31">
        <v>390</v>
      </c>
      <c r="F17" s="30">
        <v>470</v>
      </c>
      <c r="G17" s="14">
        <v>140</v>
      </c>
      <c r="H17" s="15">
        <v>143</v>
      </c>
      <c r="J17" s="24">
        <v>8.1999999999999993</v>
      </c>
      <c r="K17" s="24">
        <v>10</v>
      </c>
      <c r="L17" s="3"/>
      <c r="N17" s="24"/>
    </row>
    <row r="18" spans="1:14" ht="13.8" thickBot="1" x14ac:dyDescent="0.3">
      <c r="A18" s="46"/>
      <c r="B18" s="33"/>
      <c r="D18" s="34"/>
      <c r="E18" s="30">
        <v>470</v>
      </c>
      <c r="F18" s="31">
        <v>560</v>
      </c>
      <c r="G18" s="15">
        <v>143</v>
      </c>
      <c r="H18" s="14">
        <v>147</v>
      </c>
      <c r="J18" s="23" t="s">
        <v>151</v>
      </c>
      <c r="K18" s="24"/>
      <c r="L18" s="24"/>
      <c r="N18" s="24"/>
    </row>
    <row r="19" spans="1:14" ht="13.8" thickBot="1" x14ac:dyDescent="0.3">
      <c r="A19" s="46"/>
      <c r="B19" s="33"/>
      <c r="D19" s="34"/>
      <c r="E19" s="31">
        <v>560</v>
      </c>
      <c r="F19" s="31">
        <v>680</v>
      </c>
      <c r="G19" s="14">
        <v>147</v>
      </c>
      <c r="H19" s="15">
        <v>150</v>
      </c>
      <c r="J19" s="24">
        <v>1</v>
      </c>
      <c r="K19" s="24">
        <v>1.5</v>
      </c>
      <c r="L19" s="25">
        <f>IF((10^(LOG(K2)-INT(LOG(K2))))-VLOOKUP((10^(LOG(K2)-INT(LOG(K2)))),C_s2:C_f2,1)&lt;VLOOKUP((10^(LOG(K2)-INT(LOG(K2)))),C_s2:C_f2,2)-(10^(LOG(K2)-INT(LOG(K2)))),VLOOKUP((10^(LOG(K2)-INT(LOG(K2)))),C_s2:C_f2,1),VLOOKUP((10^(LOG(K2)-INT(LOG(K2)))),C_s2:C_f2,2))</f>
        <v>1</v>
      </c>
      <c r="N19" s="24"/>
    </row>
    <row r="20" spans="1:14" ht="13.8" thickBot="1" x14ac:dyDescent="0.3">
      <c r="A20" s="46"/>
      <c r="B20" s="33"/>
      <c r="D20" s="34"/>
      <c r="E20" s="28">
        <v>680</v>
      </c>
      <c r="F20" s="31">
        <v>820</v>
      </c>
      <c r="G20" s="15">
        <v>150</v>
      </c>
      <c r="H20" s="14">
        <v>154</v>
      </c>
      <c r="J20" s="24">
        <v>1.5</v>
      </c>
      <c r="K20" s="24">
        <v>2.2000000000000002</v>
      </c>
      <c r="N20" s="24"/>
    </row>
    <row r="21" spans="1:14" ht="13.8" thickBot="1" x14ac:dyDescent="0.3">
      <c r="A21" s="46"/>
      <c r="B21" s="33"/>
      <c r="D21" s="34"/>
      <c r="E21" s="28">
        <v>820</v>
      </c>
      <c r="F21" s="31">
        <v>1000</v>
      </c>
      <c r="G21" s="14">
        <v>154</v>
      </c>
      <c r="H21" s="15">
        <v>158</v>
      </c>
      <c r="J21" s="24">
        <v>2.2000000000000002</v>
      </c>
      <c r="K21" s="24">
        <v>3.3</v>
      </c>
      <c r="L21" s="25"/>
      <c r="N21" s="24"/>
    </row>
    <row r="22" spans="1:14" ht="13.8" thickBot="1" x14ac:dyDescent="0.3">
      <c r="A22" s="46"/>
      <c r="B22" s="33"/>
      <c r="D22" s="34"/>
      <c r="E22" s="117" t="s">
        <v>152</v>
      </c>
      <c r="F22" s="118"/>
      <c r="G22" s="15">
        <v>158</v>
      </c>
      <c r="H22" s="14">
        <v>162</v>
      </c>
      <c r="J22" s="24">
        <v>3.3</v>
      </c>
      <c r="K22" s="24">
        <v>4.7</v>
      </c>
      <c r="L22" s="25"/>
      <c r="N22" s="24"/>
    </row>
    <row r="23" spans="1:14" ht="13.8" thickBot="1" x14ac:dyDescent="0.3">
      <c r="A23" s="46"/>
      <c r="B23" s="33"/>
      <c r="D23" s="34"/>
      <c r="E23" s="36">
        <v>100</v>
      </c>
      <c r="F23" s="37">
        <v>110</v>
      </c>
      <c r="G23" s="14">
        <v>162</v>
      </c>
      <c r="H23" s="15">
        <v>165</v>
      </c>
      <c r="J23" s="24">
        <v>4.7</v>
      </c>
      <c r="K23" s="24">
        <v>6.8</v>
      </c>
      <c r="L23" s="3"/>
    </row>
    <row r="24" spans="1:14" ht="13.8" thickBot="1" x14ac:dyDescent="0.3">
      <c r="A24" s="46"/>
      <c r="B24" s="33"/>
      <c r="D24" s="34"/>
      <c r="E24" s="37">
        <v>110</v>
      </c>
      <c r="F24" s="37">
        <v>120</v>
      </c>
      <c r="G24" s="15">
        <v>165</v>
      </c>
      <c r="H24" s="14">
        <v>169</v>
      </c>
      <c r="J24" s="24">
        <v>6.8</v>
      </c>
      <c r="K24" s="24">
        <v>10</v>
      </c>
      <c r="L24" s="3"/>
    </row>
    <row r="25" spans="1:14" ht="13.8" thickBot="1" x14ac:dyDescent="0.3">
      <c r="A25" s="46"/>
      <c r="B25" s="33"/>
      <c r="D25" s="34"/>
      <c r="E25" s="37">
        <v>120</v>
      </c>
      <c r="F25" s="37">
        <v>130</v>
      </c>
      <c r="G25" s="14">
        <v>169</v>
      </c>
      <c r="H25" s="15">
        <v>174</v>
      </c>
      <c r="J25" s="38"/>
      <c r="K25" s="38"/>
      <c r="L25" s="38"/>
    </row>
    <row r="26" spans="1:14" ht="13.8" thickBot="1" x14ac:dyDescent="0.3">
      <c r="A26" s="46"/>
      <c r="B26" s="33"/>
      <c r="D26" s="34"/>
      <c r="E26" s="37">
        <v>130</v>
      </c>
      <c r="F26" s="37">
        <v>150</v>
      </c>
      <c r="G26" s="15">
        <v>174</v>
      </c>
      <c r="H26" s="14">
        <v>178</v>
      </c>
      <c r="J26" s="38"/>
      <c r="K26" s="38"/>
      <c r="L26" s="38"/>
    </row>
    <row r="27" spans="1:14" ht="13.8" thickBot="1" x14ac:dyDescent="0.3">
      <c r="A27" s="46"/>
      <c r="B27" s="33"/>
      <c r="D27" s="34"/>
      <c r="E27" s="37">
        <v>150</v>
      </c>
      <c r="F27" s="37">
        <v>160</v>
      </c>
      <c r="G27" s="14">
        <v>178</v>
      </c>
      <c r="H27" s="15">
        <v>182</v>
      </c>
      <c r="I27" s="39"/>
      <c r="J27" s="38"/>
      <c r="K27" s="38"/>
      <c r="L27" s="38"/>
    </row>
    <row r="28" spans="1:14" ht="13.8" thickBot="1" x14ac:dyDescent="0.3">
      <c r="A28" s="46"/>
      <c r="B28" s="33"/>
      <c r="D28" s="34"/>
      <c r="E28" s="37">
        <v>160</v>
      </c>
      <c r="F28" s="37">
        <v>180</v>
      </c>
      <c r="G28" s="15">
        <v>182</v>
      </c>
      <c r="H28" s="14">
        <v>187</v>
      </c>
      <c r="I28" s="39"/>
      <c r="J28" s="38"/>
      <c r="K28" s="38"/>
      <c r="L28" s="38"/>
    </row>
    <row r="29" spans="1:14" ht="13.8" thickBot="1" x14ac:dyDescent="0.3">
      <c r="A29" s="46"/>
      <c r="B29" s="33"/>
      <c r="D29" s="34"/>
      <c r="E29" s="37">
        <v>180</v>
      </c>
      <c r="F29" s="40">
        <v>200</v>
      </c>
      <c r="G29" s="14">
        <v>187</v>
      </c>
      <c r="H29" s="15">
        <v>191</v>
      </c>
      <c r="I29" s="39"/>
      <c r="J29" s="38"/>
      <c r="K29" s="38"/>
      <c r="L29" s="38"/>
    </row>
    <row r="30" spans="1:14" ht="13.8" thickBot="1" x14ac:dyDescent="0.3">
      <c r="A30" s="46"/>
      <c r="B30" s="33"/>
      <c r="D30" s="34"/>
      <c r="E30" s="40">
        <v>200</v>
      </c>
      <c r="F30" s="36">
        <v>220</v>
      </c>
      <c r="G30" s="15">
        <v>191</v>
      </c>
      <c r="H30" s="14">
        <v>196</v>
      </c>
      <c r="I30" s="39"/>
      <c r="J30" s="38"/>
      <c r="K30" s="38"/>
      <c r="L30" s="38"/>
    </row>
    <row r="31" spans="1:14" ht="13.8" thickBot="1" x14ac:dyDescent="0.3">
      <c r="A31" s="46"/>
      <c r="B31" s="33"/>
      <c r="D31" s="34"/>
      <c r="E31" s="36">
        <v>220</v>
      </c>
      <c r="F31" s="37">
        <v>240</v>
      </c>
      <c r="G31" s="14">
        <v>196</v>
      </c>
      <c r="H31" s="15">
        <v>200</v>
      </c>
      <c r="I31" s="39"/>
      <c r="J31" s="38"/>
      <c r="K31" s="38"/>
      <c r="L31" s="38"/>
      <c r="N31" s="42"/>
    </row>
    <row r="32" spans="1:14" ht="13.8" thickBot="1" x14ac:dyDescent="0.3">
      <c r="A32" s="46"/>
      <c r="B32" s="33"/>
      <c r="D32" s="34"/>
      <c r="E32" s="37">
        <v>240</v>
      </c>
      <c r="F32" s="37">
        <v>270</v>
      </c>
      <c r="G32" s="15">
        <v>200</v>
      </c>
      <c r="H32" s="14">
        <v>205</v>
      </c>
      <c r="I32" s="39"/>
      <c r="J32" s="38"/>
      <c r="K32" s="38"/>
      <c r="L32" s="38"/>
      <c r="N32" s="42"/>
    </row>
    <row r="33" spans="1:14" s="42" customFormat="1" ht="13.8" thickBot="1" x14ac:dyDescent="0.3">
      <c r="A33" s="46"/>
      <c r="B33" s="33"/>
      <c r="C33" s="2"/>
      <c r="D33" s="34"/>
      <c r="E33" s="37">
        <v>270</v>
      </c>
      <c r="F33" s="37">
        <v>300</v>
      </c>
      <c r="G33" s="14">
        <v>205</v>
      </c>
      <c r="H33" s="15">
        <v>210</v>
      </c>
      <c r="I33" s="41"/>
      <c r="J33" s="38"/>
      <c r="K33" s="38"/>
      <c r="L33" s="38"/>
    </row>
    <row r="34" spans="1:14" s="42" customFormat="1" ht="13.8" thickBot="1" x14ac:dyDescent="0.3">
      <c r="E34" s="37">
        <v>300</v>
      </c>
      <c r="F34" s="37">
        <v>330</v>
      </c>
      <c r="G34" s="15">
        <v>210</v>
      </c>
      <c r="H34" s="14">
        <v>215</v>
      </c>
      <c r="I34" s="5"/>
      <c r="J34" s="38"/>
      <c r="K34" s="38"/>
      <c r="L34" s="38"/>
    </row>
    <row r="35" spans="1:14" s="42" customFormat="1" ht="13.8" thickBot="1" x14ac:dyDescent="0.3">
      <c r="E35" s="37">
        <v>330</v>
      </c>
      <c r="F35" s="37">
        <v>360</v>
      </c>
      <c r="G35" s="14">
        <v>215</v>
      </c>
      <c r="H35" s="15">
        <v>221</v>
      </c>
      <c r="I35" s="5"/>
      <c r="J35" s="38"/>
      <c r="K35" s="38"/>
      <c r="L35" s="38"/>
    </row>
    <row r="36" spans="1:14" s="42" customFormat="1" ht="13.8" thickBot="1" x14ac:dyDescent="0.3">
      <c r="E36" s="37">
        <v>360</v>
      </c>
      <c r="F36" s="37">
        <v>390</v>
      </c>
      <c r="G36" s="15">
        <v>221</v>
      </c>
      <c r="H36" s="14">
        <v>226</v>
      </c>
      <c r="I36" s="5"/>
      <c r="J36" s="38"/>
      <c r="K36" s="38"/>
      <c r="L36" s="38"/>
      <c r="N36" s="3"/>
    </row>
    <row r="37" spans="1:14" s="42" customFormat="1" ht="13.8" thickBot="1" x14ac:dyDescent="0.3">
      <c r="E37" s="37">
        <v>390</v>
      </c>
      <c r="F37" s="40">
        <v>430</v>
      </c>
      <c r="G37" s="14">
        <v>226</v>
      </c>
      <c r="H37" s="15">
        <v>232</v>
      </c>
      <c r="I37" s="39"/>
      <c r="J37" s="38"/>
      <c r="K37" s="38"/>
      <c r="L37" s="38"/>
      <c r="N37" s="3"/>
    </row>
    <row r="38" spans="1:14" ht="13.8" thickBot="1" x14ac:dyDescent="0.3">
      <c r="E38" s="40">
        <v>430</v>
      </c>
      <c r="F38" s="36">
        <v>470</v>
      </c>
      <c r="G38" s="15">
        <v>232</v>
      </c>
      <c r="H38" s="14">
        <v>237</v>
      </c>
      <c r="I38" s="39"/>
      <c r="J38" s="38"/>
      <c r="K38" s="38"/>
      <c r="L38" s="38"/>
    </row>
    <row r="39" spans="1:14" ht="13.8" thickBot="1" x14ac:dyDescent="0.3">
      <c r="E39" s="36">
        <v>470</v>
      </c>
      <c r="F39" s="37">
        <v>510</v>
      </c>
      <c r="G39" s="14">
        <v>237</v>
      </c>
      <c r="H39" s="15">
        <v>243</v>
      </c>
      <c r="I39" s="39"/>
      <c r="J39" s="38"/>
      <c r="K39" s="38"/>
      <c r="L39" s="38"/>
    </row>
    <row r="40" spans="1:14" ht="13.8" thickBot="1" x14ac:dyDescent="0.3">
      <c r="E40" s="37">
        <v>510</v>
      </c>
      <c r="F40" s="37">
        <v>560</v>
      </c>
      <c r="G40" s="15">
        <v>243</v>
      </c>
      <c r="H40" s="14">
        <v>249</v>
      </c>
      <c r="I40" s="39"/>
      <c r="J40" s="38"/>
      <c r="K40" s="38"/>
      <c r="L40" s="38"/>
    </row>
    <row r="41" spans="1:14" ht="13.8" thickBot="1" x14ac:dyDescent="0.3">
      <c r="E41" s="37">
        <v>560</v>
      </c>
      <c r="F41" s="37">
        <v>620</v>
      </c>
      <c r="G41" s="14">
        <v>249</v>
      </c>
      <c r="H41" s="15">
        <v>255</v>
      </c>
      <c r="I41" s="39"/>
      <c r="J41" s="38"/>
      <c r="K41" s="38"/>
      <c r="L41" s="38"/>
    </row>
    <row r="42" spans="1:14" ht="13.8" thickBot="1" x14ac:dyDescent="0.3">
      <c r="E42" s="37">
        <v>620</v>
      </c>
      <c r="F42" s="37">
        <v>680</v>
      </c>
      <c r="G42" s="15">
        <v>255</v>
      </c>
      <c r="H42" s="14">
        <v>261</v>
      </c>
      <c r="I42" s="39"/>
      <c r="J42" s="38"/>
      <c r="K42" s="38"/>
      <c r="L42" s="38"/>
    </row>
    <row r="43" spans="1:14" ht="13.8" thickBot="1" x14ac:dyDescent="0.3">
      <c r="E43" s="37">
        <v>680</v>
      </c>
      <c r="F43" s="37">
        <v>750</v>
      </c>
      <c r="G43" s="14">
        <v>261</v>
      </c>
      <c r="H43" s="15">
        <v>267</v>
      </c>
      <c r="I43" s="39"/>
      <c r="J43" s="38"/>
      <c r="K43" s="38"/>
      <c r="L43" s="38"/>
    </row>
    <row r="44" spans="1:14" ht="13.8" thickBot="1" x14ac:dyDescent="0.3">
      <c r="E44" s="37">
        <v>750</v>
      </c>
      <c r="F44" s="37">
        <v>820</v>
      </c>
      <c r="G44" s="15">
        <v>267</v>
      </c>
      <c r="H44" s="14">
        <v>274</v>
      </c>
      <c r="J44" s="38"/>
      <c r="K44" s="38"/>
      <c r="L44" s="38"/>
    </row>
    <row r="45" spans="1:14" ht="13.8" thickBot="1" x14ac:dyDescent="0.3">
      <c r="E45" s="37">
        <v>820</v>
      </c>
      <c r="F45" s="40">
        <v>910</v>
      </c>
      <c r="G45" s="14">
        <v>274</v>
      </c>
      <c r="H45" s="15">
        <v>280</v>
      </c>
      <c r="J45" s="38"/>
      <c r="K45" s="38"/>
      <c r="L45" s="38"/>
    </row>
    <row r="46" spans="1:14" ht="13.8" thickBot="1" x14ac:dyDescent="0.3">
      <c r="E46" s="40">
        <v>910</v>
      </c>
      <c r="F46" s="40">
        <v>1000</v>
      </c>
      <c r="G46" s="15">
        <v>280</v>
      </c>
      <c r="H46" s="14">
        <v>287</v>
      </c>
      <c r="J46" s="38"/>
      <c r="K46" s="38"/>
      <c r="L46" s="38"/>
    </row>
    <row r="47" spans="1:14" ht="13.8" thickBot="1" x14ac:dyDescent="0.3">
      <c r="E47" s="110" t="s">
        <v>153</v>
      </c>
      <c r="F47" s="110"/>
      <c r="G47" s="14">
        <v>287</v>
      </c>
      <c r="H47" s="15">
        <v>294</v>
      </c>
      <c r="J47" s="38"/>
      <c r="K47" s="38"/>
      <c r="L47" s="38"/>
    </row>
    <row r="48" spans="1:14" ht="13.8" thickBot="1" x14ac:dyDescent="0.3">
      <c r="E48" s="43">
        <v>100</v>
      </c>
      <c r="F48" s="43">
        <v>105</v>
      </c>
      <c r="G48" s="15">
        <v>294</v>
      </c>
      <c r="H48" s="14">
        <v>301</v>
      </c>
      <c r="J48" s="38"/>
      <c r="K48" s="38"/>
      <c r="L48" s="38"/>
    </row>
    <row r="49" spans="5:12" ht="13.8" thickBot="1" x14ac:dyDescent="0.3">
      <c r="E49" s="43">
        <v>105</v>
      </c>
      <c r="F49" s="43">
        <v>110</v>
      </c>
      <c r="G49" s="14">
        <v>301</v>
      </c>
      <c r="H49" s="15">
        <v>309</v>
      </c>
      <c r="J49" s="38"/>
      <c r="K49" s="38"/>
      <c r="L49" s="38"/>
    </row>
    <row r="50" spans="5:12" ht="13.8" thickBot="1" x14ac:dyDescent="0.3">
      <c r="E50" s="43">
        <v>110</v>
      </c>
      <c r="F50" s="43">
        <v>115</v>
      </c>
      <c r="G50" s="15">
        <v>309</v>
      </c>
      <c r="H50" s="14">
        <v>316</v>
      </c>
      <c r="J50" s="38"/>
      <c r="K50" s="38"/>
      <c r="L50" s="38"/>
    </row>
    <row r="51" spans="5:12" ht="13.8" thickBot="1" x14ac:dyDescent="0.3">
      <c r="E51" s="43">
        <v>115</v>
      </c>
      <c r="F51" s="43">
        <v>121</v>
      </c>
      <c r="G51" s="14">
        <v>316</v>
      </c>
      <c r="H51" s="15">
        <v>324</v>
      </c>
      <c r="J51" s="38"/>
      <c r="K51" s="38"/>
      <c r="L51" s="38"/>
    </row>
    <row r="52" spans="5:12" ht="13.8" thickBot="1" x14ac:dyDescent="0.3">
      <c r="E52" s="43">
        <v>121</v>
      </c>
      <c r="F52" s="43">
        <v>127</v>
      </c>
      <c r="G52" s="15">
        <v>324</v>
      </c>
      <c r="H52" s="14">
        <v>332</v>
      </c>
      <c r="J52" s="38"/>
      <c r="K52" s="38"/>
      <c r="L52" s="38"/>
    </row>
    <row r="53" spans="5:12" ht="13.8" thickBot="1" x14ac:dyDescent="0.3">
      <c r="E53" s="43">
        <v>127</v>
      </c>
      <c r="F53" s="43">
        <v>133</v>
      </c>
      <c r="G53" s="14">
        <v>332</v>
      </c>
      <c r="H53" s="15">
        <v>340</v>
      </c>
      <c r="J53" s="38"/>
      <c r="K53" s="38"/>
      <c r="L53" s="38"/>
    </row>
    <row r="54" spans="5:12" ht="13.8" thickBot="1" x14ac:dyDescent="0.3">
      <c r="E54" s="43">
        <v>133</v>
      </c>
      <c r="F54" s="43">
        <v>140</v>
      </c>
      <c r="G54" s="15">
        <v>340</v>
      </c>
      <c r="H54" s="14">
        <v>348</v>
      </c>
      <c r="J54" s="38"/>
      <c r="K54" s="38"/>
      <c r="L54" s="38"/>
    </row>
    <row r="55" spans="5:12" ht="13.8" thickBot="1" x14ac:dyDescent="0.3">
      <c r="E55" s="43">
        <v>140</v>
      </c>
      <c r="F55" s="43">
        <v>147</v>
      </c>
      <c r="G55" s="14">
        <v>348</v>
      </c>
      <c r="H55" s="15">
        <v>357</v>
      </c>
      <c r="J55" s="38"/>
      <c r="K55" s="38"/>
      <c r="L55" s="38"/>
    </row>
    <row r="56" spans="5:12" ht="13.8" thickBot="1" x14ac:dyDescent="0.3">
      <c r="E56" s="43">
        <v>147</v>
      </c>
      <c r="F56" s="43">
        <v>154</v>
      </c>
      <c r="G56" s="15">
        <v>357</v>
      </c>
      <c r="H56" s="14">
        <v>365</v>
      </c>
      <c r="J56" s="38"/>
      <c r="K56" s="38"/>
      <c r="L56" s="38"/>
    </row>
    <row r="57" spans="5:12" ht="13.8" thickBot="1" x14ac:dyDescent="0.3">
      <c r="E57" s="43">
        <v>154</v>
      </c>
      <c r="F57" s="43">
        <v>162</v>
      </c>
      <c r="G57" s="14">
        <v>365</v>
      </c>
      <c r="H57" s="15">
        <v>374</v>
      </c>
      <c r="J57" s="38"/>
      <c r="K57" s="38"/>
      <c r="L57" s="38"/>
    </row>
    <row r="58" spans="5:12" ht="13.8" thickBot="1" x14ac:dyDescent="0.3">
      <c r="E58" s="43">
        <v>162</v>
      </c>
      <c r="F58" s="43">
        <v>169</v>
      </c>
      <c r="G58" s="15">
        <v>374</v>
      </c>
      <c r="H58" s="14">
        <v>383</v>
      </c>
      <c r="J58" s="38"/>
      <c r="K58" s="38"/>
      <c r="L58" s="38"/>
    </row>
    <row r="59" spans="5:12" ht="13.8" thickBot="1" x14ac:dyDescent="0.3">
      <c r="E59" s="43">
        <v>169</v>
      </c>
      <c r="F59" s="43">
        <v>178</v>
      </c>
      <c r="G59" s="14">
        <v>383</v>
      </c>
      <c r="H59" s="15">
        <v>392</v>
      </c>
      <c r="J59" s="38"/>
      <c r="K59" s="38"/>
      <c r="L59" s="38"/>
    </row>
    <row r="60" spans="5:12" ht="13.8" thickBot="1" x14ac:dyDescent="0.3">
      <c r="E60" s="43">
        <v>178</v>
      </c>
      <c r="F60" s="43">
        <v>187</v>
      </c>
      <c r="G60" s="15">
        <v>392</v>
      </c>
      <c r="H60" s="14">
        <v>402</v>
      </c>
      <c r="J60" s="38"/>
      <c r="K60" s="38"/>
      <c r="L60" s="38"/>
    </row>
    <row r="61" spans="5:12" ht="13.8" thickBot="1" x14ac:dyDescent="0.3">
      <c r="E61" s="43">
        <v>187</v>
      </c>
      <c r="F61" s="43">
        <v>196</v>
      </c>
      <c r="G61" s="14">
        <v>402</v>
      </c>
      <c r="H61" s="15">
        <v>412</v>
      </c>
      <c r="J61" s="38"/>
      <c r="K61" s="38"/>
      <c r="L61" s="38"/>
    </row>
    <row r="62" spans="5:12" ht="13.8" thickBot="1" x14ac:dyDescent="0.3">
      <c r="E62" s="43">
        <v>196</v>
      </c>
      <c r="F62" s="43">
        <v>205</v>
      </c>
      <c r="G62" s="15">
        <v>412</v>
      </c>
      <c r="H62" s="14">
        <v>422</v>
      </c>
      <c r="J62" s="38"/>
      <c r="K62" s="38"/>
      <c r="L62" s="38"/>
    </row>
    <row r="63" spans="5:12" ht="13.8" thickBot="1" x14ac:dyDescent="0.3">
      <c r="E63" s="43">
        <v>205</v>
      </c>
      <c r="F63" s="43">
        <v>215</v>
      </c>
      <c r="G63" s="14">
        <v>422</v>
      </c>
      <c r="H63" s="15">
        <v>432</v>
      </c>
      <c r="J63" s="38"/>
      <c r="K63" s="38"/>
      <c r="L63" s="38"/>
    </row>
    <row r="64" spans="5:12" ht="13.8" thickBot="1" x14ac:dyDescent="0.3">
      <c r="E64" s="43">
        <v>215</v>
      </c>
      <c r="F64" s="43">
        <v>226</v>
      </c>
      <c r="G64" s="15">
        <v>432</v>
      </c>
      <c r="H64" s="14">
        <v>442</v>
      </c>
      <c r="J64" s="38"/>
      <c r="K64" s="38"/>
      <c r="L64" s="38"/>
    </row>
    <row r="65" spans="5:12" ht="13.8" thickBot="1" x14ac:dyDescent="0.3">
      <c r="E65" s="43">
        <v>226</v>
      </c>
      <c r="F65" s="43">
        <v>237</v>
      </c>
      <c r="G65" s="14">
        <v>442</v>
      </c>
      <c r="H65" s="15">
        <v>453</v>
      </c>
      <c r="J65" s="38"/>
      <c r="K65" s="38"/>
      <c r="L65" s="38"/>
    </row>
    <row r="66" spans="5:12" ht="13.8" thickBot="1" x14ac:dyDescent="0.3">
      <c r="E66" s="43">
        <v>237</v>
      </c>
      <c r="F66" s="43">
        <v>249</v>
      </c>
      <c r="G66" s="15">
        <v>453</v>
      </c>
      <c r="H66" s="14">
        <v>464</v>
      </c>
      <c r="J66" s="38"/>
      <c r="K66" s="38"/>
      <c r="L66" s="38"/>
    </row>
    <row r="67" spans="5:12" ht="13.8" thickBot="1" x14ac:dyDescent="0.3">
      <c r="E67" s="43">
        <v>249</v>
      </c>
      <c r="F67" s="43">
        <v>261</v>
      </c>
      <c r="G67" s="14">
        <v>464</v>
      </c>
      <c r="H67" s="15">
        <v>475</v>
      </c>
      <c r="J67" s="38"/>
      <c r="K67" s="38"/>
      <c r="L67" s="38"/>
    </row>
    <row r="68" spans="5:12" ht="13.8" thickBot="1" x14ac:dyDescent="0.3">
      <c r="E68" s="43">
        <v>261</v>
      </c>
      <c r="F68" s="43">
        <v>274</v>
      </c>
      <c r="G68" s="15">
        <v>475</v>
      </c>
      <c r="H68" s="14">
        <v>487</v>
      </c>
      <c r="J68" s="38"/>
      <c r="K68" s="38"/>
      <c r="L68" s="38"/>
    </row>
    <row r="69" spans="5:12" ht="13.8" thickBot="1" x14ac:dyDescent="0.3">
      <c r="E69" s="43">
        <v>274</v>
      </c>
      <c r="F69" s="43">
        <v>287</v>
      </c>
      <c r="G69" s="14">
        <v>487</v>
      </c>
      <c r="H69" s="15">
        <v>499</v>
      </c>
      <c r="J69" s="38"/>
      <c r="K69" s="38"/>
      <c r="L69" s="38"/>
    </row>
    <row r="70" spans="5:12" ht="13.8" thickBot="1" x14ac:dyDescent="0.3">
      <c r="E70" s="43">
        <v>287</v>
      </c>
      <c r="F70" s="43">
        <v>301</v>
      </c>
      <c r="G70" s="15">
        <v>499</v>
      </c>
      <c r="H70" s="14">
        <v>511</v>
      </c>
      <c r="J70" s="38"/>
      <c r="K70" s="38"/>
      <c r="L70" s="38"/>
    </row>
    <row r="71" spans="5:12" ht="13.8" thickBot="1" x14ac:dyDescent="0.3">
      <c r="E71" s="43">
        <v>301</v>
      </c>
      <c r="F71" s="43">
        <v>316</v>
      </c>
      <c r="G71" s="14">
        <v>511</v>
      </c>
      <c r="H71" s="15">
        <v>523</v>
      </c>
      <c r="J71" s="38"/>
      <c r="K71" s="38"/>
      <c r="L71" s="38"/>
    </row>
    <row r="72" spans="5:12" ht="13.8" thickBot="1" x14ac:dyDescent="0.3">
      <c r="E72" s="43">
        <v>316</v>
      </c>
      <c r="F72" s="43">
        <v>332</v>
      </c>
      <c r="G72" s="15">
        <v>523</v>
      </c>
      <c r="H72" s="14">
        <v>536</v>
      </c>
      <c r="J72" s="38"/>
      <c r="K72" s="38"/>
      <c r="L72" s="38"/>
    </row>
    <row r="73" spans="5:12" ht="13.8" thickBot="1" x14ac:dyDescent="0.3">
      <c r="E73" s="43">
        <v>332</v>
      </c>
      <c r="F73" s="43">
        <v>348</v>
      </c>
      <c r="G73" s="14">
        <v>536</v>
      </c>
      <c r="H73" s="15">
        <v>549</v>
      </c>
      <c r="J73" s="38"/>
      <c r="K73" s="38"/>
      <c r="L73" s="38"/>
    </row>
    <row r="74" spans="5:12" ht="13.8" thickBot="1" x14ac:dyDescent="0.3">
      <c r="E74" s="43">
        <v>348</v>
      </c>
      <c r="F74" s="43">
        <v>365</v>
      </c>
      <c r="G74" s="15">
        <v>549</v>
      </c>
      <c r="H74" s="14">
        <v>562</v>
      </c>
      <c r="J74" s="38"/>
      <c r="K74" s="38"/>
      <c r="L74" s="38"/>
    </row>
    <row r="75" spans="5:12" ht="13.8" thickBot="1" x14ac:dyDescent="0.3">
      <c r="E75" s="43">
        <v>365</v>
      </c>
      <c r="F75" s="43">
        <v>383</v>
      </c>
      <c r="G75" s="14">
        <v>562</v>
      </c>
      <c r="H75" s="15">
        <v>576</v>
      </c>
      <c r="J75" s="44"/>
      <c r="K75" s="44"/>
      <c r="L75" s="44"/>
    </row>
    <row r="76" spans="5:12" ht="13.8" thickBot="1" x14ac:dyDescent="0.3">
      <c r="E76" s="43">
        <v>383</v>
      </c>
      <c r="F76" s="43">
        <v>402</v>
      </c>
      <c r="G76" s="15">
        <v>576</v>
      </c>
      <c r="H76" s="14">
        <v>590</v>
      </c>
      <c r="J76" s="44"/>
      <c r="K76" s="44"/>
      <c r="L76" s="44"/>
    </row>
    <row r="77" spans="5:12" ht="13.8" thickBot="1" x14ac:dyDescent="0.3">
      <c r="E77" s="43">
        <v>402</v>
      </c>
      <c r="F77" s="43">
        <v>422</v>
      </c>
      <c r="G77" s="14">
        <v>590</v>
      </c>
      <c r="H77" s="15">
        <v>604</v>
      </c>
      <c r="J77" s="44"/>
      <c r="K77" s="44"/>
      <c r="L77" s="44"/>
    </row>
    <row r="78" spans="5:12" ht="13.8" thickBot="1" x14ac:dyDescent="0.3">
      <c r="E78" s="43">
        <v>422</v>
      </c>
      <c r="F78" s="43">
        <v>442</v>
      </c>
      <c r="G78" s="15">
        <v>604</v>
      </c>
      <c r="H78" s="14">
        <v>619</v>
      </c>
      <c r="J78" s="44"/>
      <c r="K78" s="44"/>
      <c r="L78" s="44"/>
    </row>
    <row r="79" spans="5:12" ht="13.8" thickBot="1" x14ac:dyDescent="0.3">
      <c r="E79" s="43">
        <v>442</v>
      </c>
      <c r="F79" s="43">
        <v>464</v>
      </c>
      <c r="G79" s="14">
        <v>619</v>
      </c>
      <c r="H79" s="15">
        <v>634</v>
      </c>
      <c r="J79" s="44"/>
      <c r="K79" s="44"/>
      <c r="L79" s="44"/>
    </row>
    <row r="80" spans="5:12" ht="13.8" thickBot="1" x14ac:dyDescent="0.3">
      <c r="E80" s="43">
        <v>464</v>
      </c>
      <c r="F80" s="43">
        <v>487</v>
      </c>
      <c r="G80" s="15">
        <v>634</v>
      </c>
      <c r="H80" s="14">
        <v>649</v>
      </c>
      <c r="J80" s="44"/>
      <c r="K80" s="44"/>
      <c r="L80" s="44"/>
    </row>
    <row r="81" spans="5:12" ht="13.8" thickBot="1" x14ac:dyDescent="0.3">
      <c r="E81" s="43">
        <v>487</v>
      </c>
      <c r="F81" s="43">
        <v>511</v>
      </c>
      <c r="G81" s="14">
        <v>649</v>
      </c>
      <c r="H81" s="15">
        <v>665</v>
      </c>
      <c r="J81" s="44"/>
      <c r="K81" s="44"/>
      <c r="L81" s="44"/>
    </row>
    <row r="82" spans="5:12" ht="13.8" thickBot="1" x14ac:dyDescent="0.3">
      <c r="E82" s="43">
        <v>511</v>
      </c>
      <c r="F82" s="43">
        <v>536</v>
      </c>
      <c r="G82" s="15">
        <v>665</v>
      </c>
      <c r="H82" s="14">
        <v>681</v>
      </c>
      <c r="J82" s="44"/>
      <c r="K82" s="44"/>
      <c r="L82" s="44"/>
    </row>
    <row r="83" spans="5:12" ht="13.8" thickBot="1" x14ac:dyDescent="0.3">
      <c r="E83" s="43">
        <v>536</v>
      </c>
      <c r="F83" s="43">
        <v>562</v>
      </c>
      <c r="G83" s="14">
        <v>681</v>
      </c>
      <c r="H83" s="15">
        <v>698</v>
      </c>
      <c r="J83" s="44"/>
      <c r="K83" s="44"/>
      <c r="L83" s="44"/>
    </row>
    <row r="84" spans="5:12" ht="13.8" thickBot="1" x14ac:dyDescent="0.3">
      <c r="E84" s="43">
        <v>562</v>
      </c>
      <c r="F84" s="43">
        <v>590</v>
      </c>
      <c r="G84" s="15">
        <v>698</v>
      </c>
      <c r="H84" s="14">
        <v>715</v>
      </c>
      <c r="J84" s="44"/>
      <c r="K84" s="44"/>
      <c r="L84" s="44"/>
    </row>
    <row r="85" spans="5:12" ht="13.8" thickBot="1" x14ac:dyDescent="0.3">
      <c r="E85" s="43">
        <v>590</v>
      </c>
      <c r="F85" s="43">
        <v>619</v>
      </c>
      <c r="G85" s="14">
        <v>715</v>
      </c>
      <c r="H85" s="15">
        <v>732</v>
      </c>
      <c r="J85" s="44"/>
      <c r="K85" s="44"/>
      <c r="L85" s="44"/>
    </row>
    <row r="86" spans="5:12" ht="13.8" thickBot="1" x14ac:dyDescent="0.3">
      <c r="E86" s="43">
        <v>619</v>
      </c>
      <c r="F86" s="43">
        <v>649</v>
      </c>
      <c r="G86" s="15">
        <v>732</v>
      </c>
      <c r="H86" s="14">
        <v>750</v>
      </c>
      <c r="J86" s="44"/>
      <c r="K86" s="44"/>
      <c r="L86" s="44"/>
    </row>
    <row r="87" spans="5:12" ht="13.8" thickBot="1" x14ac:dyDescent="0.3">
      <c r="E87" s="43">
        <v>649</v>
      </c>
      <c r="F87" s="43">
        <v>681</v>
      </c>
      <c r="G87" s="14">
        <v>750</v>
      </c>
      <c r="H87" s="15">
        <v>768</v>
      </c>
      <c r="J87" s="44"/>
      <c r="K87" s="44"/>
      <c r="L87" s="44"/>
    </row>
    <row r="88" spans="5:12" ht="13.8" thickBot="1" x14ac:dyDescent="0.3">
      <c r="E88" s="43">
        <v>681</v>
      </c>
      <c r="F88" s="43">
        <v>715</v>
      </c>
      <c r="G88" s="15">
        <v>768</v>
      </c>
      <c r="H88" s="14">
        <v>787</v>
      </c>
      <c r="J88" s="44"/>
      <c r="K88" s="44"/>
      <c r="L88" s="44"/>
    </row>
    <row r="89" spans="5:12" ht="13.8" thickBot="1" x14ac:dyDescent="0.3">
      <c r="E89" s="43">
        <v>715</v>
      </c>
      <c r="F89" s="43">
        <v>750</v>
      </c>
      <c r="G89" s="14">
        <v>787</v>
      </c>
      <c r="H89" s="15">
        <v>806</v>
      </c>
      <c r="J89" s="44"/>
      <c r="K89" s="44"/>
      <c r="L89" s="44"/>
    </row>
    <row r="90" spans="5:12" ht="13.8" thickBot="1" x14ac:dyDescent="0.3">
      <c r="E90" s="43">
        <v>750</v>
      </c>
      <c r="F90" s="43">
        <v>787</v>
      </c>
      <c r="G90" s="15">
        <v>806</v>
      </c>
      <c r="H90" s="14">
        <v>825</v>
      </c>
      <c r="J90" s="44"/>
      <c r="K90" s="44"/>
      <c r="L90" s="44"/>
    </row>
    <row r="91" spans="5:12" ht="13.8" thickBot="1" x14ac:dyDescent="0.3">
      <c r="E91" s="43">
        <v>787</v>
      </c>
      <c r="F91" s="43">
        <v>825</v>
      </c>
      <c r="G91" s="14">
        <v>825</v>
      </c>
      <c r="H91" s="15">
        <v>845</v>
      </c>
      <c r="J91" s="44"/>
      <c r="K91" s="44"/>
      <c r="L91" s="44"/>
    </row>
    <row r="92" spans="5:12" ht="13.8" thickBot="1" x14ac:dyDescent="0.3">
      <c r="E92" s="43">
        <v>825</v>
      </c>
      <c r="F92" s="43">
        <v>866</v>
      </c>
      <c r="G92" s="15">
        <v>845</v>
      </c>
      <c r="H92" s="14">
        <v>866</v>
      </c>
      <c r="J92" s="44"/>
      <c r="K92" s="44"/>
      <c r="L92" s="44"/>
    </row>
    <row r="93" spans="5:12" ht="13.8" thickBot="1" x14ac:dyDescent="0.3">
      <c r="E93" s="43">
        <v>866</v>
      </c>
      <c r="F93" s="43">
        <v>909</v>
      </c>
      <c r="G93" s="14">
        <v>866</v>
      </c>
      <c r="H93" s="15">
        <v>887</v>
      </c>
      <c r="J93" s="44"/>
      <c r="K93" s="44"/>
      <c r="L93" s="44"/>
    </row>
    <row r="94" spans="5:12" ht="13.8" thickBot="1" x14ac:dyDescent="0.3">
      <c r="E94" s="43">
        <v>909</v>
      </c>
      <c r="F94" s="43">
        <v>953</v>
      </c>
      <c r="G94" s="15">
        <v>887</v>
      </c>
      <c r="H94" s="14">
        <v>909</v>
      </c>
      <c r="J94" s="44"/>
      <c r="K94" s="44"/>
      <c r="L94" s="44"/>
    </row>
    <row r="95" spans="5:12" ht="13.8" thickBot="1" x14ac:dyDescent="0.3">
      <c r="E95" s="43">
        <v>953</v>
      </c>
      <c r="F95" s="43">
        <v>1000</v>
      </c>
      <c r="G95" s="14">
        <v>909</v>
      </c>
      <c r="H95" s="15">
        <v>931</v>
      </c>
      <c r="J95" s="44"/>
      <c r="K95" s="44"/>
      <c r="L95" s="44"/>
    </row>
    <row r="96" spans="5:12" ht="13.8" thickBot="1" x14ac:dyDescent="0.3">
      <c r="G96" s="15">
        <v>931</v>
      </c>
      <c r="H96" s="14">
        <v>953</v>
      </c>
      <c r="J96" s="44"/>
      <c r="K96" s="44"/>
      <c r="L96" s="44"/>
    </row>
    <row r="97" spans="7:12" ht="13.8" thickBot="1" x14ac:dyDescent="0.3">
      <c r="G97" s="14">
        <v>953</v>
      </c>
      <c r="H97" s="15">
        <v>976</v>
      </c>
      <c r="J97" s="44"/>
      <c r="K97" s="44"/>
      <c r="L97" s="44"/>
    </row>
    <row r="98" spans="7:12" ht="13.8" thickBot="1" x14ac:dyDescent="0.3">
      <c r="G98" s="15">
        <v>976</v>
      </c>
      <c r="H98" s="15">
        <v>1000</v>
      </c>
      <c r="J98" s="44"/>
      <c r="K98" s="44"/>
      <c r="L98" s="44"/>
    </row>
    <row r="99" spans="7:12" x14ac:dyDescent="0.25">
      <c r="J99" s="44"/>
      <c r="K99" s="44"/>
      <c r="L99" s="44"/>
    </row>
    <row r="100" spans="7:12" x14ac:dyDescent="0.25">
      <c r="J100" s="44"/>
      <c r="K100" s="44"/>
      <c r="L100" s="44"/>
    </row>
    <row r="101" spans="7:12" x14ac:dyDescent="0.25">
      <c r="J101" s="44"/>
      <c r="K101" s="44"/>
      <c r="L101" s="44"/>
    </row>
    <row r="102" spans="7:12" x14ac:dyDescent="0.25">
      <c r="J102" s="44"/>
      <c r="K102" s="44"/>
      <c r="L102" s="44"/>
    </row>
    <row r="103" spans="7:12" x14ac:dyDescent="0.25">
      <c r="J103" s="44"/>
      <c r="K103" s="44"/>
      <c r="L103" s="44"/>
    </row>
    <row r="104" spans="7:12" x14ac:dyDescent="0.25">
      <c r="J104" s="44"/>
      <c r="K104" s="44"/>
      <c r="L104" s="44"/>
    </row>
    <row r="105" spans="7:12" x14ac:dyDescent="0.25">
      <c r="J105" s="44"/>
      <c r="K105" s="44"/>
      <c r="L105" s="44"/>
    </row>
    <row r="106" spans="7:12" x14ac:dyDescent="0.25">
      <c r="J106" s="44"/>
      <c r="K106" s="44"/>
      <c r="L106" s="44"/>
    </row>
    <row r="107" spans="7:12" x14ac:dyDescent="0.25">
      <c r="J107" s="44"/>
      <c r="K107" s="44"/>
      <c r="L107" s="44"/>
    </row>
    <row r="108" spans="7:12" x14ac:dyDescent="0.25">
      <c r="J108" s="44"/>
      <c r="K108" s="44"/>
      <c r="L108" s="44"/>
    </row>
    <row r="109" spans="7:12" x14ac:dyDescent="0.25">
      <c r="J109" s="44"/>
      <c r="K109" s="44"/>
      <c r="L109" s="44"/>
    </row>
    <row r="110" spans="7:12" x14ac:dyDescent="0.25">
      <c r="J110" s="44"/>
      <c r="K110" s="44"/>
      <c r="L110" s="44"/>
    </row>
    <row r="111" spans="7:12" x14ac:dyDescent="0.25">
      <c r="J111" s="44"/>
      <c r="K111" s="44"/>
      <c r="L111" s="44"/>
    </row>
    <row r="112" spans="7:12" x14ac:dyDescent="0.25">
      <c r="J112" s="44"/>
      <c r="K112" s="44"/>
      <c r="L112" s="44"/>
    </row>
    <row r="113" spans="10:12" x14ac:dyDescent="0.25">
      <c r="J113" s="44"/>
      <c r="K113" s="44"/>
      <c r="L113" s="44"/>
    </row>
    <row r="114" spans="10:12" x14ac:dyDescent="0.25">
      <c r="J114" s="44"/>
      <c r="K114" s="44"/>
      <c r="L114" s="44"/>
    </row>
    <row r="115" spans="10:12" x14ac:dyDescent="0.25">
      <c r="J115" s="44"/>
      <c r="K115" s="44"/>
      <c r="L115" s="44"/>
    </row>
    <row r="116" spans="10:12" x14ac:dyDescent="0.25">
      <c r="J116" s="44"/>
      <c r="K116" s="44"/>
      <c r="L116" s="44"/>
    </row>
    <row r="117" spans="10:12" x14ac:dyDescent="0.25">
      <c r="J117" s="44"/>
      <c r="K117" s="44"/>
      <c r="L117" s="44"/>
    </row>
    <row r="118" spans="10:12" x14ac:dyDescent="0.25">
      <c r="J118" s="44"/>
      <c r="K118" s="44"/>
      <c r="L118" s="44"/>
    </row>
    <row r="119" spans="10:12" x14ac:dyDescent="0.25">
      <c r="J119" s="44"/>
      <c r="K119" s="44"/>
      <c r="L119" s="44"/>
    </row>
    <row r="120" spans="10:12" x14ac:dyDescent="0.25">
      <c r="J120" s="44"/>
      <c r="K120" s="44"/>
      <c r="L120" s="44"/>
    </row>
    <row r="121" spans="10:12" x14ac:dyDescent="0.25">
      <c r="J121" s="44"/>
      <c r="K121" s="44"/>
      <c r="L121" s="44"/>
    </row>
    <row r="122" spans="10:12" x14ac:dyDescent="0.25">
      <c r="J122" s="44"/>
      <c r="K122" s="44"/>
      <c r="L122" s="44"/>
    </row>
    <row r="123" spans="10:12" x14ac:dyDescent="0.25">
      <c r="J123" s="44"/>
      <c r="K123" s="44"/>
      <c r="L123" s="44"/>
    </row>
    <row r="124" spans="10:12" x14ac:dyDescent="0.25">
      <c r="J124" s="44"/>
      <c r="K124" s="44"/>
      <c r="L124" s="44"/>
    </row>
    <row r="125" spans="10:12" x14ac:dyDescent="0.25">
      <c r="J125" s="44"/>
      <c r="K125" s="44"/>
      <c r="L125" s="44"/>
    </row>
    <row r="126" spans="10:12" x14ac:dyDescent="0.25">
      <c r="J126" s="44"/>
      <c r="K126" s="44"/>
      <c r="L126" s="44"/>
    </row>
    <row r="127" spans="10:12" x14ac:dyDescent="0.25">
      <c r="J127" s="44"/>
      <c r="K127" s="44"/>
      <c r="L127" s="44"/>
    </row>
    <row r="128" spans="10:12" x14ac:dyDescent="0.25">
      <c r="J128" s="44"/>
      <c r="K128" s="44"/>
      <c r="L128" s="44"/>
    </row>
    <row r="129" spans="10:12" x14ac:dyDescent="0.25">
      <c r="J129" s="44"/>
      <c r="K129" s="44"/>
      <c r="L129" s="44"/>
    </row>
    <row r="130" spans="10:12" x14ac:dyDescent="0.25">
      <c r="J130" s="44"/>
      <c r="K130" s="44"/>
      <c r="L130" s="44"/>
    </row>
    <row r="131" spans="10:12" x14ac:dyDescent="0.25">
      <c r="J131" s="44"/>
      <c r="K131" s="44"/>
      <c r="L131" s="44"/>
    </row>
    <row r="132" spans="10:12" x14ac:dyDescent="0.25">
      <c r="J132" s="44"/>
      <c r="K132" s="44"/>
      <c r="L132" s="44"/>
    </row>
    <row r="133" spans="10:12" x14ac:dyDescent="0.25">
      <c r="J133" s="44"/>
      <c r="K133" s="44"/>
      <c r="L133" s="44"/>
    </row>
    <row r="134" spans="10:12" x14ac:dyDescent="0.25">
      <c r="J134" s="44"/>
      <c r="K134" s="44"/>
      <c r="L134" s="44"/>
    </row>
    <row r="135" spans="10:12" x14ac:dyDescent="0.25">
      <c r="J135" s="44"/>
      <c r="K135" s="44"/>
      <c r="L135" s="44"/>
    </row>
    <row r="136" spans="10:12" x14ac:dyDescent="0.25">
      <c r="J136" s="44"/>
      <c r="K136" s="44"/>
      <c r="L136" s="44"/>
    </row>
    <row r="137" spans="10:12" x14ac:dyDescent="0.25">
      <c r="J137" s="44"/>
      <c r="K137" s="44"/>
      <c r="L137" s="44"/>
    </row>
    <row r="138" spans="10:12" x14ac:dyDescent="0.25">
      <c r="J138" s="44"/>
      <c r="K138" s="44"/>
      <c r="L138" s="44"/>
    </row>
    <row r="139" spans="10:12" x14ac:dyDescent="0.25">
      <c r="J139" s="44"/>
      <c r="K139" s="44"/>
      <c r="L139" s="44"/>
    </row>
    <row r="140" spans="10:12" x14ac:dyDescent="0.25">
      <c r="J140" s="44"/>
      <c r="K140" s="44"/>
      <c r="L140" s="44"/>
    </row>
    <row r="141" spans="10:12" x14ac:dyDescent="0.25">
      <c r="J141" s="44"/>
      <c r="K141" s="44"/>
      <c r="L141" s="44"/>
    </row>
    <row r="142" spans="10:12" x14ac:dyDescent="0.25">
      <c r="J142" s="44"/>
      <c r="K142" s="44"/>
      <c r="L142" s="44"/>
    </row>
    <row r="143" spans="10:12" x14ac:dyDescent="0.25">
      <c r="J143" s="44"/>
      <c r="K143" s="44"/>
      <c r="L143" s="44"/>
    </row>
    <row r="144" spans="10:12" x14ac:dyDescent="0.25">
      <c r="J144" s="44"/>
      <c r="K144" s="44"/>
      <c r="L144" s="44"/>
    </row>
    <row r="145" spans="10:12" x14ac:dyDescent="0.25">
      <c r="J145" s="44"/>
      <c r="K145" s="44"/>
      <c r="L145" s="44"/>
    </row>
  </sheetData>
  <mergeCells count="5">
    <mergeCell ref="E47:F47"/>
    <mergeCell ref="E2:F2"/>
    <mergeCell ref="G2:H2"/>
    <mergeCell ref="E9:F9"/>
    <mergeCell ref="E22:F22"/>
  </mergeCell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9</vt:i4>
      </vt:variant>
      <vt:variant>
        <vt:lpstr>Adlandırılmış Aralıklar</vt:lpstr>
      </vt:variant>
      <vt:variant>
        <vt:i4>96</vt:i4>
      </vt:variant>
    </vt:vector>
  </HeadingPairs>
  <TitlesOfParts>
    <vt:vector size="105" baseType="lpstr">
      <vt:lpstr>Instructions</vt:lpstr>
      <vt:lpstr>Functional Schematic</vt:lpstr>
      <vt:lpstr>Design Information</vt:lpstr>
      <vt:lpstr>Figure of T1 Current</vt:lpstr>
      <vt:lpstr>TABSET Valley Switching</vt:lpstr>
      <vt:lpstr>TCDSET Valley Switching</vt:lpstr>
      <vt:lpstr>Notice and Disclaimer</vt:lpstr>
      <vt:lpstr>Voltage Loop</vt:lpstr>
      <vt:lpstr>Standard R and C Look Up Table</vt:lpstr>
      <vt:lpstr>_imp2</vt:lpstr>
      <vt:lpstr>_ims2</vt:lpstr>
      <vt:lpstr>_ipp1</vt:lpstr>
      <vt:lpstr>_ta1</vt:lpstr>
      <vt:lpstr>_ta11</vt:lpstr>
      <vt:lpstr>_ta2</vt:lpstr>
      <vt:lpstr>_taa1</vt:lpstr>
      <vt:lpstr>_va1</vt:lpstr>
      <vt:lpstr>C_enter</vt:lpstr>
      <vt:lpstr>C_f1</vt:lpstr>
      <vt:lpstr>C_f2</vt:lpstr>
      <vt:lpstr>c_s1</vt:lpstr>
      <vt:lpstr>C_s2</vt:lpstr>
      <vt:lpstr>Center</vt:lpstr>
      <vt:lpstr>constant</vt:lpstr>
      <vt:lpstr>cossqaavg</vt:lpstr>
      <vt:lpstr>cossqaspec</vt:lpstr>
      <vt:lpstr>cossqeavg</vt:lpstr>
      <vt:lpstr>cout</vt:lpstr>
      <vt:lpstr>Cp</vt:lpstr>
      <vt:lpstr>Cstandard</vt:lpstr>
      <vt:lpstr>Cz</vt:lpstr>
      <vt:lpstr>d2a</vt:lpstr>
      <vt:lpstr>dclamp</vt:lpstr>
      <vt:lpstr>dcrlout</vt:lpstr>
      <vt:lpstr>dcrp</vt:lpstr>
      <vt:lpstr>dcrs</vt:lpstr>
      <vt:lpstr>dilmag</vt:lpstr>
      <vt:lpstr>dilout</vt:lpstr>
      <vt:lpstr>dmax</vt:lpstr>
      <vt:lpstr>dtyp</vt:lpstr>
      <vt:lpstr>E12_f</vt:lpstr>
      <vt:lpstr>E12_s</vt:lpstr>
      <vt:lpstr>E24_f</vt:lpstr>
      <vt:lpstr>E24_s</vt:lpstr>
      <vt:lpstr>E48_f</vt:lpstr>
      <vt:lpstr>E48_s</vt:lpstr>
      <vt:lpstr>E6_f</vt:lpstr>
      <vt:lpstr>E6_s</vt:lpstr>
      <vt:lpstr>E96_f</vt:lpstr>
      <vt:lpstr>E96_s</vt:lpstr>
      <vt:lpstr>Eff</vt:lpstr>
      <vt:lpstr>esrcout</vt:lpstr>
      <vt:lpstr>fc</vt:lpstr>
      <vt:lpstr>fpp</vt:lpstr>
      <vt:lpstr>fs</vt:lpstr>
      <vt:lpstr>iloutrms</vt:lpstr>
      <vt:lpstr>imp</vt:lpstr>
      <vt:lpstr>ims</vt:lpstr>
      <vt:lpstr>ipp</vt:lpstr>
      <vt:lpstr>iprms</vt:lpstr>
      <vt:lpstr>iprms1</vt:lpstr>
      <vt:lpstr>iprms2</vt:lpstr>
      <vt:lpstr>ips</vt:lpstr>
      <vt:lpstr>isrms</vt:lpstr>
      <vt:lpstr>isrms1</vt:lpstr>
      <vt:lpstr>isrms2</vt:lpstr>
      <vt:lpstr>isrms3</vt:lpstr>
      <vt:lpstr>llk</vt:lpstr>
      <vt:lpstr>lmag</vt:lpstr>
      <vt:lpstr>lmag1</vt:lpstr>
      <vt:lpstr>lmag2</vt:lpstr>
      <vt:lpstr>lout</vt:lpstr>
      <vt:lpstr>ls</vt:lpstr>
      <vt:lpstr>n1divd1</vt:lpstr>
      <vt:lpstr>pbudget</vt:lpstr>
      <vt:lpstr>pout</vt:lpstr>
      <vt:lpstr>QAg</vt:lpstr>
      <vt:lpstr>qeg</vt:lpstr>
      <vt:lpstr>rdsonqa</vt:lpstr>
      <vt:lpstr>rdsonqe</vt:lpstr>
      <vt:lpstr>rf</vt:lpstr>
      <vt:lpstr>RII</vt:lpstr>
      <vt:lpstr>rload</vt:lpstr>
      <vt:lpstr>RS</vt:lpstr>
      <vt:lpstr>sta</vt:lpstr>
      <vt:lpstr>stb</vt:lpstr>
      <vt:lpstr>tabset</vt:lpstr>
      <vt:lpstr>tafset</vt:lpstr>
      <vt:lpstr>tcdset</vt:lpstr>
      <vt:lpstr>tdelay</vt:lpstr>
      <vt:lpstr>thu</vt:lpstr>
      <vt:lpstr>tr</vt:lpstr>
      <vt:lpstr>vadel</vt:lpstr>
      <vt:lpstr>vdsqe</vt:lpstr>
      <vt:lpstr>vg</vt:lpstr>
      <vt:lpstr>VINMAX</vt:lpstr>
      <vt:lpstr>VINMIAX</vt:lpstr>
      <vt:lpstr>VINMIN</vt:lpstr>
      <vt:lpstr>vin</vt:lpstr>
      <vt:lpstr>VOUT</vt:lpstr>
      <vt:lpstr>voutmin</vt:lpstr>
      <vt:lpstr>vrdson</vt:lpstr>
      <vt:lpstr>Vslope1</vt:lpstr>
      <vt:lpstr>Vslope2</vt:lpstr>
      <vt:lpstr>VTRAN</vt:lpstr>
    </vt:vector>
  </TitlesOfParts>
  <Company>Texas Instruments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O'Loughlin</dc:creator>
  <cp:lastModifiedBy>MEHMET TUĞBERK TÜRKOĞLU</cp:lastModifiedBy>
  <cp:lastPrinted>2010-06-11T18:34:05Z</cp:lastPrinted>
  <dcterms:created xsi:type="dcterms:W3CDTF">2010-04-19T17:22:29Z</dcterms:created>
  <dcterms:modified xsi:type="dcterms:W3CDTF">2025-06-03T13:57:40Z</dcterms:modified>
</cp:coreProperties>
</file>