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HW\HW_playground\"/>
    </mc:Choice>
  </mc:AlternateContent>
  <xr:revisionPtr revIDLastSave="0" documentId="13_ncr:1_{DCCBE86E-A44E-4B28-9CF3-11029F480981}" xr6:coauthVersionLast="47" xr6:coauthVersionMax="47" xr10:uidLastSave="{00000000-0000-0000-0000-000000000000}"/>
  <bookViews>
    <workbookView xWindow="-120" yWindow="-120" windowWidth="29040" windowHeight="15720" tabRatio="572" activeTab="3" xr2:uid="{1A8E6D4E-2247-4A1C-9F48-97D7253E6BF0}"/>
  </bookViews>
  <sheets>
    <sheet name="Instructions" sheetId="8" r:id="rId1"/>
    <sheet name="Schematic" sheetId="9" r:id="rId2"/>
    <sheet name="Specifications" sheetId="1" r:id="rId3"/>
    <sheet name="Calculation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 l="1"/>
  <c r="C78" i="2"/>
  <c r="C76" i="2"/>
  <c r="C75" i="2"/>
  <c r="C20" i="2"/>
  <c r="C39" i="2"/>
  <c r="C30" i="2"/>
  <c r="C33" i="2" s="1"/>
  <c r="C36" i="2" s="1"/>
  <c r="C3" i="2"/>
  <c r="C4" i="2" s="1"/>
  <c r="C70" i="2"/>
  <c r="C43" i="2"/>
  <c r="C44" i="2" s="1"/>
  <c r="C42" i="2"/>
  <c r="C82" i="2"/>
  <c r="C31" i="2"/>
  <c r="C34" i="2" s="1"/>
  <c r="C37" i="2" s="1"/>
  <c r="C19" i="2"/>
  <c r="C18" i="2"/>
  <c r="C14" i="2"/>
  <c r="C51" i="2" l="1"/>
  <c r="C45" i="2"/>
  <c r="C53" i="2" s="1"/>
  <c r="C49" i="2"/>
  <c r="C58" i="2"/>
  <c r="C9" i="2"/>
  <c r="C59" i="2" l="1"/>
  <c r="C60" i="2" s="1"/>
  <c r="C65" i="2" l="1"/>
  <c r="C66" i="2" s="1"/>
  <c r="C79" i="2" s="1"/>
  <c r="C62" i="2"/>
  <c r="C80" i="2"/>
</calcChain>
</file>

<file path=xl/sharedStrings.xml><?xml version="1.0" encoding="utf-8"?>
<sst xmlns="http://schemas.openxmlformats.org/spreadsheetml/2006/main" count="212" uniqueCount="152">
  <si>
    <t>V</t>
  </si>
  <si>
    <t>Vout</t>
  </si>
  <si>
    <t>A</t>
  </si>
  <si>
    <t>W</t>
  </si>
  <si>
    <t>kHz</t>
  </si>
  <si>
    <t>Lp</t>
  </si>
  <si>
    <t>Output Voltage</t>
  </si>
  <si>
    <t>mV</t>
  </si>
  <si>
    <t>3. Enter the desired design parameters in the YELLOW shaded boxes</t>
  </si>
  <si>
    <t xml:space="preserve"> </t>
  </si>
  <si>
    <t>5. Actual standard values must be entered from nearest calculated value.</t>
  </si>
  <si>
    <r>
      <rPr>
        <b/>
        <sz val="10"/>
        <color indexed="8"/>
        <rFont val="Symbol"/>
        <family val="1"/>
        <charset val="2"/>
      </rPr>
      <t>D</t>
    </r>
    <r>
      <rPr>
        <b/>
        <sz val="10"/>
        <color indexed="8"/>
        <rFont val="Arial"/>
        <family val="2"/>
      </rPr>
      <t>V</t>
    </r>
    <r>
      <rPr>
        <b/>
        <vertAlign val="subscript"/>
        <sz val="10"/>
        <color indexed="8"/>
        <rFont val="Arial"/>
        <family val="2"/>
      </rPr>
      <t>OUT</t>
    </r>
  </si>
  <si>
    <t>4. The spreadsheet will calculate the ideal values and display the results.</t>
  </si>
  <si>
    <t>Max Output Voltage Ripple</t>
  </si>
  <si>
    <t>2. Input data is required on Specifications, AND Calculations sheets</t>
  </si>
  <si>
    <t>1. Macros must be ENABLED.</t>
  </si>
  <si>
    <t>V(in)min</t>
  </si>
  <si>
    <t>Min Input Voltage</t>
  </si>
  <si>
    <t>V(in)nom</t>
  </si>
  <si>
    <t>Nominal Input Voltage</t>
  </si>
  <si>
    <t>Iout(max)</t>
  </si>
  <si>
    <t>Max Output Current</t>
  </si>
  <si>
    <t>Iout(min)</t>
  </si>
  <si>
    <t>Min Output Current</t>
  </si>
  <si>
    <t>f</t>
  </si>
  <si>
    <t>LM5046 Clock Frequency</t>
  </si>
  <si>
    <t>Overall Efficiency</t>
  </si>
  <si>
    <t>η</t>
  </si>
  <si>
    <t>nS</t>
  </si>
  <si>
    <t>Tap</t>
  </si>
  <si>
    <t>Tpa</t>
  </si>
  <si>
    <t>Under Voltage(UVLO)</t>
  </si>
  <si>
    <t>Output Filter</t>
  </si>
  <si>
    <t>R6</t>
  </si>
  <si>
    <t>R9</t>
  </si>
  <si>
    <t>R7</t>
  </si>
  <si>
    <t>Under Voltage Lock Out</t>
  </si>
  <si>
    <t>R14</t>
  </si>
  <si>
    <t>Oscillator Frequency</t>
  </si>
  <si>
    <t>Switching Deadtimes</t>
  </si>
  <si>
    <t>Passive to Active Delay</t>
  </si>
  <si>
    <t>Active to Passive Delay</t>
  </si>
  <si>
    <t>Input/Output Parameter Calculations</t>
  </si>
  <si>
    <t>Pout(max)</t>
  </si>
  <si>
    <t>Pout(min)</t>
  </si>
  <si>
    <t>Pin(max)</t>
  </si>
  <si>
    <t>Pin(min)</t>
  </si>
  <si>
    <t>Iin(max)</t>
  </si>
  <si>
    <t>V(in)max</t>
  </si>
  <si>
    <t>Max Input Voltage</t>
  </si>
  <si>
    <t>I(in)max</t>
  </si>
  <si>
    <t>Iin(in)min</t>
  </si>
  <si>
    <t>Nps</t>
  </si>
  <si>
    <t>Selected turns ratio</t>
  </si>
  <si>
    <t>uS</t>
  </si>
  <si>
    <t>Minimum on time</t>
  </si>
  <si>
    <t>L</t>
  </si>
  <si>
    <t>uH</t>
  </si>
  <si>
    <t>Selected Load Inductance</t>
  </si>
  <si>
    <t>ΔI(out)</t>
  </si>
  <si>
    <t>Peak to Peak Load Current</t>
  </si>
  <si>
    <t>C</t>
  </si>
  <si>
    <t>Selected Load Capacitance</t>
  </si>
  <si>
    <t>uF</t>
  </si>
  <si>
    <t>Maximum off time</t>
  </si>
  <si>
    <t>Primary Inductance of Transformer</t>
  </si>
  <si>
    <t>Current Sense Transformer Turns Ratio</t>
  </si>
  <si>
    <t>Ncs</t>
  </si>
  <si>
    <t>Im</t>
  </si>
  <si>
    <t xml:space="preserve">Transformer Magnetising Current </t>
  </si>
  <si>
    <t>Maximum Primary Current</t>
  </si>
  <si>
    <t>R18</t>
  </si>
  <si>
    <t>RL</t>
  </si>
  <si>
    <t>Selected Value of Load Resistance</t>
  </si>
  <si>
    <t>Minimum Load inductance</t>
  </si>
  <si>
    <t>R13</t>
  </si>
  <si>
    <t>Chosen value for slope compensation</t>
  </si>
  <si>
    <t>UVLO</t>
  </si>
  <si>
    <t>OVP</t>
  </si>
  <si>
    <r>
      <rPr>
        <b/>
        <sz val="10"/>
        <color indexed="8"/>
        <rFont val="Symbol"/>
        <family val="1"/>
        <charset val="2"/>
      </rPr>
      <t>D</t>
    </r>
    <r>
      <rPr>
        <b/>
        <sz val="10"/>
        <color indexed="8"/>
        <rFont val="Arial"/>
        <family val="2"/>
      </rPr>
      <t>V</t>
    </r>
    <r>
      <rPr>
        <b/>
        <sz val="8"/>
        <color indexed="8"/>
        <rFont val="Arial"/>
        <family val="2"/>
      </rPr>
      <t>H</t>
    </r>
  </si>
  <si>
    <t>Over Voltage Shutdown</t>
  </si>
  <si>
    <t>Over Voltage(OVP)</t>
  </si>
  <si>
    <t>Selected value for R9</t>
  </si>
  <si>
    <t>Selected value for R7</t>
  </si>
  <si>
    <t>Slope Compensation for Current Mode Control</t>
  </si>
  <si>
    <t>ΔIp</t>
  </si>
  <si>
    <t>Primary Slope Current</t>
  </si>
  <si>
    <t>Ip(dc)</t>
  </si>
  <si>
    <t>Ip(rms)</t>
  </si>
  <si>
    <t>DC value of primary current</t>
  </si>
  <si>
    <t>RMS value of primary current</t>
  </si>
  <si>
    <t>Input Voltage Hysteresis</t>
  </si>
  <si>
    <t>D'</t>
  </si>
  <si>
    <t xml:space="preserve">Max Available Duty Cycle </t>
  </si>
  <si>
    <t>R15</t>
  </si>
  <si>
    <t>R16</t>
  </si>
  <si>
    <t>6. Note this design tool was generated to accompany AN-2115 LM5046 Evaluation Board</t>
  </si>
  <si>
    <t>LM5046 Design Calculator</t>
  </si>
  <si>
    <t>This spreadsheet guides the User through the design process for the LM5046 Phase-Shifted Full-Bridge PWM Controller. It is recommended that you read this data sheet before using this design tool</t>
  </si>
  <si>
    <t>Power Transformer T1</t>
  </si>
  <si>
    <t>Current Sense Transformer T2</t>
  </si>
  <si>
    <t>Magnetising Inductance</t>
  </si>
  <si>
    <t>RMS value of Primary Current</t>
  </si>
  <si>
    <t>Max value of primary Current</t>
  </si>
  <si>
    <t>Is(rms)</t>
  </si>
  <si>
    <t>RDS(ON) for CSD17303Q5</t>
  </si>
  <si>
    <t>RDS(ON) for IRFH5053</t>
  </si>
  <si>
    <t>Bootstrap Capacitors</t>
  </si>
  <si>
    <t>VDD</t>
  </si>
  <si>
    <t>nF</t>
  </si>
  <si>
    <t>mΩ</t>
  </si>
  <si>
    <t>kΩ</t>
  </si>
  <si>
    <t>Ω</t>
  </si>
  <si>
    <t>Total Gate Charge</t>
  </si>
  <si>
    <t>C12,C15</t>
  </si>
  <si>
    <t>Minimum Value of Bootstrap Capacitance</t>
  </si>
  <si>
    <t>Selected Value of Bootstrap Capacitance</t>
  </si>
  <si>
    <r>
      <t>R</t>
    </r>
    <r>
      <rPr>
        <b/>
        <vertAlign val="subscript"/>
        <sz val="12"/>
        <rFont val="Arial"/>
        <family val="2"/>
      </rPr>
      <t>ds(on)Q6,Q7,Q8,Q9</t>
    </r>
  </si>
  <si>
    <r>
      <t>C</t>
    </r>
    <r>
      <rPr>
        <b/>
        <vertAlign val="subscript"/>
        <sz val="12"/>
        <rFont val="Arial"/>
        <family val="2"/>
      </rPr>
      <t>ISS</t>
    </r>
  </si>
  <si>
    <r>
      <t>R</t>
    </r>
    <r>
      <rPr>
        <b/>
        <vertAlign val="subscript"/>
        <sz val="12"/>
        <rFont val="Arial"/>
        <family val="2"/>
      </rPr>
      <t>ds(on)Q4,Q5,Q10,Q11</t>
    </r>
  </si>
  <si>
    <r>
      <t>Passive to Active Delay T</t>
    </r>
    <r>
      <rPr>
        <b/>
        <vertAlign val="subscript"/>
        <sz val="8"/>
        <color indexed="8"/>
        <rFont val="Arial"/>
        <family val="2"/>
      </rPr>
      <t>PA</t>
    </r>
  </si>
  <si>
    <r>
      <t>Active to Passive T</t>
    </r>
    <r>
      <rPr>
        <b/>
        <vertAlign val="subscript"/>
        <sz val="8"/>
        <color indexed="8"/>
        <rFont val="Arial"/>
        <family val="2"/>
      </rPr>
      <t>AP</t>
    </r>
  </si>
  <si>
    <r>
      <t>Oscillator Frequency  R</t>
    </r>
    <r>
      <rPr>
        <b/>
        <vertAlign val="subscript"/>
        <sz val="8"/>
        <rFont val="Arial"/>
        <family val="2"/>
      </rPr>
      <t>T</t>
    </r>
  </si>
  <si>
    <r>
      <t>Over Voltage R</t>
    </r>
    <r>
      <rPr>
        <b/>
        <vertAlign val="subscript"/>
        <sz val="8"/>
        <color indexed="8"/>
        <rFont val="Arial"/>
        <family val="2"/>
      </rPr>
      <t>OVP</t>
    </r>
  </si>
  <si>
    <r>
      <t>Hysteresis R</t>
    </r>
    <r>
      <rPr>
        <b/>
        <vertAlign val="subscript"/>
        <sz val="8"/>
        <color indexed="8"/>
        <rFont val="Arial"/>
        <family val="2"/>
      </rPr>
      <t>HYS</t>
    </r>
  </si>
  <si>
    <t>Dmax based on deadtimes</t>
  </si>
  <si>
    <r>
      <t>Primary Bias Voltage V</t>
    </r>
    <r>
      <rPr>
        <b/>
        <vertAlign val="subscript"/>
        <sz val="8"/>
        <color indexed="8"/>
        <rFont val="Arial"/>
        <family val="2"/>
      </rPr>
      <t>PRI</t>
    </r>
  </si>
  <si>
    <t>Select a Primary Side Bias Supply</t>
  </si>
  <si>
    <r>
      <t>Bootstrap cap C</t>
    </r>
    <r>
      <rPr>
        <b/>
        <vertAlign val="subscript"/>
        <sz val="8"/>
        <color indexed="8"/>
        <rFont val="Arial"/>
        <family val="2"/>
      </rPr>
      <t>BOOT</t>
    </r>
  </si>
  <si>
    <r>
      <t>C</t>
    </r>
    <r>
      <rPr>
        <b/>
        <vertAlign val="subscript"/>
        <sz val="8"/>
        <color indexed="8"/>
        <rFont val="Arial"/>
        <family val="2"/>
      </rPr>
      <t>BOOT</t>
    </r>
  </si>
  <si>
    <r>
      <t>R</t>
    </r>
    <r>
      <rPr>
        <b/>
        <vertAlign val="subscript"/>
        <sz val="8"/>
        <color indexed="8"/>
        <rFont val="Arial"/>
        <family val="2"/>
      </rPr>
      <t>UVLO</t>
    </r>
  </si>
  <si>
    <t>Max Output Power</t>
  </si>
  <si>
    <t>Min Output Power</t>
  </si>
  <si>
    <t>Max Input Power</t>
  </si>
  <si>
    <t>Min Input Power</t>
  </si>
  <si>
    <t>Max DC Input Current</t>
  </si>
  <si>
    <t>Min DC Input Current</t>
  </si>
  <si>
    <r>
      <t>Under Voltage R</t>
    </r>
    <r>
      <rPr>
        <b/>
        <vertAlign val="subscript"/>
        <sz val="8"/>
        <color indexed="8"/>
        <rFont val="Arial"/>
        <family val="2"/>
      </rPr>
      <t>UVLO</t>
    </r>
  </si>
  <si>
    <t>Pri /Secondary Turns Ratio</t>
  </si>
  <si>
    <r>
      <t>N</t>
    </r>
    <r>
      <rPr>
        <b/>
        <vertAlign val="subscript"/>
        <sz val="10"/>
        <color indexed="8"/>
        <rFont val="Arial"/>
        <family val="2"/>
      </rPr>
      <t>ps</t>
    </r>
  </si>
  <si>
    <r>
      <t>D</t>
    </r>
    <r>
      <rPr>
        <b/>
        <vertAlign val="subscript"/>
        <sz val="10"/>
        <color indexed="8"/>
        <rFont val="Arial"/>
        <family val="2"/>
      </rPr>
      <t>max</t>
    </r>
  </si>
  <si>
    <r>
      <t>D</t>
    </r>
    <r>
      <rPr>
        <b/>
        <vertAlign val="subscript"/>
        <sz val="10"/>
        <color indexed="8"/>
        <rFont val="Arial"/>
        <family val="2"/>
      </rPr>
      <t>min</t>
    </r>
  </si>
  <si>
    <r>
      <t>T</t>
    </r>
    <r>
      <rPr>
        <b/>
        <vertAlign val="subscript"/>
        <sz val="10"/>
        <color indexed="8"/>
        <rFont val="Arial"/>
        <family val="2"/>
      </rPr>
      <t>(on)min</t>
    </r>
  </si>
  <si>
    <r>
      <t>T</t>
    </r>
    <r>
      <rPr>
        <b/>
        <vertAlign val="subscript"/>
        <sz val="10"/>
        <color indexed="8"/>
        <rFont val="Arial"/>
        <family val="2"/>
      </rPr>
      <t>(off)max</t>
    </r>
  </si>
  <si>
    <t>Max duty cycle of converter</t>
  </si>
  <si>
    <t>Min duty cycle of converter</t>
  </si>
  <si>
    <t>Min Required Load Cap</t>
  </si>
  <si>
    <t>Current Transformer Load R</t>
  </si>
  <si>
    <r>
      <t>Slope Comp Resistor R</t>
    </r>
    <r>
      <rPr>
        <b/>
        <vertAlign val="subscript"/>
        <sz val="8"/>
        <color indexed="8"/>
        <rFont val="Arial"/>
        <family val="2"/>
      </rPr>
      <t>SLOPE</t>
    </r>
  </si>
  <si>
    <r>
      <t>Switching Frequency F</t>
    </r>
    <r>
      <rPr>
        <b/>
        <vertAlign val="subscript"/>
        <sz val="8"/>
        <rFont val="Arial"/>
        <family val="2"/>
      </rPr>
      <t>SW</t>
    </r>
  </si>
  <si>
    <r>
      <t>Turns Ratio N</t>
    </r>
    <r>
      <rPr>
        <b/>
        <vertAlign val="subscript"/>
        <sz val="8"/>
        <rFont val="Arial"/>
        <family val="2"/>
      </rPr>
      <t>PS</t>
    </r>
  </si>
  <si>
    <t>RMS value of each sec winding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</si>
</sst>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0"/>
      <name val="Arial"/>
    </font>
    <font>
      <b/>
      <sz val="10"/>
      <name val="Arial"/>
      <family val="2"/>
    </font>
    <font>
      <b/>
      <sz val="24"/>
      <name val="Arial"/>
      <family val="2"/>
    </font>
    <font>
      <sz val="10"/>
      <color indexed="10"/>
      <name val="Arial"/>
      <family val="2"/>
    </font>
    <font>
      <b/>
      <sz val="10"/>
      <color indexed="10"/>
      <name val="Arial"/>
      <family val="2"/>
    </font>
    <font>
      <sz val="8"/>
      <name val="Arial"/>
      <family val="2"/>
    </font>
    <font>
      <sz val="10"/>
      <color indexed="14"/>
      <name val="Arial"/>
      <family val="2"/>
    </font>
    <font>
      <b/>
      <sz val="10"/>
      <color indexed="50"/>
      <name val="Arial"/>
      <family val="2"/>
    </font>
    <font>
      <sz val="10"/>
      <color indexed="50"/>
      <name val="Arial"/>
      <family val="2"/>
    </font>
    <font>
      <sz val="10"/>
      <name val="Arial"/>
      <family val="2"/>
    </font>
    <font>
      <sz val="10"/>
      <name val="Arial"/>
      <family val="2"/>
    </font>
    <font>
      <b/>
      <sz val="26"/>
      <color indexed="10"/>
      <name val="Arial"/>
      <family val="2"/>
    </font>
    <font>
      <sz val="20"/>
      <name val="Arial"/>
      <family val="2"/>
    </font>
    <font>
      <sz val="20"/>
      <name val="Arial"/>
      <family val="2"/>
    </font>
    <font>
      <b/>
      <sz val="12"/>
      <color indexed="9"/>
      <name val="Arial"/>
      <family val="2"/>
    </font>
    <font>
      <b/>
      <sz val="12"/>
      <name val="Arial"/>
      <family val="2"/>
    </font>
    <font>
      <b/>
      <sz val="10"/>
      <color indexed="8"/>
      <name val="Arial"/>
      <family val="2"/>
    </font>
    <font>
      <b/>
      <sz val="10"/>
      <color indexed="8"/>
      <name val="Symbol"/>
      <family val="1"/>
      <charset val="2"/>
    </font>
    <font>
      <b/>
      <vertAlign val="subscript"/>
      <sz val="10"/>
      <color indexed="8"/>
      <name val="Arial"/>
      <family val="2"/>
    </font>
    <font>
      <b/>
      <sz val="10"/>
      <name val="Calibri"/>
      <family val="2"/>
    </font>
    <font>
      <b/>
      <sz val="8"/>
      <color indexed="8"/>
      <name val="Arial"/>
      <family val="2"/>
    </font>
    <font>
      <b/>
      <vertAlign val="subscript"/>
      <sz val="12"/>
      <name val="Arial"/>
      <family val="2"/>
    </font>
    <font>
      <b/>
      <vertAlign val="subscript"/>
      <sz val="8"/>
      <color indexed="8"/>
      <name val="Arial"/>
      <family val="2"/>
    </font>
    <font>
      <b/>
      <sz val="8"/>
      <name val="Arial"/>
      <family val="2"/>
    </font>
    <font>
      <b/>
      <vertAlign val="subscript"/>
      <sz val="8"/>
      <name val="Arial"/>
      <family val="2"/>
    </font>
    <font>
      <b/>
      <sz val="10"/>
      <color theme="1"/>
      <name val="Arial"/>
      <family val="2"/>
    </font>
    <font>
      <sz val="10"/>
      <color theme="1"/>
      <name val="Arial"/>
      <family val="2"/>
    </font>
    <font>
      <b/>
      <sz val="12"/>
      <color theme="1"/>
      <name val="Symbol"/>
      <family val="1"/>
      <charset val="2"/>
    </font>
    <font>
      <b/>
      <sz val="10"/>
      <color theme="1"/>
      <name val="Calibri"/>
      <family val="2"/>
    </font>
    <font>
      <b/>
      <sz val="12"/>
      <color theme="1"/>
      <name val="Calibri"/>
      <family val="2"/>
    </font>
    <font>
      <b/>
      <sz val="8"/>
      <color theme="1"/>
      <name val="Arial"/>
      <family val="2"/>
    </font>
    <font>
      <b/>
      <i/>
      <sz val="10"/>
      <color theme="0"/>
      <name val="Arial"/>
      <family val="2"/>
    </font>
    <font>
      <b/>
      <sz val="10"/>
      <color theme="0"/>
      <name val="Arial"/>
      <family val="2"/>
    </font>
    <font>
      <sz val="10"/>
      <color theme="0"/>
      <name val="Arial"/>
      <family val="2"/>
    </font>
  </fonts>
  <fills count="7">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0" fillId="0" borderId="1" xfId="0" applyBorder="1"/>
    <xf numFmtId="0" fontId="2" fillId="0" borderId="1" xfId="0" applyFont="1" applyBorder="1" applyAlignment="1">
      <alignment horizontal="center" vertical="center"/>
    </xf>
    <xf numFmtId="0" fontId="8" fillId="0" borderId="1" xfId="0" applyFont="1" applyBorder="1"/>
    <xf numFmtId="0" fontId="25" fillId="0" borderId="1" xfId="0" applyFont="1" applyBorder="1" applyAlignment="1">
      <alignment horizontal="right"/>
    </xf>
    <xf numFmtId="0" fontId="25" fillId="0" borderId="1" xfId="0" applyFont="1" applyBorder="1" applyAlignment="1">
      <alignment horizontal="center"/>
    </xf>
    <xf numFmtId="2" fontId="25" fillId="3" borderId="1" xfId="0" applyNumberFormat="1" applyFont="1" applyFill="1" applyBorder="1"/>
    <xf numFmtId="0" fontId="25" fillId="0" borderId="1" xfId="0" applyFont="1" applyBorder="1"/>
    <xf numFmtId="0" fontId="1" fillId="0" borderId="1" xfId="0" applyFont="1" applyBorder="1"/>
    <xf numFmtId="2" fontId="25" fillId="0" borderId="1" xfId="0" applyNumberFormat="1" applyFont="1" applyBorder="1"/>
    <xf numFmtId="0" fontId="26" fillId="0" borderId="1" xfId="0" applyFont="1" applyBorder="1"/>
    <xf numFmtId="0" fontId="25" fillId="0" borderId="1" xfId="0" applyFont="1" applyBorder="1" applyAlignment="1">
      <alignment horizontal="left"/>
    </xf>
    <xf numFmtId="0" fontId="26" fillId="0" borderId="1" xfId="0" applyFont="1" applyBorder="1" applyAlignment="1">
      <alignment horizontal="left"/>
    </xf>
    <xf numFmtId="0" fontId="6" fillId="0" borderId="1" xfId="0" applyFont="1" applyBorder="1"/>
    <xf numFmtId="0" fontId="3" fillId="0" borderId="1" xfId="0" applyFont="1" applyBorder="1"/>
    <xf numFmtId="0" fontId="3" fillId="0" borderId="1" xfId="0" applyFont="1" applyBorder="1" applyAlignment="1">
      <alignment horizontal="right"/>
    </xf>
    <xf numFmtId="2" fontId="25" fillId="3" borderId="1" xfId="0" applyNumberFormat="1" applyFont="1" applyFill="1" applyBorder="1" applyAlignment="1">
      <alignment horizontal="right"/>
    </xf>
    <xf numFmtId="164" fontId="25" fillId="0" borderId="1" xfId="0" applyNumberFormat="1" applyFont="1" applyBorder="1"/>
    <xf numFmtId="164" fontId="25" fillId="0" borderId="1" xfId="0" applyNumberFormat="1" applyFont="1" applyBorder="1" applyAlignment="1">
      <alignment horizontal="right"/>
    </xf>
    <xf numFmtId="2" fontId="25" fillId="3" borderId="1" xfId="0" applyNumberFormat="1" applyFont="1" applyFill="1" applyBorder="1" applyProtection="1">
      <protection locked="0"/>
    </xf>
    <xf numFmtId="0" fontId="27" fillId="0" borderId="1" xfId="0" applyFont="1" applyBorder="1" applyAlignment="1">
      <alignment horizontal="right"/>
    </xf>
    <xf numFmtId="0" fontId="9" fillId="0" borderId="0" xfId="0" applyFont="1" applyProtection="1">
      <protection hidden="1"/>
    </xf>
    <xf numFmtId="0" fontId="10" fillId="0" borderId="1" xfId="0" applyFont="1" applyBorder="1"/>
    <xf numFmtId="2" fontId="25" fillId="4" borderId="1" xfId="0" applyNumberFormat="1" applyFont="1" applyFill="1" applyBorder="1" applyProtection="1">
      <protection locked="0"/>
    </xf>
    <xf numFmtId="2" fontId="25" fillId="4" borderId="1" xfId="0" applyNumberFormat="1" applyFont="1" applyFill="1" applyBorder="1"/>
    <xf numFmtId="164" fontId="25" fillId="4" borderId="1" xfId="0" applyNumberFormat="1" applyFont="1" applyFill="1" applyBorder="1"/>
    <xf numFmtId="0" fontId="25" fillId="4" borderId="1" xfId="0" applyFont="1" applyFill="1" applyBorder="1" applyProtection="1">
      <protection locked="0"/>
    </xf>
    <xf numFmtId="0" fontId="25" fillId="4" borderId="1" xfId="0" applyFont="1" applyFill="1" applyBorder="1"/>
    <xf numFmtId="0" fontId="1" fillId="0" borderId="1" xfId="0" applyFont="1" applyBorder="1" applyAlignment="1">
      <alignment horizontal="right"/>
    </xf>
    <xf numFmtId="0" fontId="1" fillId="3" borderId="1" xfId="0" applyFont="1" applyFill="1" applyBorder="1"/>
    <xf numFmtId="0" fontId="19" fillId="0" borderId="1" xfId="0" applyFont="1" applyBorder="1" applyAlignment="1">
      <alignment horizontal="right"/>
    </xf>
    <xf numFmtId="1" fontId="25" fillId="3" borderId="1" xfId="0" applyNumberFormat="1" applyFont="1" applyFill="1" applyBorder="1"/>
    <xf numFmtId="2" fontId="1" fillId="0" borderId="1" xfId="0" applyNumberFormat="1" applyFont="1" applyBorder="1"/>
    <xf numFmtId="164" fontId="1" fillId="0" borderId="1" xfId="0" applyNumberFormat="1" applyFont="1" applyBorder="1"/>
    <xf numFmtId="0" fontId="16" fillId="0" borderId="1" xfId="0" applyFont="1" applyBorder="1" applyAlignment="1">
      <alignment horizontal="right"/>
    </xf>
    <xf numFmtId="1" fontId="25" fillId="4" borderId="1" xfId="0" applyNumberFormat="1" applyFont="1" applyFill="1" applyBorder="1"/>
    <xf numFmtId="0" fontId="4" fillId="0" borderId="1" xfId="0" applyFont="1" applyBorder="1"/>
    <xf numFmtId="0" fontId="7" fillId="0" borderId="1" xfId="0" applyFont="1" applyBorder="1"/>
    <xf numFmtId="0" fontId="28" fillId="0" borderId="1" xfId="0" applyFont="1" applyBorder="1"/>
    <xf numFmtId="0" fontId="29" fillId="0" borderId="1" xfId="0" applyFont="1" applyBorder="1"/>
    <xf numFmtId="0" fontId="15" fillId="4" borderId="1" xfId="0" applyFont="1" applyFill="1" applyBorder="1" applyAlignment="1">
      <alignment horizontal="left"/>
    </xf>
    <xf numFmtId="0" fontId="14" fillId="4" borderId="1" xfId="0" applyFont="1" applyFill="1" applyBorder="1" applyAlignment="1">
      <alignment horizontal="left"/>
    </xf>
    <xf numFmtId="14" fontId="14" fillId="4" borderId="1" xfId="0" applyNumberFormat="1" applyFont="1" applyFill="1" applyBorder="1" applyAlignment="1">
      <alignment horizontal="left"/>
    </xf>
    <xf numFmtId="0" fontId="15" fillId="0" borderId="1" xfId="0" applyFont="1" applyBorder="1" applyAlignment="1">
      <alignment horizontal="left"/>
    </xf>
    <xf numFmtId="0" fontId="1" fillId="0" borderId="1" xfId="0" applyFont="1" applyBorder="1" applyAlignment="1">
      <alignment horizontal="left"/>
    </xf>
    <xf numFmtId="11" fontId="1" fillId="3" borderId="1" xfId="0" applyNumberFormat="1" applyFont="1" applyFill="1" applyBorder="1"/>
    <xf numFmtId="11" fontId="1" fillId="4" borderId="1" xfId="0" applyNumberFormat="1" applyFont="1" applyFill="1" applyBorder="1"/>
    <xf numFmtId="2" fontId="1" fillId="3" borderId="1" xfId="0" applyNumberFormat="1" applyFont="1" applyFill="1" applyBorder="1"/>
    <xf numFmtId="0" fontId="23" fillId="0" borderId="1" xfId="0" applyFont="1" applyBorder="1" applyAlignment="1">
      <alignment horizontal="left"/>
    </xf>
    <xf numFmtId="0" fontId="30" fillId="0" borderId="1" xfId="0" applyFont="1" applyBorder="1" applyAlignment="1">
      <alignment horizontal="left"/>
    </xf>
    <xf numFmtId="0" fontId="23" fillId="0" borderId="1" xfId="0" applyFont="1" applyBorder="1"/>
    <xf numFmtId="0" fontId="30" fillId="0" borderId="1" xfId="0" applyFont="1" applyBorder="1"/>
    <xf numFmtId="0" fontId="0" fillId="0" borderId="0" xfId="0" applyProtection="1">
      <protection hidden="1"/>
    </xf>
    <xf numFmtId="0" fontId="13" fillId="2" borderId="0" xfId="0" applyFont="1" applyFill="1" applyAlignment="1" applyProtection="1">
      <alignment vertical="center"/>
      <protection hidden="1"/>
    </xf>
    <xf numFmtId="0" fontId="12" fillId="2" borderId="0" xfId="0" applyFont="1" applyFill="1" applyAlignment="1" applyProtection="1">
      <alignment vertical="center"/>
      <protection hidden="1"/>
    </xf>
    <xf numFmtId="0" fontId="12" fillId="2" borderId="0" xfId="0" applyFont="1" applyFill="1" applyAlignment="1" applyProtection="1">
      <alignment horizontal="left" vertical="center" wrapText="1"/>
      <protection hidden="1"/>
    </xf>
    <xf numFmtId="2" fontId="25" fillId="0" borderId="1" xfId="0" applyNumberFormat="1" applyFont="1" applyBorder="1" applyProtection="1">
      <protection hidden="1"/>
    </xf>
    <xf numFmtId="1" fontId="25" fillId="0" borderId="1" xfId="0" applyNumberFormat="1" applyFont="1" applyBorder="1" applyProtection="1">
      <protection hidden="1"/>
    </xf>
    <xf numFmtId="0" fontId="25" fillId="0" borderId="1" xfId="0" applyFont="1" applyBorder="1" applyProtection="1">
      <protection hidden="1"/>
    </xf>
    <xf numFmtId="0" fontId="13"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1" fillId="2" borderId="0" xfId="0" applyFont="1" applyFill="1" applyAlignment="1" applyProtection="1">
      <alignment horizontal="center" vertical="center"/>
      <protection hidden="1"/>
    </xf>
    <xf numFmtId="0" fontId="13" fillId="2" borderId="0" xfId="0" applyFont="1" applyFill="1" applyAlignment="1" applyProtection="1">
      <alignment vertical="center" wrapText="1"/>
      <protection hidden="1"/>
    </xf>
    <xf numFmtId="0" fontId="0" fillId="0" borderId="0" xfId="0" applyAlignment="1" applyProtection="1">
      <alignment vertical="center" wrapText="1"/>
      <protection hidden="1"/>
    </xf>
    <xf numFmtId="0" fontId="0" fillId="2" borderId="0" xfId="0" applyFill="1" applyAlignment="1" applyProtection="1">
      <alignment horizontal="center"/>
      <protection hidden="1"/>
    </xf>
    <xf numFmtId="0" fontId="13" fillId="2" borderId="0" xfId="0"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0" fontId="31" fillId="5" borderId="2" xfId="0" applyFont="1" applyFill="1" applyBorder="1" applyAlignment="1">
      <alignment horizontal="center" vertical="center"/>
    </xf>
    <xf numFmtId="0" fontId="0" fillId="5" borderId="3" xfId="0" applyFill="1" applyBorder="1" applyAlignment="1">
      <alignment horizontal="center" vertical="center"/>
    </xf>
    <xf numFmtId="0" fontId="32" fillId="6" borderId="2" xfId="0" applyFont="1" applyFill="1" applyBorder="1" applyAlignment="1">
      <alignment horizontal="center"/>
    </xf>
    <xf numFmtId="0" fontId="33" fillId="6" borderId="3" xfId="0" applyFont="1" applyFill="1" applyBorder="1" applyAlignment="1">
      <alignment horizontal="center"/>
    </xf>
    <xf numFmtId="0" fontId="33" fillId="6" borderId="4" xfId="0" applyFont="1" applyFill="1" applyBorder="1" applyAlignment="1">
      <alignment horizontal="center"/>
    </xf>
    <xf numFmtId="0" fontId="0" fillId="6" borderId="4" xfId="0" applyFill="1" applyBorder="1" applyAlignment="1">
      <alignment horizontal="center"/>
    </xf>
    <xf numFmtId="0" fontId="31" fillId="6" borderId="2" xfId="0" applyFont="1" applyFill="1" applyBorder="1" applyAlignment="1">
      <alignment horizontal="center" vertical="center"/>
    </xf>
    <xf numFmtId="0" fontId="0" fillId="6" borderId="3" xfId="0" applyFill="1" applyBorder="1" applyAlignment="1">
      <alignment horizontal="center" vertical="center"/>
    </xf>
    <xf numFmtId="0" fontId="0" fillId="6" borderId="3" xfId="0" applyFill="1" applyBorder="1" applyAlignment="1">
      <alignment horizontal="center"/>
    </xf>
    <xf numFmtId="0" fontId="32" fillId="5" borderId="2" xfId="0" applyFont="1" applyFill="1" applyBorder="1" applyAlignment="1">
      <alignment horizontal="center"/>
    </xf>
    <xf numFmtId="0" fontId="0" fillId="5" borderId="3"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0</xdr:row>
      <xdr:rowOff>114300</xdr:rowOff>
    </xdr:from>
    <xdr:to>
      <xdr:col>36</xdr:col>
      <xdr:colOff>504825</xdr:colOff>
      <xdr:row>71</xdr:row>
      <xdr:rowOff>66675</xdr:rowOff>
    </xdr:to>
    <xdr:pic>
      <xdr:nvPicPr>
        <xdr:cNvPr id="8384" name="Picture 67">
          <a:extLst>
            <a:ext uri="{FF2B5EF4-FFF2-40B4-BE49-F238E27FC236}">
              <a16:creationId xmlns:a16="http://schemas.microsoft.com/office/drawing/2014/main" id="{49D363A4-D0CC-0FB2-6548-D03AA132C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114300"/>
          <a:ext cx="21402675" cy="1144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33289-D539-45FF-9453-A4D6C47CE792}">
  <dimension ref="A1:N15"/>
  <sheetViews>
    <sheetView zoomScale="80" zoomScaleNormal="80" workbookViewId="0">
      <selection sqref="A1:IV65536"/>
    </sheetView>
  </sheetViews>
  <sheetFormatPr defaultColWidth="8.85546875" defaultRowHeight="12.75" x14ac:dyDescent="0.2"/>
  <cols>
    <col min="1" max="13" width="8.85546875" style="52"/>
    <col min="14" max="14" width="13" style="52" customWidth="1"/>
    <col min="15" max="16384" width="8.85546875" style="52"/>
  </cols>
  <sheetData>
    <row r="1" spans="1:14" ht="33.75" x14ac:dyDescent="0.2">
      <c r="A1" s="61" t="s">
        <v>97</v>
      </c>
      <c r="B1" s="61"/>
      <c r="C1" s="61"/>
      <c r="D1" s="61"/>
      <c r="E1" s="61"/>
      <c r="F1" s="61"/>
      <c r="G1" s="61"/>
      <c r="H1" s="61"/>
      <c r="I1" s="61"/>
      <c r="J1" s="61"/>
      <c r="K1" s="61"/>
      <c r="L1" s="61"/>
      <c r="M1" s="61"/>
      <c r="N1" s="61"/>
    </row>
    <row r="2" spans="1:14" ht="81" customHeight="1" x14ac:dyDescent="0.2">
      <c r="A2" s="62" t="s">
        <v>98</v>
      </c>
      <c r="B2" s="63"/>
      <c r="C2" s="63"/>
      <c r="D2" s="63"/>
      <c r="E2" s="63"/>
      <c r="F2" s="63"/>
      <c r="G2" s="63"/>
      <c r="H2" s="63"/>
      <c r="I2" s="63"/>
      <c r="J2" s="63"/>
      <c r="K2" s="63"/>
      <c r="L2" s="63"/>
      <c r="M2" s="63"/>
      <c r="N2" s="63"/>
    </row>
    <row r="3" spans="1:14" x14ac:dyDescent="0.2">
      <c r="A3" s="64"/>
      <c r="B3" s="64"/>
      <c r="C3" s="64"/>
      <c r="D3" s="64"/>
      <c r="E3" s="64"/>
      <c r="F3" s="64"/>
      <c r="G3" s="64"/>
      <c r="H3" s="64"/>
      <c r="I3" s="64"/>
      <c r="J3" s="64"/>
      <c r="K3" s="64"/>
      <c r="L3" s="64"/>
      <c r="M3" s="64"/>
      <c r="N3" s="64"/>
    </row>
    <row r="4" spans="1:14" ht="24.6" customHeight="1" x14ac:dyDescent="0.2">
      <c r="A4" s="65" t="s">
        <v>15</v>
      </c>
      <c r="B4" s="66"/>
      <c r="C4" s="66"/>
      <c r="D4" s="66"/>
      <c r="E4" s="66"/>
      <c r="F4" s="66"/>
      <c r="G4" s="66"/>
      <c r="H4" s="66"/>
      <c r="I4" s="66"/>
      <c r="J4" s="66"/>
      <c r="K4" s="66"/>
      <c r="L4" s="66"/>
      <c r="M4" s="66"/>
      <c r="N4" s="66"/>
    </row>
    <row r="5" spans="1:14" x14ac:dyDescent="0.2">
      <c r="A5" s="64"/>
      <c r="B5" s="64"/>
      <c r="C5" s="64"/>
      <c r="D5" s="64"/>
      <c r="E5" s="64"/>
      <c r="F5" s="64"/>
      <c r="G5" s="64"/>
      <c r="H5" s="64"/>
      <c r="I5" s="64"/>
      <c r="J5" s="64"/>
      <c r="K5" s="64"/>
      <c r="L5" s="64"/>
      <c r="M5" s="64"/>
      <c r="N5" s="64"/>
    </row>
    <row r="6" spans="1:14" ht="25.5" x14ac:dyDescent="0.2">
      <c r="A6" s="53" t="s">
        <v>14</v>
      </c>
      <c r="B6" s="54"/>
      <c r="C6" s="54"/>
      <c r="D6" s="54"/>
      <c r="E6" s="54"/>
      <c r="F6" s="54"/>
      <c r="G6" s="54"/>
      <c r="H6" s="54"/>
      <c r="I6" s="54"/>
      <c r="J6" s="54"/>
      <c r="K6" s="54"/>
      <c r="L6" s="54"/>
      <c r="M6" s="54"/>
      <c r="N6" s="54"/>
    </row>
    <row r="7" spans="1:14" ht="13.15" customHeight="1" x14ac:dyDescent="0.2">
      <c r="A7" s="53"/>
      <c r="B7" s="54"/>
      <c r="C7" s="54"/>
      <c r="D7" s="54"/>
      <c r="E7" s="54"/>
      <c r="F7" s="54"/>
      <c r="G7" s="54"/>
      <c r="H7" s="54"/>
      <c r="I7" s="54"/>
      <c r="J7" s="54"/>
      <c r="K7" s="54"/>
      <c r="L7" s="54"/>
      <c r="M7" s="54"/>
      <c r="N7" s="54"/>
    </row>
    <row r="8" spans="1:14" ht="25.5" x14ac:dyDescent="0.2">
      <c r="A8" s="53" t="s">
        <v>8</v>
      </c>
      <c r="B8" s="54"/>
      <c r="C8" s="54"/>
      <c r="D8" s="54"/>
      <c r="E8" s="54"/>
      <c r="F8" s="54"/>
      <c r="G8" s="54"/>
      <c r="H8" s="54"/>
      <c r="I8" s="54"/>
      <c r="J8" s="54"/>
      <c r="K8" s="54"/>
      <c r="L8" s="54"/>
      <c r="M8" s="54"/>
      <c r="N8" s="54"/>
    </row>
    <row r="9" spans="1:14" ht="13.15" customHeight="1" x14ac:dyDescent="0.2">
      <c r="A9" s="54"/>
      <c r="B9" s="54"/>
      <c r="C9" s="54"/>
      <c r="D9" s="54"/>
      <c r="E9" s="54"/>
      <c r="F9" s="54"/>
      <c r="G9" s="54"/>
      <c r="H9" s="54"/>
      <c r="I9" s="54"/>
      <c r="J9" s="54"/>
      <c r="K9" s="54"/>
      <c r="L9" s="54"/>
      <c r="M9" s="54"/>
      <c r="N9" s="54"/>
    </row>
    <row r="10" spans="1:14" ht="25.5" x14ac:dyDescent="0.2">
      <c r="A10" s="59" t="s">
        <v>12</v>
      </c>
      <c r="B10" s="60"/>
      <c r="C10" s="60"/>
      <c r="D10" s="60"/>
      <c r="E10" s="60"/>
      <c r="F10" s="60"/>
      <c r="G10" s="60"/>
      <c r="H10" s="60"/>
      <c r="I10" s="60"/>
      <c r="J10" s="60"/>
      <c r="K10" s="60"/>
      <c r="L10" s="60"/>
      <c r="M10" s="60"/>
      <c r="N10" s="60"/>
    </row>
    <row r="11" spans="1:14" ht="13.15" customHeight="1" x14ac:dyDescent="0.2">
      <c r="A11" s="55"/>
      <c r="B11" s="55"/>
      <c r="C11" s="55"/>
      <c r="D11" s="55"/>
      <c r="E11" s="55"/>
      <c r="F11" s="55"/>
      <c r="G11" s="55"/>
      <c r="H11" s="55"/>
      <c r="I11" s="55"/>
      <c r="J11" s="55"/>
      <c r="K11" s="55"/>
      <c r="L11" s="55"/>
      <c r="M11" s="55"/>
      <c r="N11" s="55"/>
    </row>
    <row r="12" spans="1:14" ht="25.5" x14ac:dyDescent="0.2">
      <c r="A12" s="59" t="s">
        <v>10</v>
      </c>
      <c r="B12" s="60"/>
      <c r="C12" s="60"/>
      <c r="D12" s="60"/>
      <c r="E12" s="60"/>
      <c r="F12" s="60"/>
      <c r="G12" s="60"/>
      <c r="H12" s="60"/>
      <c r="I12" s="60"/>
      <c r="J12" s="60"/>
      <c r="K12" s="60"/>
      <c r="L12" s="60"/>
      <c r="M12" s="60"/>
      <c r="N12" s="60"/>
    </row>
    <row r="13" spans="1:14" ht="13.15" customHeight="1" x14ac:dyDescent="0.2">
      <c r="A13" s="55"/>
      <c r="B13" s="55"/>
      <c r="C13" s="55"/>
      <c r="D13" s="55"/>
      <c r="E13" s="55"/>
      <c r="F13" s="55"/>
      <c r="G13" s="55"/>
      <c r="H13" s="55"/>
      <c r="I13" s="55"/>
      <c r="J13" s="55"/>
      <c r="K13" s="55"/>
      <c r="L13" s="55"/>
      <c r="M13" s="55"/>
      <c r="N13" s="55"/>
    </row>
    <row r="14" spans="1:14" ht="49.15" customHeight="1" x14ac:dyDescent="0.2">
      <c r="A14" s="60" t="s">
        <v>96</v>
      </c>
      <c r="B14" s="60"/>
      <c r="C14" s="60"/>
      <c r="D14" s="60"/>
      <c r="E14" s="60"/>
      <c r="F14" s="60"/>
      <c r="G14" s="60"/>
      <c r="H14" s="60"/>
      <c r="I14" s="60"/>
      <c r="J14" s="60"/>
      <c r="K14" s="60"/>
      <c r="L14" s="60"/>
      <c r="M14" s="60"/>
      <c r="N14" s="60"/>
    </row>
    <row r="15" spans="1:14" x14ac:dyDescent="0.2">
      <c r="A15" s="52" t="s">
        <v>9</v>
      </c>
    </row>
  </sheetData>
  <sheetProtection sheet="1" objects="1" scenarios="1" selectLockedCells="1" selectUnlockedCells="1"/>
  <mergeCells count="8">
    <mergeCell ref="A10:N10"/>
    <mergeCell ref="A12:N12"/>
    <mergeCell ref="A14:N14"/>
    <mergeCell ref="A1:N1"/>
    <mergeCell ref="A2:N2"/>
    <mergeCell ref="A3:N3"/>
    <mergeCell ref="A4:N4"/>
    <mergeCell ref="A5:N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EC62D-9DFD-4064-8963-921014F36D4D}">
  <sheetPr>
    <pageSetUpPr fitToPage="1"/>
  </sheetPr>
  <dimension ref="A1"/>
  <sheetViews>
    <sheetView topLeftCell="B1" zoomScale="70" zoomScaleNormal="70" workbookViewId="0">
      <selection activeCell="B10" sqref="A1:IV65536"/>
    </sheetView>
  </sheetViews>
  <sheetFormatPr defaultColWidth="8.85546875" defaultRowHeight="12.75" x14ac:dyDescent="0.2"/>
  <cols>
    <col min="1" max="16384" width="8.85546875" style="52"/>
  </cols>
  <sheetData/>
  <sheetProtection password="EF59" sheet="1" objects="1" scenarios="1" selectLockedCells="1" selectUnlockedCells="1"/>
  <pageMargins left="0.70866141732283472" right="0.70866141732283472" top="0.74803149606299213" bottom="0.74803149606299213" header="0.31496062992125984" footer="0.31496062992125984"/>
  <pageSetup paperSize="3"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62BEF-548F-4466-8F86-5300DFA90946}">
  <sheetPr codeName="Sheet1">
    <pageSetUpPr fitToPage="1"/>
  </sheetPr>
  <dimension ref="A1:I29"/>
  <sheetViews>
    <sheetView topLeftCell="A16" zoomScale="130" zoomScaleNormal="130" workbookViewId="0">
      <selection activeCell="D9" sqref="D9"/>
    </sheetView>
  </sheetViews>
  <sheetFormatPr defaultRowHeight="14.25" customHeight="1" x14ac:dyDescent="0.2"/>
  <cols>
    <col min="1" max="1" width="9.140625" style="1"/>
    <col min="2" max="2" width="25.140625" style="1" customWidth="1"/>
    <col min="3" max="3" width="1.5703125" style="1" bestFit="1" customWidth="1"/>
    <col min="4" max="4" width="8.85546875" style="8" bestFit="1" customWidth="1"/>
    <col min="5" max="5" width="4.28515625" style="1" bestFit="1" customWidth="1"/>
    <col min="6" max="6" width="46.7109375" style="8" customWidth="1"/>
    <col min="7" max="8" width="9.140625" style="1"/>
    <col min="9" max="9" width="16.5703125" style="1" customWidth="1"/>
    <col min="10" max="16384" width="9.140625" style="1"/>
  </cols>
  <sheetData>
    <row r="1" spans="1:9" s="40" customFormat="1" ht="14.25" customHeight="1" x14ac:dyDescent="0.25">
      <c r="A1" s="41"/>
      <c r="B1" s="42"/>
      <c r="C1" s="41"/>
      <c r="D1" s="41"/>
      <c r="E1" s="41"/>
      <c r="F1" s="41"/>
    </row>
    <row r="2" spans="1:9" ht="14.25" customHeight="1" x14ac:dyDescent="0.2">
      <c r="B2" s="2"/>
      <c r="C2" s="2"/>
      <c r="D2" s="2"/>
      <c r="E2" s="2"/>
      <c r="F2" s="2"/>
      <c r="G2" s="2"/>
      <c r="H2" s="2"/>
      <c r="I2" s="2"/>
    </row>
    <row r="3" spans="1:9" s="3" customFormat="1" ht="14.25" customHeight="1" x14ac:dyDescent="0.2">
      <c r="B3" s="4" t="s">
        <v>16</v>
      </c>
      <c r="C3" s="5"/>
      <c r="D3" s="6">
        <v>300</v>
      </c>
      <c r="E3" s="7" t="s">
        <v>0</v>
      </c>
      <c r="F3" s="11" t="s">
        <v>17</v>
      </c>
      <c r="G3" s="11"/>
      <c r="H3" s="11"/>
      <c r="I3" s="11"/>
    </row>
    <row r="4" spans="1:9" s="3" customFormat="1" ht="14.25" customHeight="1" x14ac:dyDescent="0.2">
      <c r="B4" s="4" t="s">
        <v>18</v>
      </c>
      <c r="C4" s="5"/>
      <c r="D4" s="6">
        <v>390</v>
      </c>
      <c r="E4" s="7" t="s">
        <v>0</v>
      </c>
      <c r="F4" s="11" t="s">
        <v>19</v>
      </c>
      <c r="G4" s="11"/>
      <c r="H4" s="11"/>
      <c r="I4" s="11"/>
    </row>
    <row r="5" spans="1:9" s="3" customFormat="1" ht="14.25" customHeight="1" x14ac:dyDescent="0.2">
      <c r="B5" s="4" t="s">
        <v>48</v>
      </c>
      <c r="C5" s="5"/>
      <c r="D5" s="6">
        <v>400</v>
      </c>
      <c r="E5" s="7" t="s">
        <v>0</v>
      </c>
      <c r="F5" s="11" t="s">
        <v>49</v>
      </c>
      <c r="G5" s="11"/>
      <c r="H5" s="11"/>
      <c r="I5" s="11"/>
    </row>
    <row r="6" spans="1:9" s="3" customFormat="1" ht="14.25" customHeight="1" x14ac:dyDescent="0.2">
      <c r="B6" s="4"/>
      <c r="C6" s="5"/>
      <c r="D6" s="24"/>
      <c r="E6" s="7"/>
      <c r="F6" s="11"/>
      <c r="G6" s="11"/>
      <c r="H6" s="11"/>
      <c r="I6" s="11"/>
    </row>
    <row r="7" spans="1:9" s="3" customFormat="1" ht="14.25" customHeight="1" x14ac:dyDescent="0.2">
      <c r="B7" s="4" t="s">
        <v>1</v>
      </c>
      <c r="C7" s="5" t="s">
        <v>9</v>
      </c>
      <c r="D7" s="6">
        <v>48</v>
      </c>
      <c r="E7" s="7" t="s">
        <v>0</v>
      </c>
      <c r="F7" s="11" t="s">
        <v>6</v>
      </c>
      <c r="G7" s="11"/>
      <c r="H7" s="11"/>
      <c r="I7" s="11"/>
    </row>
    <row r="8" spans="1:9" s="10" customFormat="1" ht="14.25" customHeight="1" x14ac:dyDescent="0.25">
      <c r="B8" s="4" t="s">
        <v>11</v>
      </c>
      <c r="C8" s="5" t="s">
        <v>9</v>
      </c>
      <c r="D8" s="6">
        <v>1000</v>
      </c>
      <c r="E8" s="7" t="s">
        <v>7</v>
      </c>
      <c r="F8" s="11" t="s">
        <v>13</v>
      </c>
      <c r="G8" s="12"/>
      <c r="H8" s="12"/>
      <c r="I8" s="12"/>
    </row>
    <row r="9" spans="1:9" s="10" customFormat="1" ht="14.25" customHeight="1" x14ac:dyDescent="0.2">
      <c r="B9" s="4" t="s">
        <v>20</v>
      </c>
      <c r="C9" s="5" t="s">
        <v>9</v>
      </c>
      <c r="D9" s="6">
        <v>5.5</v>
      </c>
      <c r="E9" s="7" t="s">
        <v>2</v>
      </c>
      <c r="F9" s="11" t="s">
        <v>21</v>
      </c>
      <c r="G9" s="11"/>
      <c r="H9" s="11"/>
      <c r="I9" s="11"/>
    </row>
    <row r="10" spans="1:9" s="10" customFormat="1" ht="14.25" customHeight="1" x14ac:dyDescent="0.2">
      <c r="B10" s="4" t="s">
        <v>22</v>
      </c>
      <c r="C10" s="5" t="s">
        <v>9</v>
      </c>
      <c r="D10" s="6">
        <v>0.5</v>
      </c>
      <c r="E10" s="7" t="s">
        <v>2</v>
      </c>
      <c r="F10" s="11" t="s">
        <v>23</v>
      </c>
      <c r="G10" s="11"/>
      <c r="H10" s="11"/>
      <c r="I10" s="11"/>
    </row>
    <row r="11" spans="1:9" s="10" customFormat="1" ht="14.25" customHeight="1" x14ac:dyDescent="0.2">
      <c r="B11" s="4"/>
      <c r="C11" s="5"/>
      <c r="D11" s="24"/>
      <c r="E11" s="7"/>
      <c r="F11" s="11"/>
      <c r="G11" s="11"/>
      <c r="H11" s="11"/>
      <c r="I11" s="11"/>
    </row>
    <row r="12" spans="1:9" s="10" customFormat="1" ht="14.25" customHeight="1" x14ac:dyDescent="0.2">
      <c r="B12" s="4" t="s">
        <v>77</v>
      </c>
      <c r="C12" s="5"/>
      <c r="D12" s="31">
        <v>310</v>
      </c>
      <c r="E12" s="7" t="s">
        <v>0</v>
      </c>
      <c r="F12" s="11" t="s">
        <v>36</v>
      </c>
      <c r="G12" s="11"/>
      <c r="H12" s="11"/>
      <c r="I12" s="11"/>
    </row>
    <row r="13" spans="1:9" s="8" customFormat="1" ht="14.25" customHeight="1" x14ac:dyDescent="0.2">
      <c r="B13" s="28" t="s">
        <v>78</v>
      </c>
      <c r="D13" s="29">
        <v>440</v>
      </c>
      <c r="E13" s="8" t="s">
        <v>0</v>
      </c>
      <c r="F13" s="8" t="s">
        <v>80</v>
      </c>
    </row>
    <row r="14" spans="1:9" s="8" customFormat="1" ht="14.25" customHeight="1" x14ac:dyDescent="0.2">
      <c r="B14" s="34" t="s">
        <v>79</v>
      </c>
      <c r="D14" s="29">
        <v>10</v>
      </c>
      <c r="E14" s="8" t="s">
        <v>0</v>
      </c>
      <c r="F14" s="8" t="s">
        <v>91</v>
      </c>
    </row>
    <row r="16" spans="1:9" s="8" customFormat="1" ht="14.25" customHeight="1" x14ac:dyDescent="0.2">
      <c r="B16" s="28" t="s">
        <v>24</v>
      </c>
      <c r="D16" s="29">
        <v>500</v>
      </c>
      <c r="E16" s="8" t="s">
        <v>4</v>
      </c>
      <c r="F16" s="8" t="s">
        <v>25</v>
      </c>
    </row>
    <row r="18" spans="2:6" s="8" customFormat="1" ht="14.25" customHeight="1" x14ac:dyDescent="0.2">
      <c r="B18" s="30" t="s">
        <v>27</v>
      </c>
      <c r="D18" s="29">
        <v>0.92</v>
      </c>
      <c r="F18" s="8" t="s">
        <v>26</v>
      </c>
    </row>
    <row r="20" spans="2:6" s="8" customFormat="1" ht="14.25" customHeight="1" x14ac:dyDescent="0.2">
      <c r="B20" s="28" t="s">
        <v>29</v>
      </c>
      <c r="D20" s="29">
        <v>60</v>
      </c>
      <c r="E20" s="8" t="s">
        <v>28</v>
      </c>
      <c r="F20" s="8" t="s">
        <v>41</v>
      </c>
    </row>
    <row r="21" spans="2:6" s="8" customFormat="1" ht="14.25" customHeight="1" x14ac:dyDescent="0.2">
      <c r="B21" s="28" t="s">
        <v>30</v>
      </c>
      <c r="D21" s="29">
        <v>60</v>
      </c>
      <c r="E21" s="8" t="s">
        <v>28</v>
      </c>
      <c r="F21" s="8" t="s">
        <v>40</v>
      </c>
    </row>
    <row r="23" spans="2:6" s="8" customFormat="1" ht="14.25" customHeight="1" x14ac:dyDescent="0.2">
      <c r="B23" s="28" t="s">
        <v>5</v>
      </c>
      <c r="D23" s="29">
        <v>3000</v>
      </c>
      <c r="E23" s="8" t="s">
        <v>57</v>
      </c>
      <c r="F23" s="8" t="s">
        <v>65</v>
      </c>
    </row>
    <row r="24" spans="2:6" s="8" customFormat="1" ht="14.25" customHeight="1" x14ac:dyDescent="0.2">
      <c r="B24" s="28" t="s">
        <v>67</v>
      </c>
      <c r="D24" s="29">
        <v>1</v>
      </c>
      <c r="F24" s="8" t="s">
        <v>66</v>
      </c>
    </row>
    <row r="26" spans="2:6" ht="14.25" customHeight="1" x14ac:dyDescent="0.35">
      <c r="B26" s="43" t="s">
        <v>117</v>
      </c>
      <c r="D26" s="45">
        <v>1.44E-2</v>
      </c>
      <c r="E26" s="44" t="s">
        <v>110</v>
      </c>
      <c r="F26" s="8" t="s">
        <v>106</v>
      </c>
    </row>
    <row r="27" spans="2:6" ht="14.25" customHeight="1" x14ac:dyDescent="0.35">
      <c r="B27" s="43" t="s">
        <v>118</v>
      </c>
      <c r="D27" s="47">
        <v>36</v>
      </c>
      <c r="E27" s="8" t="s">
        <v>109</v>
      </c>
      <c r="F27" s="8" t="s">
        <v>113</v>
      </c>
    </row>
    <row r="28" spans="2:6" ht="14.25" customHeight="1" x14ac:dyDescent="0.2">
      <c r="B28" s="22"/>
      <c r="D28" s="46"/>
    </row>
    <row r="29" spans="2:6" ht="14.25" customHeight="1" x14ac:dyDescent="0.35">
      <c r="B29" s="43" t="s">
        <v>119</v>
      </c>
      <c r="D29" s="45">
        <v>2E-3</v>
      </c>
      <c r="E29" s="44" t="s">
        <v>110</v>
      </c>
      <c r="F29" s="8" t="s">
        <v>105</v>
      </c>
    </row>
  </sheetData>
  <phoneticPr fontId="5" type="noConversion"/>
  <pageMargins left="0.74803149606299213" right="0.74803149606299213" top="0.98425196850393704" bottom="0.98425196850393704" header="0.51181102362204722" footer="0.51181102362204722"/>
  <pageSetup scale="96"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EBFD-7DAC-462F-9ED0-AB9763C5F094}">
  <sheetPr codeName="Sheet2">
    <pageSetUpPr fitToPage="1"/>
  </sheetPr>
  <dimension ref="A1:N82"/>
  <sheetViews>
    <sheetView tabSelected="1" topLeftCell="A44" zoomScale="110" zoomScaleNormal="110" workbookViewId="0">
      <selection activeCell="C55" sqref="C55"/>
    </sheetView>
  </sheetViews>
  <sheetFormatPr defaultRowHeight="14.25" customHeight="1" x14ac:dyDescent="0.2"/>
  <cols>
    <col min="1" max="1" width="25.5703125" style="7" bestFit="1" customWidth="1"/>
    <col min="2" max="2" width="10" style="8" bestFit="1" customWidth="1"/>
    <col min="3" max="3" width="12.7109375" style="8" bestFit="1" customWidth="1"/>
    <col min="4" max="4" width="4" style="8" bestFit="1" customWidth="1"/>
    <col min="5" max="5" width="9.140625" style="8"/>
    <col min="6" max="8" width="9.140625" style="1"/>
    <col min="9" max="9" width="16.7109375" style="1" customWidth="1"/>
    <col min="10" max="10" width="9.140625" style="1"/>
    <col min="11" max="14" width="9.140625" style="1" hidden="1" customWidth="1"/>
    <col min="15" max="17" width="9.140625" style="1" customWidth="1"/>
    <col min="18" max="16384" width="9.140625" style="1"/>
  </cols>
  <sheetData>
    <row r="1" spans="1:13" ht="14.25" customHeight="1" x14ac:dyDescent="0.2">
      <c r="A1" s="69" t="s">
        <v>81</v>
      </c>
      <c r="B1" s="70"/>
      <c r="C1" s="70"/>
      <c r="D1" s="70"/>
      <c r="E1" s="70"/>
      <c r="F1" s="70"/>
      <c r="G1" s="70"/>
      <c r="H1" s="70"/>
      <c r="I1" s="70"/>
      <c r="J1" s="72"/>
    </row>
    <row r="2" spans="1:13" ht="14.25" customHeight="1" x14ac:dyDescent="0.2">
      <c r="A2" s="4"/>
      <c r="B2" s="36"/>
      <c r="C2" s="9"/>
      <c r="D2" s="7"/>
      <c r="E2" s="11"/>
      <c r="F2" s="11"/>
      <c r="G2" s="11"/>
      <c r="H2" s="11"/>
      <c r="I2" s="11"/>
      <c r="K2" s="21"/>
      <c r="M2" s="21"/>
    </row>
    <row r="3" spans="1:13" ht="14.25" customHeight="1" x14ac:dyDescent="0.2">
      <c r="A3" s="49" t="s">
        <v>124</v>
      </c>
      <c r="B3" s="7" t="s">
        <v>33</v>
      </c>
      <c r="C3" s="56">
        <f>Specifications!D14/0.02</f>
        <v>500</v>
      </c>
      <c r="D3" s="44" t="s">
        <v>111</v>
      </c>
      <c r="E3" s="11"/>
      <c r="F3" s="11"/>
      <c r="G3" s="11"/>
      <c r="H3" s="11"/>
      <c r="I3" s="11"/>
      <c r="K3" s="21"/>
      <c r="M3" s="21"/>
    </row>
    <row r="4" spans="1:13" ht="14.25" customHeight="1" x14ac:dyDescent="0.2">
      <c r="A4" s="4"/>
      <c r="B4" s="8" t="s">
        <v>34</v>
      </c>
      <c r="C4" s="56">
        <f>1.25*C3/((Specifications!D5)-1.25-Specifications!D14)</f>
        <v>1.607717041800643</v>
      </c>
      <c r="D4" s="44" t="s">
        <v>111</v>
      </c>
      <c r="E4" s="11" t="s">
        <v>9</v>
      </c>
      <c r="F4" s="11"/>
      <c r="G4" s="11"/>
      <c r="H4" s="11"/>
      <c r="I4" s="11"/>
      <c r="K4" s="21"/>
      <c r="M4" s="21"/>
    </row>
    <row r="5" spans="1:13" ht="14.25" customHeight="1" x14ac:dyDescent="0.2">
      <c r="A5" s="49" t="s">
        <v>123</v>
      </c>
      <c r="B5" s="8" t="s">
        <v>34</v>
      </c>
      <c r="C5" s="16">
        <v>1.62</v>
      </c>
      <c r="D5" s="44" t="s">
        <v>111</v>
      </c>
      <c r="E5" s="11" t="s">
        <v>82</v>
      </c>
      <c r="F5" s="11"/>
      <c r="G5" s="11"/>
      <c r="H5" s="11"/>
      <c r="I5" s="11"/>
      <c r="K5" s="21"/>
      <c r="M5" s="21"/>
    </row>
    <row r="6" spans="1:13" ht="14.25" customHeight="1" x14ac:dyDescent="0.2">
      <c r="A6" s="4"/>
      <c r="B6" s="36"/>
      <c r="C6" s="9"/>
      <c r="D6" s="7"/>
      <c r="E6" s="11"/>
      <c r="F6" s="11"/>
      <c r="G6" s="11"/>
      <c r="H6" s="11"/>
      <c r="I6" s="11"/>
      <c r="K6" s="21"/>
      <c r="M6" s="21"/>
    </row>
    <row r="7" spans="1:13" s="13" customFormat="1" ht="14.25" customHeight="1" x14ac:dyDescent="0.2">
      <c r="A7" s="69" t="s">
        <v>31</v>
      </c>
      <c r="B7" s="70"/>
      <c r="C7" s="70"/>
      <c r="D7" s="70"/>
      <c r="E7" s="70"/>
      <c r="F7" s="70"/>
      <c r="G7" s="70"/>
      <c r="H7" s="70"/>
      <c r="I7" s="70"/>
      <c r="J7" s="71"/>
    </row>
    <row r="8" spans="1:13" s="14" customFormat="1" ht="14.25" customHeight="1" x14ac:dyDescent="0.2">
      <c r="A8" s="4"/>
      <c r="B8" s="36"/>
      <c r="C8" s="17"/>
      <c r="D8" s="7"/>
      <c r="E8" s="11"/>
      <c r="F8" s="11"/>
      <c r="G8" s="11"/>
      <c r="H8" s="11"/>
      <c r="I8" s="11"/>
      <c r="J8" s="1"/>
    </row>
    <row r="9" spans="1:13" s="14" customFormat="1" ht="14.25" customHeight="1" x14ac:dyDescent="0.2">
      <c r="A9" s="49" t="s">
        <v>137</v>
      </c>
      <c r="B9" s="7" t="s">
        <v>35</v>
      </c>
      <c r="C9" s="56">
        <f>(1.25*C3/((Specifications!D12)-1.25+Specifications!D14))-C5</f>
        <v>0.34078431372549001</v>
      </c>
      <c r="D9" s="44" t="s">
        <v>111</v>
      </c>
      <c r="E9" s="11"/>
      <c r="F9" s="11"/>
      <c r="G9" s="11"/>
      <c r="H9" s="11"/>
      <c r="I9" s="7"/>
      <c r="J9" s="1"/>
    </row>
    <row r="10" spans="1:13" s="14" customFormat="1" ht="14.25" customHeight="1" x14ac:dyDescent="0.2">
      <c r="A10" s="49" t="s">
        <v>130</v>
      </c>
      <c r="B10" s="7" t="s">
        <v>35</v>
      </c>
      <c r="C10" s="6">
        <v>0.42</v>
      </c>
      <c r="D10" s="44" t="s">
        <v>111</v>
      </c>
      <c r="E10" s="11" t="s">
        <v>83</v>
      </c>
      <c r="F10" s="11"/>
      <c r="G10" s="11"/>
      <c r="H10" s="11"/>
      <c r="I10" s="7"/>
      <c r="J10" s="1"/>
    </row>
    <row r="11" spans="1:13" ht="14.25" customHeight="1" x14ac:dyDescent="0.2">
      <c r="A11" s="4"/>
      <c r="B11" s="37"/>
      <c r="C11" s="27"/>
      <c r="D11" s="7"/>
      <c r="E11" s="7"/>
      <c r="F11" s="3"/>
      <c r="G11" s="3"/>
      <c r="H11" s="3"/>
      <c r="I11" s="14"/>
      <c r="J11" s="8"/>
    </row>
    <row r="12" spans="1:13" ht="14.25" customHeight="1" x14ac:dyDescent="0.2">
      <c r="A12" s="69" t="s">
        <v>38</v>
      </c>
      <c r="B12" s="70"/>
      <c r="C12" s="70"/>
      <c r="D12" s="70"/>
      <c r="E12" s="70"/>
      <c r="F12" s="70"/>
      <c r="G12" s="70"/>
      <c r="H12" s="70"/>
      <c r="I12" s="70"/>
      <c r="J12" s="71"/>
    </row>
    <row r="13" spans="1:13" ht="14.25" customHeight="1" x14ac:dyDescent="0.2">
      <c r="A13" s="4"/>
      <c r="B13" s="36"/>
      <c r="C13" s="4"/>
      <c r="D13" s="7"/>
      <c r="E13" s="7"/>
      <c r="F13" s="7"/>
      <c r="G13" s="7"/>
      <c r="H13" s="7"/>
      <c r="I13" s="7"/>
      <c r="J13" s="8"/>
    </row>
    <row r="14" spans="1:13" ht="14.25" customHeight="1" x14ac:dyDescent="0.2">
      <c r="A14" s="48" t="s">
        <v>122</v>
      </c>
      <c r="B14" s="7" t="s">
        <v>37</v>
      </c>
      <c r="C14" s="57">
        <f>10^4/(Specifications!D16)</f>
        <v>20</v>
      </c>
      <c r="D14" s="44" t="s">
        <v>111</v>
      </c>
      <c r="E14" s="7"/>
      <c r="F14" s="7"/>
      <c r="G14" s="7"/>
      <c r="H14" s="7"/>
      <c r="I14" s="3"/>
    </row>
    <row r="15" spans="1:13" s="8" customFormat="1" ht="14.25" customHeight="1" x14ac:dyDescent="0.2">
      <c r="A15" s="4" t="s">
        <v>9</v>
      </c>
      <c r="B15" s="36"/>
      <c r="C15" s="18"/>
      <c r="D15" s="11"/>
      <c r="E15" s="11"/>
      <c r="F15" s="4"/>
      <c r="G15" s="4"/>
      <c r="H15" s="4"/>
      <c r="I15" s="4"/>
      <c r="J15" s="15"/>
    </row>
    <row r="16" spans="1:13" ht="14.25" customHeight="1" x14ac:dyDescent="0.2">
      <c r="A16" s="73" t="s">
        <v>39</v>
      </c>
      <c r="B16" s="74"/>
      <c r="C16" s="74"/>
      <c r="D16" s="74"/>
      <c r="E16" s="74"/>
      <c r="F16" s="74"/>
      <c r="G16" s="74"/>
      <c r="H16" s="74"/>
      <c r="I16" s="74"/>
      <c r="J16" s="74"/>
    </row>
    <row r="17" spans="1:10" s="14" customFormat="1" ht="14.25" hidden="1" customHeight="1" x14ac:dyDescent="0.2">
      <c r="A17" s="11"/>
      <c r="B17" s="37"/>
      <c r="C17" s="26"/>
      <c r="D17" s="8"/>
      <c r="E17" s="7"/>
      <c r="F17" s="1"/>
      <c r="G17" s="1"/>
      <c r="H17" s="1"/>
      <c r="I17" s="1"/>
      <c r="J17" s="1"/>
    </row>
    <row r="18" spans="1:10" s="3" customFormat="1" ht="14.25" customHeight="1" x14ac:dyDescent="0.2">
      <c r="A18" s="49" t="s">
        <v>120</v>
      </c>
      <c r="B18" s="7" t="s">
        <v>94</v>
      </c>
      <c r="C18" s="58">
        <f>Specifications!D21/3</f>
        <v>20</v>
      </c>
      <c r="D18" s="44" t="s">
        <v>111</v>
      </c>
      <c r="E18" s="11" t="s">
        <v>9</v>
      </c>
      <c r="F18" s="11"/>
      <c r="G18" s="11"/>
      <c r="H18" s="11"/>
      <c r="I18" s="11"/>
      <c r="J18" s="1"/>
    </row>
    <row r="19" spans="1:10" s="3" customFormat="1" ht="14.25" customHeight="1" x14ac:dyDescent="0.2">
      <c r="A19" s="49" t="s">
        <v>121</v>
      </c>
      <c r="B19" s="7" t="s">
        <v>95</v>
      </c>
      <c r="C19" s="57">
        <f>Specifications!D20/3</f>
        <v>20</v>
      </c>
      <c r="D19" s="44" t="s">
        <v>111</v>
      </c>
      <c r="E19" s="11"/>
      <c r="F19" s="11"/>
      <c r="G19" s="11"/>
      <c r="H19" s="11"/>
      <c r="I19" s="11"/>
      <c r="J19" s="1"/>
    </row>
    <row r="20" spans="1:10" s="3" customFormat="1" ht="14.25" customHeight="1" x14ac:dyDescent="0.2">
      <c r="A20" s="49" t="s">
        <v>125</v>
      </c>
      <c r="B20" s="7" t="s">
        <v>92</v>
      </c>
      <c r="C20" s="56">
        <f>(0.001/Specifications!D16-Specifications!D21*0.000000001)*1000*Specifications!D16</f>
        <v>0.97000000000000008</v>
      </c>
      <c r="D20" s="7"/>
      <c r="E20" s="11" t="s">
        <v>93</v>
      </c>
      <c r="F20" s="11"/>
      <c r="G20" s="11"/>
      <c r="H20" s="11"/>
      <c r="I20" s="11"/>
      <c r="J20" s="1"/>
    </row>
    <row r="21" spans="1:10" s="3" customFormat="1" ht="14.25" customHeight="1" x14ac:dyDescent="0.2">
      <c r="A21" s="4"/>
      <c r="B21" s="7"/>
      <c r="C21" s="9"/>
      <c r="D21" s="7"/>
      <c r="E21" s="11"/>
      <c r="F21" s="11"/>
      <c r="G21" s="11"/>
      <c r="H21" s="11"/>
      <c r="I21" s="11"/>
      <c r="J21" s="1"/>
    </row>
    <row r="22" spans="1:10" s="3" customFormat="1" ht="14.25" customHeight="1" x14ac:dyDescent="0.2">
      <c r="A22" s="69" t="s">
        <v>107</v>
      </c>
      <c r="B22" s="70"/>
      <c r="C22" s="70"/>
      <c r="D22" s="70"/>
      <c r="E22" s="70"/>
      <c r="F22" s="70"/>
      <c r="G22" s="70"/>
      <c r="H22" s="70"/>
      <c r="I22" s="70"/>
      <c r="J22" s="71"/>
    </row>
    <row r="23" spans="1:10" s="3" customFormat="1" ht="14.25" customHeight="1" x14ac:dyDescent="0.2">
      <c r="A23" s="4"/>
      <c r="B23" s="7"/>
      <c r="C23" s="9"/>
      <c r="D23" s="7"/>
      <c r="E23" s="11"/>
      <c r="F23" s="11"/>
      <c r="G23" s="11"/>
      <c r="H23" s="11"/>
      <c r="I23" s="11"/>
      <c r="J23" s="1"/>
    </row>
    <row r="24" spans="1:10" s="3" customFormat="1" ht="14.25" customHeight="1" x14ac:dyDescent="0.2">
      <c r="A24" s="49" t="s">
        <v>126</v>
      </c>
      <c r="B24" s="7" t="s">
        <v>108</v>
      </c>
      <c r="C24" s="6">
        <v>12</v>
      </c>
      <c r="D24" s="7" t="s">
        <v>0</v>
      </c>
      <c r="E24" s="11" t="s">
        <v>127</v>
      </c>
      <c r="F24" s="11"/>
      <c r="G24" s="11"/>
      <c r="H24" s="11"/>
      <c r="I24" s="11"/>
      <c r="J24" s="1"/>
    </row>
    <row r="25" spans="1:10" s="3" customFormat="1" ht="14.25" customHeight="1" x14ac:dyDescent="0.2">
      <c r="A25" s="49" t="s">
        <v>128</v>
      </c>
      <c r="B25" s="7" t="s">
        <v>114</v>
      </c>
      <c r="C25" s="24">
        <f>Specifications!D27/(Calculations!C24-0.8)</f>
        <v>3.2142857142857144</v>
      </c>
      <c r="D25" s="7" t="s">
        <v>109</v>
      </c>
      <c r="E25" s="11" t="s">
        <v>115</v>
      </c>
      <c r="F25" s="11"/>
      <c r="G25" s="11"/>
      <c r="H25" s="11"/>
      <c r="I25" s="11"/>
      <c r="J25" s="1"/>
    </row>
    <row r="26" spans="1:10" s="3" customFormat="1" ht="14.25" customHeight="1" x14ac:dyDescent="0.2">
      <c r="A26" s="49" t="s">
        <v>129</v>
      </c>
      <c r="B26" s="7" t="s">
        <v>114</v>
      </c>
      <c r="C26" s="24">
        <v>100</v>
      </c>
      <c r="D26" s="7" t="s">
        <v>109</v>
      </c>
      <c r="E26" s="11" t="s">
        <v>116</v>
      </c>
      <c r="F26" s="11"/>
      <c r="G26" s="11"/>
      <c r="H26" s="11"/>
      <c r="I26" s="11"/>
      <c r="J26" s="1"/>
    </row>
    <row r="27" spans="1:10" ht="14.25" customHeight="1" x14ac:dyDescent="0.2">
      <c r="A27" s="4"/>
      <c r="B27" s="7"/>
      <c r="C27" s="9"/>
      <c r="D27" s="7"/>
      <c r="E27" s="7"/>
      <c r="F27" s="7"/>
      <c r="G27" s="7"/>
      <c r="H27" s="7"/>
      <c r="I27" s="7"/>
      <c r="J27" s="8"/>
    </row>
    <row r="28" spans="1:10" s="15" customFormat="1" ht="14.25" customHeight="1" x14ac:dyDescent="0.2">
      <c r="A28" s="69" t="s">
        <v>42</v>
      </c>
      <c r="B28" s="75"/>
      <c r="C28" s="75"/>
      <c r="D28" s="75"/>
      <c r="E28" s="75"/>
      <c r="F28" s="75"/>
      <c r="G28" s="75"/>
      <c r="H28" s="75"/>
      <c r="I28" s="75"/>
      <c r="J28" s="75"/>
    </row>
    <row r="29" spans="1:10" ht="14.25" customHeight="1" x14ac:dyDescent="0.25">
      <c r="A29" s="20"/>
      <c r="B29" s="7"/>
      <c r="C29" s="23"/>
      <c r="D29" s="7"/>
      <c r="E29" s="11"/>
    </row>
    <row r="30" spans="1:10" ht="14.25" customHeight="1" x14ac:dyDescent="0.2">
      <c r="A30" s="11" t="s">
        <v>131</v>
      </c>
      <c r="B30" s="7" t="s">
        <v>43</v>
      </c>
      <c r="C30" s="24">
        <f>Specifications!D7*Specifications!D9</f>
        <v>264</v>
      </c>
      <c r="D30" s="7" t="s">
        <v>3</v>
      </c>
      <c r="E30" s="11"/>
    </row>
    <row r="31" spans="1:10" ht="14.25" customHeight="1" x14ac:dyDescent="0.2">
      <c r="A31" s="11" t="s">
        <v>132</v>
      </c>
      <c r="B31" s="7" t="s">
        <v>44</v>
      </c>
      <c r="C31" s="24">
        <f>Specifications!D7*Specifications!D10</f>
        <v>24</v>
      </c>
      <c r="D31" s="7" t="s">
        <v>3</v>
      </c>
      <c r="E31" s="11"/>
    </row>
    <row r="32" spans="1:10" ht="14.25" customHeight="1" x14ac:dyDescent="0.2">
      <c r="A32" s="4"/>
      <c r="B32" s="7"/>
      <c r="C32" s="24"/>
      <c r="D32" s="7"/>
      <c r="E32" s="11"/>
    </row>
    <row r="33" spans="1:10" ht="14.25" customHeight="1" x14ac:dyDescent="0.2">
      <c r="A33" s="11" t="s">
        <v>133</v>
      </c>
      <c r="B33" s="7" t="s">
        <v>45</v>
      </c>
      <c r="C33" s="24">
        <f>C30/Specifications!D18</f>
        <v>286.95652173913044</v>
      </c>
      <c r="D33" s="7" t="s">
        <v>3</v>
      </c>
      <c r="E33" s="11"/>
    </row>
    <row r="34" spans="1:10" ht="14.25" customHeight="1" x14ac:dyDescent="0.2">
      <c r="A34" s="11" t="s">
        <v>134</v>
      </c>
      <c r="B34" s="8" t="s">
        <v>46</v>
      </c>
      <c r="C34" s="24">
        <f>C31/Specifications!D18</f>
        <v>26.086956521739129</v>
      </c>
      <c r="D34" s="7" t="s">
        <v>3</v>
      </c>
      <c r="E34" s="11"/>
    </row>
    <row r="35" spans="1:10" ht="14.25" customHeight="1" x14ac:dyDescent="0.2">
      <c r="A35" s="4"/>
      <c r="B35" s="37"/>
      <c r="C35" s="23"/>
      <c r="D35" s="7"/>
      <c r="E35" s="11"/>
    </row>
    <row r="36" spans="1:10" ht="14.25" customHeight="1" x14ac:dyDescent="0.2">
      <c r="A36" s="11" t="s">
        <v>135</v>
      </c>
      <c r="B36" s="7" t="s">
        <v>50</v>
      </c>
      <c r="C36" s="24">
        <f>C33/Specifications!D3</f>
        <v>0.95652173913043481</v>
      </c>
      <c r="D36" s="7" t="s">
        <v>2</v>
      </c>
      <c r="E36" s="11"/>
    </row>
    <row r="37" spans="1:10" ht="14.25" customHeight="1" x14ac:dyDescent="0.2">
      <c r="A37" s="11" t="s">
        <v>136</v>
      </c>
      <c r="B37" s="7" t="s">
        <v>51</v>
      </c>
      <c r="C37" s="24">
        <f>C34/Specifications!D5</f>
        <v>6.5217391304347824E-2</v>
      </c>
      <c r="D37" s="7" t="s">
        <v>2</v>
      </c>
      <c r="E37" s="11"/>
    </row>
    <row r="38" spans="1:10" ht="14.25" customHeight="1" x14ac:dyDescent="0.2">
      <c r="A38" s="4"/>
      <c r="B38" s="7"/>
      <c r="C38" s="24"/>
      <c r="D38" s="7"/>
      <c r="E38" s="11"/>
    </row>
    <row r="39" spans="1:10" ht="14.25" customHeight="1" x14ac:dyDescent="0.25">
      <c r="A39" s="49" t="s">
        <v>138</v>
      </c>
      <c r="B39" s="7" t="s">
        <v>139</v>
      </c>
      <c r="C39" s="24">
        <f>C20*Specifications!D3/Specifications!D7</f>
        <v>6.0625</v>
      </c>
      <c r="D39" s="7"/>
      <c r="E39" s="11"/>
    </row>
    <row r="40" spans="1:10" ht="14.25" customHeight="1" x14ac:dyDescent="0.25">
      <c r="A40" s="49" t="s">
        <v>138</v>
      </c>
      <c r="B40" s="7" t="s">
        <v>139</v>
      </c>
      <c r="C40" s="6">
        <v>5</v>
      </c>
      <c r="D40" s="7"/>
      <c r="E40" s="11" t="s">
        <v>53</v>
      </c>
    </row>
    <row r="41" spans="1:10" ht="14.25" customHeight="1" x14ac:dyDescent="0.2">
      <c r="A41" s="4"/>
      <c r="B41" s="7"/>
      <c r="C41" s="24"/>
      <c r="D41" s="7"/>
      <c r="E41" s="11"/>
    </row>
    <row r="42" spans="1:10" ht="14.25" customHeight="1" x14ac:dyDescent="0.25">
      <c r="A42" s="49" t="s">
        <v>144</v>
      </c>
      <c r="B42" s="7" t="s">
        <v>140</v>
      </c>
      <c r="C42" s="24">
        <f>C40*Specifications!D7/Specifications!D3</f>
        <v>0.8</v>
      </c>
      <c r="D42" s="7"/>
      <c r="E42" s="11"/>
    </row>
    <row r="43" spans="1:10" ht="14.25" customHeight="1" x14ac:dyDescent="0.25">
      <c r="A43" s="49" t="s">
        <v>145</v>
      </c>
      <c r="B43" s="7" t="s">
        <v>141</v>
      </c>
      <c r="C43" s="24">
        <f>C40*Specifications!D7/Specifications!D5</f>
        <v>0.6</v>
      </c>
      <c r="D43" s="7"/>
    </row>
    <row r="44" spans="1:10" ht="14.25" customHeight="1" x14ac:dyDescent="0.25">
      <c r="A44" s="49" t="s">
        <v>55</v>
      </c>
      <c r="B44" s="7" t="s">
        <v>142</v>
      </c>
      <c r="C44" s="25">
        <f>(C43/Specifications!D16)*1000</f>
        <v>1.2</v>
      </c>
      <c r="D44" s="7" t="s">
        <v>54</v>
      </c>
      <c r="E44" s="11"/>
    </row>
    <row r="45" spans="1:10" ht="14.25" customHeight="1" x14ac:dyDescent="0.25">
      <c r="A45" s="49" t="s">
        <v>64</v>
      </c>
      <c r="B45" s="7" t="s">
        <v>143</v>
      </c>
      <c r="C45" s="25">
        <f>(1000/Specifications!D16)-Calculations!C44</f>
        <v>0.8</v>
      </c>
      <c r="D45" s="7" t="s">
        <v>54</v>
      </c>
    </row>
    <row r="46" spans="1:10" ht="14.25" customHeight="1" x14ac:dyDescent="0.2">
      <c r="A46" s="4"/>
      <c r="B46" s="37"/>
      <c r="C46" s="23"/>
      <c r="D46" s="7"/>
      <c r="E46" s="11"/>
    </row>
    <row r="47" spans="1:10" ht="14.25" customHeight="1" x14ac:dyDescent="0.2">
      <c r="A47" s="69" t="s">
        <v>32</v>
      </c>
      <c r="B47" s="75"/>
      <c r="C47" s="75"/>
      <c r="D47" s="75"/>
      <c r="E47" s="75"/>
      <c r="F47" s="75"/>
      <c r="G47" s="75"/>
      <c r="H47" s="75"/>
      <c r="I47" s="75"/>
      <c r="J47" s="75"/>
    </row>
    <row r="48" spans="1:10" ht="14.25" customHeight="1" x14ac:dyDescent="0.2">
      <c r="A48" s="4"/>
      <c r="B48" s="7"/>
      <c r="C48" s="24"/>
      <c r="D48" s="7"/>
      <c r="E48" s="11"/>
    </row>
    <row r="49" spans="1:10" ht="14.25" customHeight="1" x14ac:dyDescent="0.2">
      <c r="A49" s="49" t="s">
        <v>74</v>
      </c>
      <c r="B49" s="7" t="s">
        <v>56</v>
      </c>
      <c r="C49" s="25">
        <f>((Specifications!D5/C40)-Specifications!D7)*C44/(2*Specifications!D10)</f>
        <v>38.4</v>
      </c>
      <c r="D49" s="7" t="s">
        <v>57</v>
      </c>
    </row>
    <row r="50" spans="1:10" ht="14.25" customHeight="1" x14ac:dyDescent="0.2">
      <c r="A50" s="4"/>
      <c r="B50" s="7" t="s">
        <v>56</v>
      </c>
      <c r="C50" s="19">
        <v>47</v>
      </c>
      <c r="D50" s="7" t="s">
        <v>57</v>
      </c>
      <c r="E50" s="11" t="s">
        <v>58</v>
      </c>
    </row>
    <row r="51" spans="1:10" ht="14.25" customHeight="1" x14ac:dyDescent="0.2">
      <c r="A51" s="49" t="s">
        <v>60</v>
      </c>
      <c r="B51" s="38" t="s">
        <v>59</v>
      </c>
      <c r="C51" s="24">
        <f>((Specifications!D5/Calculations!C40)-Specifications!D7)*C44/C50</f>
        <v>0.81702127659574464</v>
      </c>
      <c r="D51" s="7" t="s">
        <v>2</v>
      </c>
    </row>
    <row r="52" spans="1:10" ht="14.25" customHeight="1" x14ac:dyDescent="0.2">
      <c r="A52" s="4"/>
      <c r="B52" s="7"/>
      <c r="C52" s="23"/>
      <c r="D52" s="7"/>
      <c r="E52" s="11"/>
    </row>
    <row r="53" spans="1:10" ht="14.25" customHeight="1" x14ac:dyDescent="0.2">
      <c r="A53" s="49" t="s">
        <v>146</v>
      </c>
      <c r="B53" s="7" t="s">
        <v>61</v>
      </c>
      <c r="C53" s="35">
        <f>1000*Specifications!D9*Calculations!C45/Specifications!D8</f>
        <v>4.4000000000000004</v>
      </c>
      <c r="D53" s="7" t="s">
        <v>63</v>
      </c>
    </row>
    <row r="54" spans="1:10" ht="14.25" customHeight="1" x14ac:dyDescent="0.2">
      <c r="A54" s="4"/>
      <c r="B54" s="7" t="s">
        <v>61</v>
      </c>
      <c r="C54" s="31">
        <v>22</v>
      </c>
      <c r="D54" s="7" t="s">
        <v>63</v>
      </c>
      <c r="E54" s="11" t="s">
        <v>62</v>
      </c>
    </row>
    <row r="55" spans="1:10" ht="14.25" customHeight="1" x14ac:dyDescent="0.2">
      <c r="A55" s="4"/>
      <c r="B55" s="7"/>
      <c r="C55" s="17"/>
      <c r="D55" s="7"/>
      <c r="E55" s="11"/>
    </row>
    <row r="56" spans="1:10" ht="14.25" customHeight="1" x14ac:dyDescent="0.2">
      <c r="A56" s="76" t="s">
        <v>100</v>
      </c>
      <c r="B56" s="77"/>
      <c r="C56" s="77"/>
      <c r="D56" s="77"/>
      <c r="E56" s="77"/>
      <c r="F56" s="77"/>
      <c r="G56" s="77"/>
      <c r="H56" s="77"/>
      <c r="I56" s="77"/>
      <c r="J56" s="77"/>
    </row>
    <row r="57" spans="1:10" ht="14.25" customHeight="1" x14ac:dyDescent="0.2">
      <c r="A57" s="4"/>
      <c r="B57" s="7"/>
      <c r="C57" s="17"/>
      <c r="D57" s="7"/>
      <c r="E57" s="11"/>
      <c r="F57" s="22"/>
    </row>
    <row r="58" spans="1:10" ht="14.25" customHeight="1" x14ac:dyDescent="0.2">
      <c r="A58" s="49" t="s">
        <v>69</v>
      </c>
      <c r="B58" s="7" t="s">
        <v>68</v>
      </c>
      <c r="C58" s="17">
        <f>Specifications!D5*Calculations!C44/Specifications!D23</f>
        <v>0.16</v>
      </c>
      <c r="D58" s="7" t="s">
        <v>2</v>
      </c>
    </row>
    <row r="59" spans="1:10" s="8" customFormat="1" ht="14.25" customHeight="1" x14ac:dyDescent="0.25">
      <c r="A59" s="50" t="s">
        <v>86</v>
      </c>
      <c r="B59" s="39" t="s">
        <v>85</v>
      </c>
      <c r="C59" s="33">
        <f>C58+C51/C40</f>
        <v>0.32340425531914896</v>
      </c>
    </row>
    <row r="60" spans="1:10" s="8" customFormat="1" ht="14.25" customHeight="1" x14ac:dyDescent="0.2">
      <c r="A60" s="50" t="s">
        <v>70</v>
      </c>
      <c r="B60" s="8" t="s">
        <v>47</v>
      </c>
      <c r="C60" s="33">
        <f>C59/2+(Specifications!D9)/C40</f>
        <v>1.2617021276595746</v>
      </c>
    </row>
    <row r="61" spans="1:10" s="8" customFormat="1" ht="14.25" customHeight="1" x14ac:dyDescent="0.2">
      <c r="A61" s="28"/>
      <c r="C61" s="33"/>
    </row>
    <row r="62" spans="1:10" ht="14.25" customHeight="1" x14ac:dyDescent="0.2">
      <c r="A62" s="49" t="s">
        <v>147</v>
      </c>
      <c r="B62" s="7" t="s">
        <v>72</v>
      </c>
      <c r="C62" s="9">
        <f>0.75*(Specifications!D24)/Calculations!C60</f>
        <v>0.59443507588532873</v>
      </c>
      <c r="D62" s="44" t="s">
        <v>112</v>
      </c>
    </row>
    <row r="63" spans="1:10" ht="14.25" customHeight="1" x14ac:dyDescent="0.2">
      <c r="A63" s="4"/>
      <c r="B63" s="7" t="s">
        <v>71</v>
      </c>
      <c r="C63" s="6">
        <v>18.7</v>
      </c>
      <c r="D63" s="44" t="s">
        <v>112</v>
      </c>
      <c r="E63" s="11" t="s">
        <v>73</v>
      </c>
    </row>
    <row r="64" spans="1:10" ht="14.25" customHeight="1" x14ac:dyDescent="0.2">
      <c r="A64" s="4"/>
      <c r="B64" s="7"/>
      <c r="C64" s="24"/>
      <c r="D64" s="7"/>
      <c r="E64" s="11"/>
    </row>
    <row r="65" spans="1:10" ht="14.25" customHeight="1" x14ac:dyDescent="0.2">
      <c r="A65" s="49" t="s">
        <v>89</v>
      </c>
      <c r="B65" s="7" t="s">
        <v>87</v>
      </c>
      <c r="C65" s="24">
        <f>(Specifications!D9)/C40-(C59/2)</f>
        <v>0.93829787234042561</v>
      </c>
      <c r="D65" s="7" t="s">
        <v>2</v>
      </c>
    </row>
    <row r="66" spans="1:10" ht="14.25" customHeight="1" x14ac:dyDescent="0.2">
      <c r="A66" s="49" t="s">
        <v>90</v>
      </c>
      <c r="B66" s="7" t="s">
        <v>88</v>
      </c>
      <c r="C66" s="24">
        <f>(C65+C59/2)*SQRT(C20)</f>
        <v>1.0833743581975717</v>
      </c>
      <c r="D66" s="7" t="s">
        <v>2</v>
      </c>
    </row>
    <row r="67" spans="1:10" ht="14.25" customHeight="1" x14ac:dyDescent="0.2">
      <c r="A67" s="4"/>
      <c r="B67" s="7"/>
      <c r="C67" s="24"/>
      <c r="D67" s="7"/>
      <c r="E67" s="11"/>
    </row>
    <row r="68" spans="1:10" ht="14.25" customHeight="1" x14ac:dyDescent="0.2">
      <c r="A68" s="73" t="s">
        <v>84</v>
      </c>
      <c r="B68" s="74"/>
      <c r="C68" s="74"/>
      <c r="D68" s="74"/>
      <c r="E68" s="74"/>
      <c r="F68" s="74"/>
      <c r="G68" s="74"/>
      <c r="H68" s="74"/>
      <c r="I68" s="74"/>
      <c r="J68" s="74"/>
    </row>
    <row r="70" spans="1:10" s="8" customFormat="1" ht="14.25" customHeight="1" x14ac:dyDescent="0.2">
      <c r="A70" s="51" t="s">
        <v>148</v>
      </c>
      <c r="B70" s="8" t="s">
        <v>75</v>
      </c>
      <c r="C70" s="32">
        <f>(Specifications!D7)*C63*10000/(C50*(Specifications!D16)*Calculations!C40*Specifications!D24)</f>
        <v>76.391489361702128</v>
      </c>
      <c r="D70" s="44" t="s">
        <v>111</v>
      </c>
      <c r="E70" s="8" t="s">
        <v>9</v>
      </c>
    </row>
    <row r="71" spans="1:10" s="8" customFormat="1" ht="14.25" customHeight="1" x14ac:dyDescent="0.2">
      <c r="B71" s="8" t="s">
        <v>75</v>
      </c>
      <c r="C71" s="29">
        <v>3.48</v>
      </c>
      <c r="D71" s="44" t="s">
        <v>111</v>
      </c>
      <c r="E71" s="8" t="s">
        <v>76</v>
      </c>
    </row>
    <row r="73" spans="1:10" ht="14.25" customHeight="1" x14ac:dyDescent="0.2">
      <c r="A73" s="67" t="s">
        <v>99</v>
      </c>
      <c r="B73" s="68"/>
      <c r="C73" s="68"/>
      <c r="D73" s="68"/>
      <c r="E73" s="68"/>
      <c r="F73" s="68"/>
      <c r="G73" s="68"/>
      <c r="H73" s="68"/>
      <c r="I73" s="68"/>
      <c r="J73" s="68"/>
    </row>
    <row r="75" spans="1:10" ht="14.25" customHeight="1" x14ac:dyDescent="0.2">
      <c r="A75" s="50" t="s">
        <v>149</v>
      </c>
      <c r="B75" s="8" t="s">
        <v>24</v>
      </c>
      <c r="C75" s="8">
        <f>Specifications!D16</f>
        <v>500</v>
      </c>
      <c r="D75" s="8" t="s">
        <v>4</v>
      </c>
    </row>
    <row r="76" spans="1:10" ht="14.25" customHeight="1" x14ac:dyDescent="0.2">
      <c r="A76" s="50" t="s">
        <v>150</v>
      </c>
      <c r="B76" s="8" t="s">
        <v>52</v>
      </c>
      <c r="C76" s="32">
        <f>C40</f>
        <v>5</v>
      </c>
    </row>
    <row r="78" spans="1:10" ht="14.25" customHeight="1" x14ac:dyDescent="0.2">
      <c r="A78" s="50" t="s">
        <v>101</v>
      </c>
      <c r="B78" s="8" t="s">
        <v>5</v>
      </c>
      <c r="C78" s="8">
        <f>Specifications!D23</f>
        <v>3000</v>
      </c>
      <c r="D78" s="8" t="s">
        <v>57</v>
      </c>
    </row>
    <row r="79" spans="1:10" ht="14.25" customHeight="1" x14ac:dyDescent="0.2">
      <c r="A79" s="50" t="s">
        <v>102</v>
      </c>
      <c r="B79" s="7" t="s">
        <v>88</v>
      </c>
      <c r="C79" s="32">
        <f>C66</f>
        <v>1.0833743581975717</v>
      </c>
      <c r="D79" s="8" t="s">
        <v>2</v>
      </c>
    </row>
    <row r="80" spans="1:10" ht="14.25" customHeight="1" x14ac:dyDescent="0.2">
      <c r="A80" s="50" t="s">
        <v>103</v>
      </c>
      <c r="B80" s="8" t="s">
        <v>47</v>
      </c>
      <c r="C80" s="32">
        <f>C60</f>
        <v>1.2617021276595746</v>
      </c>
      <c r="D80" s="8" t="s">
        <v>2</v>
      </c>
    </row>
    <row r="82" spans="1:4" ht="14.25" customHeight="1" x14ac:dyDescent="0.2">
      <c r="A82" s="50" t="s">
        <v>151</v>
      </c>
      <c r="B82" s="8" t="s">
        <v>104</v>
      </c>
      <c r="C82" s="32">
        <f>0.5*(Specifications!D9)*SQRT(1+C42)</f>
        <v>3.689512162874653</v>
      </c>
      <c r="D82" s="8" t="s">
        <v>2</v>
      </c>
    </row>
  </sheetData>
  <sheetProtection selectLockedCells="1"/>
  <protectedRanges>
    <protectedRange password="EF59" sqref="C3 C4 C9 C14 C18 C19 C20 C25 C26 C30 C31 C33 C34 C36 C37 C39 C42 C43 C44 C45 C49 C51 C53 C58 C59 C60 C62 C65 C66 C70 C75 C76 C78 C79 C80 C82" name="Range1"/>
  </protectedRanges>
  <mergeCells count="10">
    <mergeCell ref="A73:J73"/>
    <mergeCell ref="A22:J22"/>
    <mergeCell ref="A1:J1"/>
    <mergeCell ref="A16:J16"/>
    <mergeCell ref="A68:J68"/>
    <mergeCell ref="A28:J28"/>
    <mergeCell ref="A47:J47"/>
    <mergeCell ref="A56:J56"/>
    <mergeCell ref="A7:J7"/>
    <mergeCell ref="A12:J12"/>
  </mergeCells>
  <phoneticPr fontId="5" type="noConversion"/>
  <dataValidations disablePrompts="1" count="1">
    <dataValidation type="list" allowBlank="1" showInputMessage="1" showErrorMessage="1" sqref="C17" xr:uid="{C224F8AE-628D-4659-BC9D-A4156F8C1DC7}">
      <formula1>"Shottky, Fast"</formula1>
    </dataValidation>
  </dataValidations>
  <pageMargins left="0.74803149606299213" right="0.74803149606299213" top="0.98425196850393704" bottom="0.98425196850393704" header="0.51181102362204722" footer="0.51181102362204722"/>
  <pageSetup fitToHeight="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Schematic</vt:lpstr>
      <vt:lpstr>Specifications</vt:lpstr>
      <vt:lpstr>Calculations</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 User</dc:creator>
  <cp:lastModifiedBy>Kecs Robert (8TX-RD8)</cp:lastModifiedBy>
  <cp:lastPrinted>2013-08-15T07:32:14Z</cp:lastPrinted>
  <dcterms:created xsi:type="dcterms:W3CDTF">2011-03-30T08:22:50Z</dcterms:created>
  <dcterms:modified xsi:type="dcterms:W3CDTF">2025-07-23T09:59:11Z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9ac9c2-fcd2-4d0b-8613-b7f540967ed5_Enabled">
    <vt:lpwstr>true</vt:lpwstr>
  </property>
  <property fmtid="{D5CDD505-2E9C-101B-9397-08002B2CF9AE}" pid="3" name="MSIP_Label_ae9ac9c2-fcd2-4d0b-8613-b7f540967ed5_SetDate">
    <vt:lpwstr>2025-07-17T06:46:42Z</vt:lpwstr>
  </property>
  <property fmtid="{D5CDD505-2E9C-101B-9397-08002B2CF9AE}" pid="4" name="MSIP_Label_ae9ac9c2-fcd2-4d0b-8613-b7f540967ed5_Method">
    <vt:lpwstr>Privileged</vt:lpwstr>
  </property>
  <property fmtid="{D5CDD505-2E9C-101B-9397-08002B2CF9AE}" pid="5" name="MSIP_Label_ae9ac9c2-fcd2-4d0b-8613-b7f540967ed5_Name">
    <vt:lpwstr>COMPANY RESTRICTED - BUSINESS USE</vt:lpwstr>
  </property>
  <property fmtid="{D5CDD505-2E9C-101B-9397-08002B2CF9AE}" pid="6" name="MSIP_Label_ae9ac9c2-fcd2-4d0b-8613-b7f540967ed5_SiteId">
    <vt:lpwstr>74bddbd9-705c-456e-aabd-99beb719a2b2</vt:lpwstr>
  </property>
  <property fmtid="{D5CDD505-2E9C-101B-9397-08002B2CF9AE}" pid="7" name="MSIP_Label_ae9ac9c2-fcd2-4d0b-8613-b7f540967ed5_ActionId">
    <vt:lpwstr>931c2cc8-1388-4a80-a3df-c614d084b9d6</vt:lpwstr>
  </property>
  <property fmtid="{D5CDD505-2E9C-101B-9397-08002B2CF9AE}" pid="8" name="MSIP_Label_ae9ac9c2-fcd2-4d0b-8613-b7f540967ed5_ContentBits">
    <vt:lpwstr>0</vt:lpwstr>
  </property>
  <property fmtid="{D5CDD505-2E9C-101B-9397-08002B2CF9AE}" pid="9" name="MSIP_Label_ae9ac9c2-fcd2-4d0b-8613-b7f540967ed5_Tag">
    <vt:lpwstr>10, 0, 1, 1</vt:lpwstr>
  </property>
</Properties>
</file>