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628" yWindow="-300" windowWidth="18768" windowHeight="13440"/>
  </bookViews>
  <sheets>
    <sheet name="Calculations" sheetId="1" r:id="rId1"/>
    <sheet name="Typical Application" sheetId="2" r:id="rId2"/>
    <sheet name="Sheet3" sheetId="3" r:id="rId3"/>
  </sheets>
  <definedNames>
    <definedName name="Efficiency">Calculations!$E$12</definedName>
    <definedName name="FLINEMIN">Calculations!$E$9</definedName>
    <definedName name="fSWMIN">Calculations!$E$14</definedName>
    <definedName name="LBOOST">Calculations!$E$20</definedName>
    <definedName name="LBOOST_SEL">Calculations!$E$22</definedName>
    <definedName name="PF">Calculations!$E$13</definedName>
    <definedName name="POUT_MAX">Calculations!$E$11</definedName>
    <definedName name="TOL_LB_PERCENT">Calculations!$E$19</definedName>
    <definedName name="VINMAX">Calculations!$E$8</definedName>
    <definedName name="VINMIN">Calculations!$E$7</definedName>
    <definedName name="VOUT">Calculations!$E$15</definedName>
  </definedNames>
  <calcPr calcId="145621"/>
</workbook>
</file>

<file path=xl/calcChain.xml><?xml version="1.0" encoding="utf-8"?>
<calcChain xmlns="http://schemas.openxmlformats.org/spreadsheetml/2006/main">
  <c r="E21" i="1" l="1"/>
  <c r="E20" i="1"/>
  <c r="E31" i="1" l="1"/>
  <c r="E52" i="1"/>
  <c r="E53" i="1" s="1"/>
  <c r="E64" i="1"/>
  <c r="E66" i="1"/>
  <c r="E63" i="1"/>
  <c r="E61" i="1"/>
  <c r="E55" i="1"/>
  <c r="E57" i="1" s="1"/>
  <c r="E23" i="1" l="1"/>
  <c r="M20" i="1"/>
  <c r="E51" i="1" l="1"/>
  <c r="E67" i="1" s="1"/>
  <c r="D51" i="1"/>
  <c r="D50" i="1"/>
  <c r="E49" i="1"/>
  <c r="D49" i="1"/>
  <c r="E47" i="1"/>
  <c r="D48" i="1"/>
  <c r="D47" i="1"/>
  <c r="E29" i="1"/>
  <c r="E30" i="1" s="1"/>
  <c r="E69" i="1" l="1"/>
  <c r="E68" i="1"/>
  <c r="D44" i="1"/>
  <c r="D37" i="1"/>
  <c r="E42" i="1" l="1"/>
  <c r="E41" i="1"/>
  <c r="E45" i="1" s="1"/>
  <c r="D45" i="1"/>
  <c r="D43" i="1"/>
  <c r="D42" i="1"/>
  <c r="D41" i="1"/>
  <c r="D40" i="1"/>
  <c r="D39" i="1"/>
  <c r="D38" i="1"/>
  <c r="D36" i="1"/>
  <c r="E35" i="1"/>
  <c r="D35" i="1"/>
  <c r="E34" i="1"/>
  <c r="E38" i="1" s="1"/>
  <c r="D34" i="1"/>
  <c r="D33" i="1"/>
  <c r="D32" i="1"/>
  <c r="D30" i="1"/>
  <c r="D29" i="1"/>
  <c r="E17" i="1"/>
  <c r="E18" i="1" s="1"/>
  <c r="D17" i="1"/>
  <c r="D18" i="1"/>
  <c r="D13" i="1"/>
  <c r="D28" i="1"/>
  <c r="E27" i="1"/>
  <c r="D26" i="1"/>
  <c r="D27" i="1"/>
  <c r="E25" i="1"/>
  <c r="D24" i="1"/>
  <c r="D25" i="1"/>
  <c r="D23" i="1"/>
  <c r="D22" i="1"/>
  <c r="D19" i="1"/>
  <c r="D20" i="1"/>
  <c r="D15" i="1"/>
  <c r="D14" i="1"/>
  <c r="D12" i="1"/>
  <c r="D11" i="1"/>
  <c r="D10" i="1"/>
  <c r="D8" i="1"/>
  <c r="D9" i="1"/>
  <c r="D7" i="1"/>
  <c r="E36" i="1" l="1"/>
  <c r="E43" i="1"/>
</calcChain>
</file>

<file path=xl/sharedStrings.xml><?xml version="1.0" encoding="utf-8"?>
<sst xmlns="http://schemas.openxmlformats.org/spreadsheetml/2006/main" count="186" uniqueCount="127">
  <si>
    <t>UCC28064 Controller Setup Tool</t>
  </si>
  <si>
    <t>Design Parameters</t>
  </si>
  <si>
    <t>Units</t>
  </si>
  <si>
    <t>Minimum RMS Input Voltage</t>
  </si>
  <si>
    <r>
      <t>V</t>
    </r>
    <r>
      <rPr>
        <vertAlign val="subscript"/>
        <sz val="11"/>
        <color theme="1"/>
        <rFont val="Calibri"/>
        <family val="2"/>
        <scheme val="minor"/>
      </rPr>
      <t>IN_MIN</t>
    </r>
  </si>
  <si>
    <t>V</t>
  </si>
  <si>
    <t>Maximum RMS Input Voltage</t>
  </si>
  <si>
    <r>
      <t>V</t>
    </r>
    <r>
      <rPr>
        <vertAlign val="subscript"/>
        <sz val="11"/>
        <color theme="1"/>
        <rFont val="Calibri"/>
        <family val="2"/>
        <scheme val="minor"/>
      </rPr>
      <t>IN_MAX</t>
    </r>
  </si>
  <si>
    <r>
      <t>f</t>
    </r>
    <r>
      <rPr>
        <vertAlign val="subscript"/>
        <sz val="11"/>
        <color theme="1"/>
        <rFont val="Calibri"/>
        <family val="2"/>
        <scheme val="minor"/>
      </rPr>
      <t>LINE_MIN</t>
    </r>
  </si>
  <si>
    <r>
      <t>f</t>
    </r>
    <r>
      <rPr>
        <vertAlign val="subscript"/>
        <sz val="11"/>
        <color theme="1"/>
        <rFont val="Calibri"/>
        <family val="2"/>
        <scheme val="minor"/>
      </rPr>
      <t>LINE_MAX</t>
    </r>
  </si>
  <si>
    <t>Maximum Line Frequency</t>
  </si>
  <si>
    <t>Maximum Output Power</t>
  </si>
  <si>
    <r>
      <t>P</t>
    </r>
    <r>
      <rPr>
        <vertAlign val="subscript"/>
        <sz val="11"/>
        <color theme="1"/>
        <rFont val="Calibri"/>
        <family val="2"/>
        <scheme val="minor"/>
      </rPr>
      <t>OUT_MAX</t>
    </r>
  </si>
  <si>
    <t>h</t>
  </si>
  <si>
    <t>Minimum Switching Frequency</t>
  </si>
  <si>
    <r>
      <t>f</t>
    </r>
    <r>
      <rPr>
        <vertAlign val="subscript"/>
        <sz val="11"/>
        <color theme="1"/>
        <rFont val="Calibri"/>
        <family val="2"/>
        <scheme val="minor"/>
      </rPr>
      <t>SW_MIN</t>
    </r>
  </si>
  <si>
    <r>
      <t>V</t>
    </r>
    <r>
      <rPr>
        <vertAlign val="subscript"/>
        <sz val="11"/>
        <color theme="1"/>
        <rFont val="Calibri"/>
        <family val="2"/>
        <scheme val="minor"/>
      </rPr>
      <t>OUT</t>
    </r>
  </si>
  <si>
    <t>Hz</t>
  </si>
  <si>
    <t>W</t>
  </si>
  <si>
    <t>%</t>
  </si>
  <si>
    <t>kHz</t>
  </si>
  <si>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H</t>
    </r>
  </si>
  <si>
    <r>
      <t>Tol_L</t>
    </r>
    <r>
      <rPr>
        <vertAlign val="subscript"/>
        <sz val="11"/>
        <color theme="1"/>
        <rFont val="Calibri"/>
        <family val="2"/>
        <scheme val="minor"/>
      </rPr>
      <t>BOOST</t>
    </r>
  </si>
  <si>
    <r>
      <t>L</t>
    </r>
    <r>
      <rPr>
        <vertAlign val="subscript"/>
        <sz val="11"/>
        <color theme="1"/>
        <rFont val="Calibri"/>
        <family val="2"/>
        <scheme val="minor"/>
      </rPr>
      <t>BOOST</t>
    </r>
  </si>
  <si>
    <r>
      <t>N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/ N</t>
    </r>
    <r>
      <rPr>
        <vertAlign val="subscript"/>
        <sz val="11"/>
        <color theme="1"/>
        <rFont val="Calibri"/>
        <family val="2"/>
        <scheme val="minor"/>
      </rPr>
      <t>S</t>
    </r>
  </si>
  <si>
    <t>BRWN Hyst.</t>
  </si>
  <si>
    <r>
      <t>k</t>
    </r>
    <r>
      <rPr>
        <sz val="11"/>
        <color theme="1"/>
        <rFont val="Symbol"/>
        <family val="1"/>
        <charset val="2"/>
      </rPr>
      <t>W</t>
    </r>
  </si>
  <si>
    <t>PF</t>
  </si>
  <si>
    <r>
      <t>I</t>
    </r>
    <r>
      <rPr>
        <vertAlign val="subscript"/>
        <sz val="11"/>
        <color theme="1"/>
        <rFont val="Calibri"/>
        <family val="2"/>
        <scheme val="minor"/>
      </rPr>
      <t>IN_RMS</t>
    </r>
  </si>
  <si>
    <t>A</t>
  </si>
  <si>
    <r>
      <t>I</t>
    </r>
    <r>
      <rPr>
        <vertAlign val="subscript"/>
        <sz val="11"/>
        <color theme="1"/>
        <rFont val="Calibri"/>
        <family val="2"/>
        <scheme val="minor"/>
      </rPr>
      <t>L1_PK</t>
    </r>
    <r>
      <rPr>
        <sz val="11"/>
        <color theme="1"/>
        <rFont val="Calibri"/>
        <family val="2"/>
        <scheme val="minor"/>
      </rPr>
      <t xml:space="preserve"> &amp; I</t>
    </r>
    <r>
      <rPr>
        <vertAlign val="subscript"/>
        <sz val="11"/>
        <color theme="1"/>
        <rFont val="Calibri"/>
        <family val="2"/>
        <scheme val="minor"/>
      </rPr>
      <t>L2_PK</t>
    </r>
  </si>
  <si>
    <r>
      <t>t</t>
    </r>
    <r>
      <rPr>
        <vertAlign val="subscript"/>
        <sz val="11"/>
        <color theme="1"/>
        <rFont val="Calibri"/>
        <family val="2"/>
        <scheme val="minor"/>
      </rPr>
      <t>ONMAX</t>
    </r>
  </si>
  <si>
    <t>µs</t>
  </si>
  <si>
    <t>RTSET</t>
  </si>
  <si>
    <r>
      <t>P</t>
    </r>
    <r>
      <rPr>
        <vertAlign val="subscript"/>
        <sz val="11"/>
        <color theme="1"/>
        <rFont val="Calibri"/>
        <family val="2"/>
        <scheme val="minor"/>
      </rPr>
      <t>PHB_L</t>
    </r>
  </si>
  <si>
    <r>
      <t>P</t>
    </r>
    <r>
      <rPr>
        <vertAlign val="subscript"/>
        <sz val="11"/>
        <color theme="1"/>
        <rFont val="Calibri"/>
        <family val="2"/>
        <scheme val="minor"/>
      </rPr>
      <t>PHB_H</t>
    </r>
  </si>
  <si>
    <r>
      <t>V</t>
    </r>
    <r>
      <rPr>
        <vertAlign val="subscript"/>
        <sz val="11"/>
        <color theme="1"/>
        <rFont val="Calibri"/>
        <family val="2"/>
        <scheme val="minor"/>
      </rPr>
      <t>PHB_L</t>
    </r>
  </si>
  <si>
    <r>
      <t>V</t>
    </r>
    <r>
      <rPr>
        <vertAlign val="subscript"/>
        <sz val="11"/>
        <color theme="1"/>
        <rFont val="Calibri"/>
        <family val="2"/>
        <scheme val="minor"/>
      </rPr>
      <t>PHB_H</t>
    </r>
  </si>
  <si>
    <r>
      <t>P</t>
    </r>
    <r>
      <rPr>
        <vertAlign val="subscript"/>
        <sz val="11"/>
        <color theme="1"/>
        <rFont val="Calibri"/>
        <family val="2"/>
        <scheme val="minor"/>
      </rPr>
      <t>BRST_L</t>
    </r>
  </si>
  <si>
    <r>
      <t>P</t>
    </r>
    <r>
      <rPr>
        <vertAlign val="subscript"/>
        <sz val="11"/>
        <color theme="1"/>
        <rFont val="Calibri"/>
        <family val="2"/>
        <scheme val="minor"/>
      </rPr>
      <t>BRST_H</t>
    </r>
  </si>
  <si>
    <r>
      <t>V</t>
    </r>
    <r>
      <rPr>
        <vertAlign val="subscript"/>
        <sz val="11"/>
        <color theme="1"/>
        <rFont val="Calibri"/>
        <family val="2"/>
        <scheme val="minor"/>
      </rPr>
      <t>BRST_L</t>
    </r>
  </si>
  <si>
    <r>
      <t>V</t>
    </r>
    <r>
      <rPr>
        <vertAlign val="subscript"/>
        <sz val="11"/>
        <color theme="1"/>
        <rFont val="Calibri"/>
        <family val="2"/>
        <scheme val="minor"/>
      </rPr>
      <t>BRST_H</t>
    </r>
  </si>
  <si>
    <r>
      <t>R</t>
    </r>
    <r>
      <rPr>
        <vertAlign val="subscript"/>
        <sz val="11"/>
        <color theme="1"/>
        <rFont val="Calibri"/>
        <family val="2"/>
        <scheme val="minor"/>
      </rPr>
      <t>ZA</t>
    </r>
    <r>
      <rPr>
        <sz val="11"/>
        <color theme="1"/>
        <rFont val="Calibri"/>
        <family val="2"/>
        <scheme val="minor"/>
      </rPr>
      <t xml:space="preserve"> and R</t>
    </r>
    <r>
      <rPr>
        <vertAlign val="subscript"/>
        <sz val="11"/>
        <color theme="1"/>
        <rFont val="Calibri"/>
        <family val="2"/>
        <scheme val="minor"/>
      </rPr>
      <t>ZB</t>
    </r>
  </si>
  <si>
    <r>
      <rPr>
        <sz val="11"/>
        <color theme="1"/>
        <rFont val="Calibri"/>
        <family val="2"/>
      </rPr>
      <t>μ</t>
    </r>
    <r>
      <rPr>
        <sz val="11"/>
        <color theme="1"/>
        <rFont val="Calibri"/>
        <family val="2"/>
        <scheme val="minor"/>
      </rPr>
      <t>F</t>
    </r>
  </si>
  <si>
    <r>
      <t>C</t>
    </r>
    <r>
      <rPr>
        <vertAlign val="subscript"/>
        <sz val="11"/>
        <color theme="1"/>
        <rFont val="Calibri"/>
        <family val="2"/>
        <scheme val="minor"/>
      </rPr>
      <t>OUT_MIN</t>
    </r>
  </si>
  <si>
    <r>
      <t>C</t>
    </r>
    <r>
      <rPr>
        <vertAlign val="subscript"/>
        <sz val="11"/>
        <color theme="1"/>
        <rFont val="Calibri"/>
        <family val="2"/>
        <scheme val="minor"/>
      </rPr>
      <t>OUT</t>
    </r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</si>
  <si>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</rPr>
      <t>V</t>
    </r>
    <r>
      <rPr>
        <vertAlign val="subscript"/>
        <sz val="11"/>
        <color theme="1"/>
        <rFont val="Calibri"/>
        <family val="2"/>
      </rPr>
      <t>OUT</t>
    </r>
  </si>
  <si>
    <t>RA</t>
  </si>
  <si>
    <t>RB</t>
  </si>
  <si>
    <r>
      <t>R</t>
    </r>
    <r>
      <rPr>
        <vertAlign val="subscript"/>
        <sz val="11"/>
        <color theme="1"/>
        <rFont val="Calibri"/>
        <family val="2"/>
        <scheme val="minor"/>
      </rPr>
      <t>D_PHB</t>
    </r>
  </si>
  <si>
    <r>
      <t>R</t>
    </r>
    <r>
      <rPr>
        <vertAlign val="subscript"/>
        <sz val="11"/>
        <color theme="1"/>
        <rFont val="Calibri"/>
        <family val="2"/>
        <scheme val="minor"/>
      </rPr>
      <t>U_PHB</t>
    </r>
  </si>
  <si>
    <r>
      <t>R</t>
    </r>
    <r>
      <rPr>
        <vertAlign val="subscript"/>
        <sz val="11"/>
        <color theme="1"/>
        <rFont val="Calibri"/>
        <family val="2"/>
        <scheme val="minor"/>
      </rPr>
      <t>D_BRST</t>
    </r>
  </si>
  <si>
    <r>
      <t>R</t>
    </r>
    <r>
      <rPr>
        <vertAlign val="subscript"/>
        <sz val="11"/>
        <color theme="1"/>
        <rFont val="Calibri"/>
        <family val="2"/>
        <scheme val="minor"/>
      </rPr>
      <t>U_BRST</t>
    </r>
  </si>
  <si>
    <t>Minimum Line Frequency</t>
  </si>
  <si>
    <t>Full Load Efficiency</t>
  </si>
  <si>
    <t xml:space="preserve">Power Factor </t>
  </si>
  <si>
    <t>Output Voltage</t>
  </si>
  <si>
    <t>Input RMS Current</t>
  </si>
  <si>
    <t>Peak Inductor Current</t>
  </si>
  <si>
    <t>Inductance Tolerance</t>
  </si>
  <si>
    <t>Selected Inductance Value</t>
  </si>
  <si>
    <t>Inductor Turns Ratio</t>
  </si>
  <si>
    <t>Brownout Hysteresis</t>
  </si>
  <si>
    <t>VINAC Upper Resistor</t>
  </si>
  <si>
    <t>Selected VINAC Upper Resistor</t>
  </si>
  <si>
    <t>VINAC Lower Resistor</t>
  </si>
  <si>
    <t>Selected VINAC lower Resistor</t>
  </si>
  <si>
    <t>Maximum Switch ON time</t>
  </si>
  <si>
    <t>TSET Resistor Value</t>
  </si>
  <si>
    <t>Low Limit for Single Phase Operation</t>
  </si>
  <si>
    <t>High Limit for Single Phase Operation</t>
  </si>
  <si>
    <t>Lower Resistor Value on PHB pin</t>
  </si>
  <si>
    <t>Selected Lower Resistor on PHB</t>
  </si>
  <si>
    <t>Upper Resistor Value on PHB pin</t>
  </si>
  <si>
    <t>Low Limit for Burst Operation</t>
  </si>
  <si>
    <t>High Limit for Burst Operation</t>
  </si>
  <si>
    <t>PHB pin  Voltage for Lower Limit</t>
  </si>
  <si>
    <t>PHB pin Voltage for Higher Limit</t>
  </si>
  <si>
    <t>BRST pin Voltage for Lower Limit</t>
  </si>
  <si>
    <t>BRST pin Voltage for Higher Limit</t>
  </si>
  <si>
    <t>Lower Resistor Value on BRST pin</t>
  </si>
  <si>
    <t>Selected Lower Resistor Value on BRST</t>
  </si>
  <si>
    <t>Upper Resistor Value on BRST pin</t>
  </si>
  <si>
    <t>Variable</t>
  </si>
  <si>
    <r>
      <rPr>
        <b/>
        <sz val="14"/>
        <color rgb="FFFF0000"/>
        <rFont val="Calibri"/>
        <family val="2"/>
        <scheme val="minor"/>
      </rPr>
      <t>Calculated results will be in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RED</t>
    </r>
  </si>
  <si>
    <t>Enter design parameters into shaded cells</t>
  </si>
  <si>
    <t>Minimum Resistance on ZCDA and ZCDB</t>
  </si>
  <si>
    <t>Selected Resistance on ZCDA and ZCDB</t>
  </si>
  <si>
    <t>Minimum Value of Output Capacitance</t>
  </si>
  <si>
    <t>Selected Value of Output Capacitance</t>
  </si>
  <si>
    <t>Output Voltage Ripple</t>
  </si>
  <si>
    <t>Upper HVSEN Resistor</t>
  </si>
  <si>
    <r>
      <t>R</t>
    </r>
    <r>
      <rPr>
        <vertAlign val="subscript"/>
        <sz val="11"/>
        <color theme="1"/>
        <rFont val="Calibri"/>
        <family val="2"/>
        <scheme val="minor"/>
      </rPr>
      <t>E</t>
    </r>
  </si>
  <si>
    <t>Ω</t>
  </si>
  <si>
    <t>Selected Upper HVSEN Resistor</t>
  </si>
  <si>
    <t>Lower HVSEN Resistor</t>
  </si>
  <si>
    <r>
      <t>R</t>
    </r>
    <r>
      <rPr>
        <vertAlign val="subscript"/>
        <sz val="11"/>
        <color theme="1"/>
        <rFont val="Calibri"/>
        <family val="2"/>
        <scheme val="minor"/>
      </rPr>
      <t>F</t>
    </r>
  </si>
  <si>
    <t>Selected Lower HVSEN Resistor</t>
  </si>
  <si>
    <t>Upper VSEN Resistor</t>
  </si>
  <si>
    <r>
      <t>R</t>
    </r>
    <r>
      <rPr>
        <vertAlign val="subscript"/>
        <sz val="11"/>
        <color theme="1"/>
        <rFont val="Calibri"/>
        <family val="2"/>
        <scheme val="minor"/>
      </rPr>
      <t>C</t>
    </r>
  </si>
  <si>
    <t>Lower VSEN Resistor</t>
  </si>
  <si>
    <r>
      <t>R</t>
    </r>
    <r>
      <rPr>
        <vertAlign val="subscript"/>
        <sz val="11"/>
        <color theme="1"/>
        <rFont val="Calibri"/>
        <family val="2"/>
        <scheme val="minor"/>
      </rPr>
      <t>D</t>
    </r>
  </si>
  <si>
    <t>Selected Lower VSEN Resistor</t>
  </si>
  <si>
    <t>OVP Trip Point</t>
  </si>
  <si>
    <r>
      <t>V</t>
    </r>
    <r>
      <rPr>
        <vertAlign val="subscript"/>
        <sz val="11"/>
        <color theme="1"/>
        <rFont val="Calibri"/>
        <family val="2"/>
        <scheme val="minor"/>
      </rPr>
      <t>OVP</t>
    </r>
  </si>
  <si>
    <t>Load Impedance</t>
  </si>
  <si>
    <r>
      <t>R</t>
    </r>
    <r>
      <rPr>
        <vertAlign val="subscript"/>
        <sz val="11"/>
        <color theme="1"/>
        <rFont val="Calibri"/>
        <family val="2"/>
        <scheme val="minor"/>
      </rPr>
      <t>load</t>
    </r>
  </si>
  <si>
    <t>Voltage Amplifier Feedback Resistor</t>
  </si>
  <si>
    <t>Voltage Amplifier Feedback Capacitor</t>
  </si>
  <si>
    <t>Select Standard Value</t>
  </si>
  <si>
    <r>
      <t>R</t>
    </r>
    <r>
      <rPr>
        <vertAlign val="subscript"/>
        <sz val="11"/>
        <color theme="1"/>
        <rFont val="Calibri"/>
        <family val="2"/>
        <scheme val="minor"/>
      </rPr>
      <t>Z</t>
    </r>
  </si>
  <si>
    <r>
      <t>C</t>
    </r>
    <r>
      <rPr>
        <vertAlign val="subscript"/>
        <sz val="11"/>
        <color theme="1"/>
        <rFont val="Calibri"/>
        <family val="2"/>
        <scheme val="minor"/>
      </rPr>
      <t>Z</t>
    </r>
  </si>
  <si>
    <r>
      <t>C</t>
    </r>
    <r>
      <rPr>
        <vertAlign val="subscript"/>
        <sz val="11"/>
        <color theme="1"/>
        <rFont val="Calibri"/>
        <family val="2"/>
        <scheme val="minor"/>
      </rPr>
      <t>P</t>
    </r>
  </si>
  <si>
    <t>F</t>
  </si>
  <si>
    <t>Fail Safe Voltage</t>
  </si>
  <si>
    <r>
      <t>V</t>
    </r>
    <r>
      <rPr>
        <vertAlign val="subscript"/>
        <sz val="11"/>
        <color theme="1"/>
        <rFont val="Calibri"/>
        <family val="2"/>
        <scheme val="minor"/>
      </rPr>
      <t>OV_FAILSAFE</t>
    </r>
  </si>
  <si>
    <t>Low Frequency Output Current Ripple</t>
  </si>
  <si>
    <t>High Frequency Output Current Ripple</t>
  </si>
  <si>
    <r>
      <t>I</t>
    </r>
    <r>
      <rPr>
        <vertAlign val="subscript"/>
        <sz val="11"/>
        <color theme="1"/>
        <rFont val="Calibri"/>
        <family val="2"/>
      </rPr>
      <t>COUT_LF</t>
    </r>
  </si>
  <si>
    <r>
      <t>I</t>
    </r>
    <r>
      <rPr>
        <vertAlign val="subscript"/>
        <sz val="11"/>
        <color theme="1"/>
        <rFont val="Calibri"/>
        <family val="2"/>
      </rPr>
      <t>COUT_HF</t>
    </r>
  </si>
  <si>
    <t xml:space="preserve">Current Sense Resistor </t>
  </si>
  <si>
    <r>
      <t>R</t>
    </r>
    <r>
      <rPr>
        <vertAlign val="subscript"/>
        <sz val="11"/>
        <color theme="1"/>
        <rFont val="Calibri"/>
        <family val="2"/>
        <scheme val="minor"/>
      </rPr>
      <t>S</t>
    </r>
  </si>
  <si>
    <t>Inductance Value based on Min Line</t>
  </si>
  <si>
    <t>Inductance Value based on Max Line</t>
  </si>
  <si>
    <t>uH</t>
  </si>
  <si>
    <t>L1, L2  at Vmin</t>
  </si>
  <si>
    <t>L1,L2  at Vmax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</si>
</sst>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sz val="11"/>
      <color theme="1"/>
      <name val="Calibri"/>
      <family val="2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</font>
    <font>
      <b/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3" borderId="3" xfId="0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 vertical="center"/>
    </xf>
    <xf numFmtId="0" fontId="0" fillId="3" borderId="2" xfId="0" applyFill="1" applyBorder="1"/>
    <xf numFmtId="0" fontId="0" fillId="3" borderId="0" xfId="0" applyFill="1" applyBorder="1" applyAlignment="1">
      <alignment horizontal="right" vertical="center"/>
    </xf>
    <xf numFmtId="0" fontId="0" fillId="3" borderId="5" xfId="0" applyFill="1" applyBorder="1"/>
    <xf numFmtId="0" fontId="7" fillId="3" borderId="0" xfId="0" applyFont="1" applyFill="1" applyBorder="1"/>
    <xf numFmtId="0" fontId="0" fillId="3" borderId="0" xfId="0" applyFill="1" applyBorder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2" fontId="5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2" fontId="0" fillId="4" borderId="4" xfId="0" applyNumberFormat="1" applyFont="1" applyFill="1" applyBorder="1" applyAlignment="1">
      <alignment horizontal="center" vertical="center"/>
    </xf>
    <xf numFmtId="2" fontId="0" fillId="2" borderId="4" xfId="0" applyNumberFormat="1" applyFont="1" applyFill="1" applyBorder="1" applyAlignment="1">
      <alignment horizontal="center" vertical="center"/>
    </xf>
    <xf numFmtId="1" fontId="0" fillId="4" borderId="4" xfId="0" applyNumberFormat="1" applyFont="1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3" borderId="6" xfId="0" applyFill="1" applyBorder="1"/>
    <xf numFmtId="0" fontId="0" fillId="3" borderId="3" xfId="0" applyFill="1" applyBorder="1" applyAlignment="1">
      <alignment horizontal="center" vertical="center"/>
    </xf>
    <xf numFmtId="0" fontId="4" fillId="3" borderId="7" xfId="0" applyFont="1" applyFill="1" applyBorder="1"/>
    <xf numFmtId="0" fontId="0" fillId="3" borderId="9" xfId="0" applyFill="1" applyBorder="1"/>
    <xf numFmtId="0" fontId="0" fillId="3" borderId="13" xfId="0" applyFill="1" applyBorder="1"/>
    <xf numFmtId="0" fontId="8" fillId="3" borderId="11" xfId="0" applyFont="1" applyFill="1" applyBorder="1" applyAlignment="1">
      <alignment horizontal="left" vertical="center"/>
    </xf>
    <xf numFmtId="0" fontId="0" fillId="3" borderId="9" xfId="0" applyFill="1" applyBorder="1" applyAlignment="1">
      <alignment horizontal="center"/>
    </xf>
    <xf numFmtId="0" fontId="0" fillId="3" borderId="4" xfId="0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0" fillId="3" borderId="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9" fillId="3" borderId="11" xfId="0" applyFont="1" applyFill="1" applyBorder="1"/>
    <xf numFmtId="0" fontId="9" fillId="3" borderId="12" xfId="0" applyFont="1" applyFill="1" applyBorder="1"/>
    <xf numFmtId="0" fontId="9" fillId="3" borderId="11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/>
    </xf>
    <xf numFmtId="0" fontId="8" fillId="2" borderId="11" xfId="0" applyFont="1" applyFill="1" applyBorder="1"/>
    <xf numFmtId="11" fontId="11" fillId="4" borderId="4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1" fontId="0" fillId="2" borderId="4" xfId="0" applyNumberFormat="1" applyFill="1" applyBorder="1" applyAlignment="1">
      <alignment horizontal="center" vertical="center"/>
    </xf>
    <xf numFmtId="11" fontId="0" fillId="4" borderId="4" xfId="0" applyNumberForma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/>
    </xf>
    <xf numFmtId="0" fontId="4" fillId="3" borderId="0" xfId="0" applyFont="1" applyFill="1" applyBorder="1"/>
    <xf numFmtId="11" fontId="0" fillId="2" borderId="13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/>
    </xf>
    <xf numFmtId="0" fontId="8" fillId="3" borderId="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4" fontId="0" fillId="3" borderId="16" xfId="0" applyNumberFormat="1" applyFill="1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0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32</xdr:row>
      <xdr:rowOff>147587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599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25"/>
  <sheetViews>
    <sheetView tabSelected="1" topLeftCell="A19" workbookViewId="0">
      <selection activeCell="B15" sqref="B15"/>
    </sheetView>
  </sheetViews>
  <sheetFormatPr defaultColWidth="9.109375" defaultRowHeight="14.4" x14ac:dyDescent="0.3"/>
  <cols>
    <col min="1" max="1" width="11.88671875" style="9" customWidth="1"/>
    <col min="2" max="2" width="46.109375" style="9" bestFit="1" customWidth="1"/>
    <col min="3" max="3" width="16.109375" style="9" customWidth="1"/>
    <col min="4" max="4" width="5.33203125" style="9" hidden="1" customWidth="1"/>
    <col min="5" max="5" width="12" style="10" bestFit="1" customWidth="1"/>
    <col min="6" max="16384" width="9.109375" style="9"/>
  </cols>
  <sheetData>
    <row r="1" spans="1:75" ht="15" thickBot="1" x14ac:dyDescent="0.35">
      <c r="A1" s="2"/>
      <c r="B1" s="6"/>
      <c r="C1" s="2"/>
      <c r="D1" s="2"/>
      <c r="E1" s="3"/>
      <c r="F1" s="6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</row>
    <row r="2" spans="1:75" ht="21" x14ac:dyDescent="0.4">
      <c r="A2" s="44"/>
      <c r="B2" s="25" t="s">
        <v>0</v>
      </c>
      <c r="C2" s="56">
        <v>43244</v>
      </c>
      <c r="D2" s="57"/>
      <c r="E2" s="57"/>
      <c r="F2" s="58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</row>
    <row r="3" spans="1:75" ht="18" x14ac:dyDescent="0.35">
      <c r="A3" s="2"/>
      <c r="B3" s="38" t="s">
        <v>85</v>
      </c>
      <c r="C3" s="59"/>
      <c r="D3" s="60"/>
      <c r="E3" s="60"/>
      <c r="F3" s="6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</row>
    <row r="4" spans="1:75" ht="18" x14ac:dyDescent="0.3">
      <c r="A4" s="5"/>
      <c r="B4" s="28" t="s">
        <v>84</v>
      </c>
      <c r="C4" s="59"/>
      <c r="D4" s="60"/>
      <c r="E4" s="60"/>
      <c r="F4" s="6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</row>
    <row r="5" spans="1:75" ht="18.600000000000001" thickBot="1" x14ac:dyDescent="0.35">
      <c r="A5" s="5"/>
      <c r="B5" s="47"/>
      <c r="C5" s="59"/>
      <c r="D5" s="62"/>
      <c r="E5" s="62"/>
      <c r="F5" s="6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</row>
    <row r="6" spans="1:75" ht="18.600000000000001" thickBot="1" x14ac:dyDescent="0.4">
      <c r="A6" s="3"/>
      <c r="B6" s="52" t="s">
        <v>1</v>
      </c>
      <c r="C6" s="54" t="s">
        <v>83</v>
      </c>
      <c r="D6" s="54"/>
      <c r="E6" s="55"/>
      <c r="F6" s="53" t="s">
        <v>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</row>
    <row r="7" spans="1:75" ht="18" x14ac:dyDescent="0.35">
      <c r="A7" s="5"/>
      <c r="B7" s="48" t="s">
        <v>3</v>
      </c>
      <c r="C7" s="49" t="s">
        <v>4</v>
      </c>
      <c r="D7" s="24" t="str">
        <f>"="</f>
        <v>=</v>
      </c>
      <c r="E7" s="50">
        <v>85</v>
      </c>
      <c r="F7" s="51" t="s">
        <v>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</row>
    <row r="8" spans="1:75" ht="18" x14ac:dyDescent="0.35">
      <c r="A8" s="5"/>
      <c r="B8" s="36" t="s">
        <v>6</v>
      </c>
      <c r="C8" s="30" t="s">
        <v>7</v>
      </c>
      <c r="D8" s="10" t="str">
        <f t="shared" ref="D8:D51" si="0">"="</f>
        <v>=</v>
      </c>
      <c r="E8" s="12">
        <v>265</v>
      </c>
      <c r="F8" s="29" t="s">
        <v>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</row>
    <row r="9" spans="1:75" ht="18" x14ac:dyDescent="0.35">
      <c r="A9" s="5"/>
      <c r="B9" s="36" t="s">
        <v>53</v>
      </c>
      <c r="C9" s="30" t="s">
        <v>8</v>
      </c>
      <c r="D9" s="10" t="str">
        <f t="shared" si="0"/>
        <v>=</v>
      </c>
      <c r="E9" s="12">
        <v>47</v>
      </c>
      <c r="F9" s="29" t="s">
        <v>17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</row>
    <row r="10" spans="1:75" ht="18" x14ac:dyDescent="0.35">
      <c r="A10" s="5"/>
      <c r="B10" s="36" t="s">
        <v>10</v>
      </c>
      <c r="C10" s="30" t="s">
        <v>9</v>
      </c>
      <c r="D10" s="10" t="str">
        <f t="shared" si="0"/>
        <v>=</v>
      </c>
      <c r="E10" s="12">
        <v>63</v>
      </c>
      <c r="F10" s="29" t="s">
        <v>17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</row>
    <row r="11" spans="1:75" ht="18" x14ac:dyDescent="0.35">
      <c r="A11" s="5"/>
      <c r="B11" s="36" t="s">
        <v>11</v>
      </c>
      <c r="C11" s="30" t="s">
        <v>12</v>
      </c>
      <c r="D11" s="10" t="str">
        <f t="shared" si="0"/>
        <v>=</v>
      </c>
      <c r="E11" s="12">
        <v>300</v>
      </c>
      <c r="F11" s="29" t="s">
        <v>18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</row>
    <row r="12" spans="1:75" ht="18" x14ac:dyDescent="0.3">
      <c r="A12" s="5"/>
      <c r="B12" s="36" t="s">
        <v>54</v>
      </c>
      <c r="C12" s="31" t="s">
        <v>13</v>
      </c>
      <c r="D12" s="10" t="str">
        <f t="shared" si="0"/>
        <v>=</v>
      </c>
      <c r="E12" s="12">
        <v>92</v>
      </c>
      <c r="F12" s="29" t="s">
        <v>19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</row>
    <row r="13" spans="1:75" ht="18" x14ac:dyDescent="0.3">
      <c r="A13" s="5"/>
      <c r="B13" s="36" t="s">
        <v>55</v>
      </c>
      <c r="C13" s="32" t="s">
        <v>27</v>
      </c>
      <c r="D13" s="10" t="str">
        <f t="shared" si="0"/>
        <v>=</v>
      </c>
      <c r="E13" s="12">
        <v>0.98</v>
      </c>
      <c r="F13" s="29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ht="18" x14ac:dyDescent="0.35">
      <c r="A14" s="5"/>
      <c r="B14" s="36" t="s">
        <v>14</v>
      </c>
      <c r="C14" s="30" t="s">
        <v>15</v>
      </c>
      <c r="D14" s="10" t="str">
        <f t="shared" si="0"/>
        <v>=</v>
      </c>
      <c r="E14" s="12">
        <v>40</v>
      </c>
      <c r="F14" s="29" t="s">
        <v>20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ht="18" x14ac:dyDescent="0.35">
      <c r="A15" s="5"/>
      <c r="B15" s="36" t="s">
        <v>56</v>
      </c>
      <c r="C15" s="30" t="s">
        <v>16</v>
      </c>
      <c r="D15" s="10" t="str">
        <f t="shared" si="0"/>
        <v>=</v>
      </c>
      <c r="E15" s="12">
        <v>390</v>
      </c>
      <c r="F15" s="29" t="s">
        <v>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ht="18" x14ac:dyDescent="0.3">
      <c r="A16" s="5"/>
      <c r="B16" s="36"/>
      <c r="C16" s="30"/>
      <c r="D16" s="10"/>
      <c r="E16" s="13"/>
      <c r="F16" s="29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ht="18" x14ac:dyDescent="0.3">
      <c r="A17" s="5"/>
      <c r="B17" s="36" t="s">
        <v>57</v>
      </c>
      <c r="C17" s="11" t="s">
        <v>28</v>
      </c>
      <c r="D17" s="10" t="str">
        <f t="shared" si="0"/>
        <v>=</v>
      </c>
      <c r="E17" s="14">
        <f>100*POUT_MAX/(VINMIN*E13*Efficiency)</f>
        <v>3.9146093219896656</v>
      </c>
      <c r="F17" s="29" t="s">
        <v>29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ht="18" x14ac:dyDescent="0.35">
      <c r="A18" s="5"/>
      <c r="B18" s="36" t="s">
        <v>58</v>
      </c>
      <c r="C18" s="30" t="s">
        <v>30</v>
      </c>
      <c r="D18" s="10" t="str">
        <f t="shared" si="0"/>
        <v>=</v>
      </c>
      <c r="E18" s="14">
        <f>SQRT(2)*E17</f>
        <v>5.5360935945499312</v>
      </c>
      <c r="F18" s="29" t="s">
        <v>29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ht="18" x14ac:dyDescent="0.35">
      <c r="A19" s="5"/>
      <c r="B19" s="36" t="s">
        <v>59</v>
      </c>
      <c r="C19" s="30" t="s">
        <v>22</v>
      </c>
      <c r="D19" s="10" t="str">
        <f t="shared" si="0"/>
        <v>=</v>
      </c>
      <c r="E19" s="12">
        <v>10</v>
      </c>
      <c r="F19" s="29" t="s">
        <v>19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ht="18" x14ac:dyDescent="0.3">
      <c r="A20" s="5"/>
      <c r="B20" s="36" t="s">
        <v>122</v>
      </c>
      <c r="C20" s="30" t="s">
        <v>125</v>
      </c>
      <c r="D20" s="10" t="str">
        <f t="shared" si="0"/>
        <v>=</v>
      </c>
      <c r="E20" s="15">
        <f>ROUND(1000*(1-E19/100)*((VINMIN^2*(VOUT-SQRT(2)*VINMIN)*(Efficiency/100))/(fSWMIN*POUT_MAX*VOUT)),0)</f>
        <v>345</v>
      </c>
      <c r="F20" s="29" t="s">
        <v>21</v>
      </c>
      <c r="G20" s="2"/>
      <c r="H20" s="2"/>
      <c r="I20" s="2"/>
      <c r="J20" s="2"/>
      <c r="K20" s="2"/>
      <c r="L20" s="2"/>
      <c r="M20" s="7">
        <f>ROUND(1000*(1-E19/100)*MIN((VINMIN^2*(VOUT-SQRT(2)*VINMIN)*(Efficiency/100))/(fSWMIN*POUT_MAX*VOUT),((VINMAX*VINMAX)*(VOUT-(SQRT(2)*VINMAX))*(Efficiency/100))/(fSWMIN*POUT_MAX*VOUT)),0)</f>
        <v>189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ht="18" x14ac:dyDescent="0.3">
      <c r="A21" s="5"/>
      <c r="B21" s="36" t="s">
        <v>123</v>
      </c>
      <c r="C21" s="30" t="s">
        <v>126</v>
      </c>
      <c r="D21" s="10"/>
      <c r="E21" s="15">
        <f>ROUND(1000*(1-E19/100)*((VINMAX^2*(VOUT-SQRT(2)*VINMAX)*(Efficiency/100))/(fSWMIN*POUT_MAX*VOUT)),0)</f>
        <v>189</v>
      </c>
      <c r="F21" s="29" t="s">
        <v>124</v>
      </c>
      <c r="G21" s="2"/>
      <c r="H21" s="2"/>
      <c r="I21" s="2"/>
      <c r="J21" s="2"/>
      <c r="K21" s="2"/>
      <c r="L21" s="2"/>
      <c r="M21" s="7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ht="18" x14ac:dyDescent="0.3">
      <c r="A22" s="5"/>
      <c r="B22" s="36" t="s">
        <v>60</v>
      </c>
      <c r="C22" s="11" t="s">
        <v>23</v>
      </c>
      <c r="D22" s="10" t="str">
        <f t="shared" si="0"/>
        <v>=</v>
      </c>
      <c r="E22" s="12">
        <v>330</v>
      </c>
      <c r="F22" s="29" t="s">
        <v>21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ht="18" x14ac:dyDescent="0.3">
      <c r="A23" s="5"/>
      <c r="B23" s="36" t="s">
        <v>61</v>
      </c>
      <c r="C23" s="11" t="s">
        <v>24</v>
      </c>
      <c r="D23" s="10" t="str">
        <f t="shared" si="0"/>
        <v>=</v>
      </c>
      <c r="E23" s="15">
        <f>ROUND(((VOUT-VINMAX*SQRT(2))/2),1)</f>
        <v>7.6</v>
      </c>
      <c r="F23" s="29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ht="18" x14ac:dyDescent="0.3">
      <c r="A24" s="5"/>
      <c r="B24" s="36" t="s">
        <v>62</v>
      </c>
      <c r="C24" s="11" t="s">
        <v>25</v>
      </c>
      <c r="D24" s="10" t="str">
        <f t="shared" si="0"/>
        <v>=</v>
      </c>
      <c r="E24" s="12">
        <v>15</v>
      </c>
      <c r="F24" s="29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</row>
    <row r="25" spans="1:75" ht="18" x14ac:dyDescent="0.3">
      <c r="A25" s="5"/>
      <c r="B25" s="36" t="s">
        <v>63</v>
      </c>
      <c r="C25" s="11" t="s">
        <v>47</v>
      </c>
      <c r="D25" s="10" t="str">
        <f t="shared" si="0"/>
        <v>=</v>
      </c>
      <c r="E25" s="15">
        <f>E24/0.002</f>
        <v>7500</v>
      </c>
      <c r="F25" s="29" t="s">
        <v>26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</row>
    <row r="26" spans="1:75" ht="18" x14ac:dyDescent="0.3">
      <c r="A26" s="5"/>
      <c r="B26" s="36" t="s">
        <v>64</v>
      </c>
      <c r="C26" s="11" t="s">
        <v>47</v>
      </c>
      <c r="D26" s="10" t="str">
        <f t="shared" si="0"/>
        <v>=</v>
      </c>
      <c r="E26" s="12">
        <v>8610</v>
      </c>
      <c r="F26" s="29" t="s">
        <v>26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</row>
    <row r="27" spans="1:75" ht="18" x14ac:dyDescent="0.3">
      <c r="A27" s="5"/>
      <c r="B27" s="36" t="s">
        <v>65</v>
      </c>
      <c r="C27" s="11" t="s">
        <v>48</v>
      </c>
      <c r="D27" s="10" t="str">
        <f t="shared" si="0"/>
        <v>=</v>
      </c>
      <c r="E27" s="14">
        <f>(1.4*E26)/((VINMIN*SQRT(2)*0.75)-1.4)</f>
        <v>135.81036139481381</v>
      </c>
      <c r="F27" s="29" t="s">
        <v>26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</row>
    <row r="28" spans="1:75" ht="18" x14ac:dyDescent="0.3">
      <c r="A28" s="5"/>
      <c r="B28" s="36" t="s">
        <v>66</v>
      </c>
      <c r="C28" s="11" t="s">
        <v>48</v>
      </c>
      <c r="D28" s="10" t="str">
        <f t="shared" si="0"/>
        <v>=</v>
      </c>
      <c r="E28" s="12">
        <v>130</v>
      </c>
      <c r="F28" s="29" t="s">
        <v>26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</row>
    <row r="29" spans="1:75" ht="18" x14ac:dyDescent="0.3">
      <c r="A29" s="5"/>
      <c r="B29" s="36" t="s">
        <v>67</v>
      </c>
      <c r="C29" s="11" t="s">
        <v>31</v>
      </c>
      <c r="D29" s="10" t="str">
        <f t="shared" si="0"/>
        <v>=</v>
      </c>
      <c r="E29" s="14">
        <f>CEILING((LBOOST_SEL*POUT_MAX)/((1-(TOL_LB_PERCENT/100))*(Efficiency/100)*PF*VINMIN*VINMIN),0.1)</f>
        <v>16.900000000000002</v>
      </c>
      <c r="F29" s="29" t="s">
        <v>32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</row>
    <row r="30" spans="1:75" ht="18" x14ac:dyDescent="0.3">
      <c r="A30" s="5"/>
      <c r="B30" s="36" t="s">
        <v>68</v>
      </c>
      <c r="C30" s="11" t="s">
        <v>33</v>
      </c>
      <c r="D30" s="10" t="str">
        <f t="shared" si="0"/>
        <v>=</v>
      </c>
      <c r="E30" s="14">
        <f>(5/(SQRT(2)*VINMIN*(E28/(E28+E26))))^2*(133/E29)*0.36*4.825</f>
        <v>106.89886079803208</v>
      </c>
      <c r="F30" s="29" t="s">
        <v>26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</row>
    <row r="31" spans="1:75" ht="18" x14ac:dyDescent="0.35">
      <c r="A31" s="5"/>
      <c r="B31" s="36" t="s">
        <v>120</v>
      </c>
      <c r="C31" s="30" t="s">
        <v>121</v>
      </c>
      <c r="D31" s="10"/>
      <c r="E31" s="19">
        <f>0.2/((POUT_MAX*2*1.2*(2)^0.5)/(0.01*Efficiency*VINMIN))</f>
        <v>1.535993063577445E-2</v>
      </c>
      <c r="F31" s="43" t="s">
        <v>93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</row>
    <row r="32" spans="1:75" ht="18" x14ac:dyDescent="0.3">
      <c r="A32" s="5"/>
      <c r="B32" s="36" t="s">
        <v>69</v>
      </c>
      <c r="C32" s="11" t="s">
        <v>34</v>
      </c>
      <c r="D32" s="10" t="str">
        <f t="shared" si="0"/>
        <v>=</v>
      </c>
      <c r="E32" s="12">
        <v>100</v>
      </c>
      <c r="F32" s="29" t="s">
        <v>18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</row>
    <row r="33" spans="1:75" ht="18" x14ac:dyDescent="0.3">
      <c r="A33" s="5"/>
      <c r="B33" s="36" t="s">
        <v>70</v>
      </c>
      <c r="C33" s="11" t="s">
        <v>35</v>
      </c>
      <c r="D33" s="10" t="str">
        <f t="shared" si="0"/>
        <v>=</v>
      </c>
      <c r="E33" s="12">
        <v>115</v>
      </c>
      <c r="F33" s="29" t="s">
        <v>18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</row>
    <row r="34" spans="1:75" ht="18" x14ac:dyDescent="0.3">
      <c r="A34" s="5"/>
      <c r="B34" s="36" t="s">
        <v>76</v>
      </c>
      <c r="C34" s="11" t="s">
        <v>36</v>
      </c>
      <c r="D34" s="10" t="str">
        <f t="shared" si="0"/>
        <v>=</v>
      </c>
      <c r="E34" s="14">
        <f>(E32/POUT_MAX)*4.825+0.125</f>
        <v>1.7333333333333334</v>
      </c>
      <c r="F34" s="29" t="s">
        <v>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</row>
    <row r="35" spans="1:75" ht="18" x14ac:dyDescent="0.3">
      <c r="A35" s="5"/>
      <c r="B35" s="36" t="s">
        <v>77</v>
      </c>
      <c r="C35" s="11" t="s">
        <v>37</v>
      </c>
      <c r="D35" s="10" t="str">
        <f t="shared" si="0"/>
        <v>=</v>
      </c>
      <c r="E35" s="14">
        <f>(E33/POUT_MAX)*4.825+0.125</f>
        <v>1.9745833333333336</v>
      </c>
      <c r="F35" s="29" t="s">
        <v>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</row>
    <row r="36" spans="1:75" ht="18" x14ac:dyDescent="0.3">
      <c r="A36" s="5"/>
      <c r="B36" s="36" t="s">
        <v>71</v>
      </c>
      <c r="C36" s="11" t="s">
        <v>49</v>
      </c>
      <c r="D36" s="10" t="str">
        <f t="shared" si="0"/>
        <v>=</v>
      </c>
      <c r="E36" s="16">
        <f>1000*(E35-E34)/3</f>
        <v>80.416666666666728</v>
      </c>
      <c r="F36" s="29" t="s">
        <v>26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</row>
    <row r="37" spans="1:75" ht="18" x14ac:dyDescent="0.3">
      <c r="A37" s="5"/>
      <c r="B37" s="36" t="s">
        <v>72</v>
      </c>
      <c r="C37" s="11" t="s">
        <v>49</v>
      </c>
      <c r="D37" s="10" t="str">
        <f t="shared" si="0"/>
        <v>=</v>
      </c>
      <c r="E37" s="17">
        <v>100</v>
      </c>
      <c r="F37" s="29" t="s">
        <v>26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</row>
    <row r="38" spans="1:75" ht="18" x14ac:dyDescent="0.3">
      <c r="A38" s="5"/>
      <c r="B38" s="36" t="s">
        <v>73</v>
      </c>
      <c r="C38" s="11" t="s">
        <v>50</v>
      </c>
      <c r="D38" s="10" t="str">
        <f t="shared" si="0"/>
        <v>=</v>
      </c>
      <c r="E38" s="18">
        <f>E37*(1-E34/6)*(6/E34)</f>
        <v>246.1538461538461</v>
      </c>
      <c r="F38" s="29" t="s">
        <v>26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</row>
    <row r="39" spans="1:75" ht="18" x14ac:dyDescent="0.3">
      <c r="A39" s="5"/>
      <c r="B39" s="36" t="s">
        <v>74</v>
      </c>
      <c r="C39" s="11" t="s">
        <v>38</v>
      </c>
      <c r="D39" s="10" t="str">
        <f t="shared" si="0"/>
        <v>=</v>
      </c>
      <c r="E39" s="12">
        <v>40</v>
      </c>
      <c r="F39" s="29" t="s">
        <v>18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</row>
    <row r="40" spans="1:75" ht="18" x14ac:dyDescent="0.3">
      <c r="A40" s="5"/>
      <c r="B40" s="36" t="s">
        <v>75</v>
      </c>
      <c r="C40" s="11" t="s">
        <v>39</v>
      </c>
      <c r="D40" s="10" t="str">
        <f t="shared" si="0"/>
        <v>=</v>
      </c>
      <c r="E40" s="12">
        <v>45</v>
      </c>
      <c r="F40" s="29" t="s">
        <v>18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</row>
    <row r="41" spans="1:75" ht="18" x14ac:dyDescent="0.3">
      <c r="A41" s="5"/>
      <c r="B41" s="36" t="s">
        <v>78</v>
      </c>
      <c r="C41" s="11" t="s">
        <v>40</v>
      </c>
      <c r="D41" s="10" t="str">
        <f t="shared" si="0"/>
        <v>=</v>
      </c>
      <c r="E41" s="19">
        <f>(E39/POUT_MAX)*4.825+0.125</f>
        <v>0.76833333333333331</v>
      </c>
      <c r="F41" s="29" t="s">
        <v>5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</row>
    <row r="42" spans="1:75" ht="18" x14ac:dyDescent="0.3">
      <c r="A42" s="5"/>
      <c r="B42" s="36" t="s">
        <v>79</v>
      </c>
      <c r="C42" s="11" t="s">
        <v>41</v>
      </c>
      <c r="D42" s="10" t="str">
        <f t="shared" si="0"/>
        <v>=</v>
      </c>
      <c r="E42" s="19">
        <f>(E40/POUT_MAX)*4.825+0.125</f>
        <v>0.84875</v>
      </c>
      <c r="F42" s="29" t="s">
        <v>5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</row>
    <row r="43" spans="1:75" ht="18" x14ac:dyDescent="0.3">
      <c r="A43" s="5"/>
      <c r="B43" s="36" t="s">
        <v>80</v>
      </c>
      <c r="C43" s="11" t="s">
        <v>51</v>
      </c>
      <c r="D43" s="10" t="str">
        <f t="shared" si="0"/>
        <v>=</v>
      </c>
      <c r="E43" s="16">
        <f>1000*(E42-E41)/3</f>
        <v>26.805555555555561</v>
      </c>
      <c r="F43" s="29" t="s">
        <v>26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</row>
    <row r="44" spans="1:75" ht="18" x14ac:dyDescent="0.3">
      <c r="A44" s="5"/>
      <c r="B44" s="36" t="s">
        <v>81</v>
      </c>
      <c r="C44" s="11" t="s">
        <v>51</v>
      </c>
      <c r="D44" s="10" t="str">
        <f t="shared" si="0"/>
        <v>=</v>
      </c>
      <c r="E44" s="17">
        <v>27</v>
      </c>
      <c r="F44" s="29" t="s">
        <v>26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</row>
    <row r="45" spans="1:75" ht="18" x14ac:dyDescent="0.3">
      <c r="A45" s="5"/>
      <c r="B45" s="36" t="s">
        <v>82</v>
      </c>
      <c r="C45" s="11" t="s">
        <v>52</v>
      </c>
      <c r="D45" s="10" t="str">
        <f t="shared" si="0"/>
        <v>=</v>
      </c>
      <c r="E45" s="16">
        <f>E44*(1-E41/6)*(6/E41)</f>
        <v>183.84598698481562</v>
      </c>
      <c r="F45" s="29" t="s">
        <v>26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</row>
    <row r="46" spans="1:75" ht="18" x14ac:dyDescent="0.35">
      <c r="A46" s="2"/>
      <c r="B46" s="37"/>
      <c r="C46" s="30"/>
      <c r="D46" s="10"/>
      <c r="F46" s="29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</row>
    <row r="47" spans="1:75" ht="18" x14ac:dyDescent="0.35">
      <c r="A47" s="8"/>
      <c r="B47" s="37" t="s">
        <v>86</v>
      </c>
      <c r="C47" s="11" t="s">
        <v>42</v>
      </c>
      <c r="D47" s="10" t="str">
        <f t="shared" si="0"/>
        <v>=</v>
      </c>
      <c r="E47" s="20">
        <f>VOUT/(3*E23)</f>
        <v>17.10526315789474</v>
      </c>
      <c r="F47" s="29" t="s">
        <v>26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</row>
    <row r="48" spans="1:75" ht="18" x14ac:dyDescent="0.3">
      <c r="A48" s="5"/>
      <c r="B48" s="36" t="s">
        <v>87</v>
      </c>
      <c r="C48" s="11" t="s">
        <v>42</v>
      </c>
      <c r="D48" s="10" t="str">
        <f t="shared" si="0"/>
        <v>=</v>
      </c>
      <c r="E48" s="21">
        <v>20</v>
      </c>
      <c r="F48" s="29" t="s">
        <v>26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</row>
    <row r="49" spans="1:75" ht="18" x14ac:dyDescent="0.3">
      <c r="A49" s="5"/>
      <c r="B49" s="36" t="s">
        <v>88</v>
      </c>
      <c r="C49" s="11" t="s">
        <v>44</v>
      </c>
      <c r="D49" s="10" t="str">
        <f t="shared" si="0"/>
        <v>=</v>
      </c>
      <c r="E49" s="22">
        <f>1000000*POUT_MAX/((0.85)*(Efficiency/100)*PF*VOUT*VOUT*0.065*6.28*FLINEMIN)</f>
        <v>134.14928231982893</v>
      </c>
      <c r="F49" s="29" t="s">
        <v>43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</row>
    <row r="50" spans="1:75" ht="18" x14ac:dyDescent="0.3">
      <c r="A50" s="5"/>
      <c r="B50" s="36" t="s">
        <v>89</v>
      </c>
      <c r="C50" s="11" t="s">
        <v>45</v>
      </c>
      <c r="D50" s="10" t="str">
        <f t="shared" si="0"/>
        <v>=</v>
      </c>
      <c r="E50" s="21">
        <v>200</v>
      </c>
      <c r="F50" s="29" t="s">
        <v>43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</row>
    <row r="51" spans="1:75" ht="18" x14ac:dyDescent="0.35">
      <c r="A51" s="5"/>
      <c r="B51" s="36" t="s">
        <v>90</v>
      </c>
      <c r="C51" s="33" t="s">
        <v>46</v>
      </c>
      <c r="D51" s="10" t="str">
        <f t="shared" si="0"/>
        <v>=</v>
      </c>
      <c r="E51" s="20">
        <f>1000000*POUT_MAX/(6.28*FLINEMIN*VOUT*E50)</f>
        <v>13.030742126825608</v>
      </c>
      <c r="F51" s="29" t="s">
        <v>5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</row>
    <row r="52" spans="1:75" ht="18" x14ac:dyDescent="0.35">
      <c r="A52" s="5"/>
      <c r="B52" s="36" t="s">
        <v>116</v>
      </c>
      <c r="C52" s="33" t="s">
        <v>118</v>
      </c>
      <c r="D52" s="10"/>
      <c r="E52" s="20">
        <f>POUT_MAX/(Efficiency*0.01*VOUT*(2)^0.5)</f>
        <v>0.59122640567437079</v>
      </c>
      <c r="F52" s="29" t="s">
        <v>29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</row>
    <row r="53" spans="1:75" ht="18" x14ac:dyDescent="0.35">
      <c r="A53" s="5"/>
      <c r="B53" s="36" t="s">
        <v>117</v>
      </c>
      <c r="C53" s="33" t="s">
        <v>119</v>
      </c>
      <c r="D53" s="10"/>
      <c r="E53" s="20">
        <f>((((POUT_MAX*2*(2)^0.5)/(2*0.01*Efficiency*VINMIN))*((4*1.414*VINMIN)/(9*3.141*VOUT))^0.5)^2-(E52)^2)^0.5</f>
        <v>0.96643665340526763</v>
      </c>
      <c r="F53" s="29" t="s">
        <v>29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</row>
    <row r="54" spans="1:75" ht="18" x14ac:dyDescent="0.35">
      <c r="A54" s="2"/>
      <c r="B54" s="37"/>
      <c r="F54" s="26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</row>
    <row r="55" spans="1:75" ht="18" x14ac:dyDescent="0.35">
      <c r="A55" s="2"/>
      <c r="B55" s="37" t="s">
        <v>91</v>
      </c>
      <c r="C55" s="9" t="s">
        <v>92</v>
      </c>
      <c r="E55" s="39">
        <f>(99/(12*10^-6))</f>
        <v>8250000</v>
      </c>
      <c r="F55" s="40" t="s">
        <v>93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</row>
    <row r="56" spans="1:75" ht="18" x14ac:dyDescent="0.35">
      <c r="A56" s="2"/>
      <c r="B56" s="37" t="s">
        <v>94</v>
      </c>
      <c r="C56" s="9" t="s">
        <v>92</v>
      </c>
      <c r="E56" s="41">
        <v>8220000</v>
      </c>
      <c r="F56" s="40" t="s">
        <v>93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</row>
    <row r="57" spans="1:75" ht="18" x14ac:dyDescent="0.35">
      <c r="A57" s="2"/>
      <c r="B57" s="37" t="s">
        <v>95</v>
      </c>
      <c r="C57" s="9" t="s">
        <v>96</v>
      </c>
      <c r="E57" s="42">
        <f>2.5*(1/(((VOUT*0.9-2.5)/E55)-12*10^-6))</f>
        <v>82665.330661322645</v>
      </c>
      <c r="F57" s="40" t="s">
        <v>93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</row>
    <row r="58" spans="1:75" ht="18" x14ac:dyDescent="0.35">
      <c r="A58" s="2"/>
      <c r="B58" s="37" t="s">
        <v>97</v>
      </c>
      <c r="C58" s="9" t="s">
        <v>96</v>
      </c>
      <c r="E58" s="41">
        <v>82500</v>
      </c>
      <c r="F58" s="40" t="s">
        <v>93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</row>
    <row r="59" spans="1:75" ht="18" x14ac:dyDescent="0.35">
      <c r="A59" s="2"/>
      <c r="B59" s="37"/>
      <c r="F59" s="26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</row>
    <row r="60" spans="1:75" ht="18" x14ac:dyDescent="0.35">
      <c r="A60" s="2"/>
      <c r="B60" s="37" t="s">
        <v>98</v>
      </c>
      <c r="C60" s="9" t="s">
        <v>99</v>
      </c>
      <c r="E60" s="41">
        <v>8490000</v>
      </c>
      <c r="F60" s="43" t="s">
        <v>93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</row>
    <row r="61" spans="1:75" ht="18" x14ac:dyDescent="0.35">
      <c r="A61" s="2"/>
      <c r="B61" s="37" t="s">
        <v>100</v>
      </c>
      <c r="C61" s="9" t="s">
        <v>101</v>
      </c>
      <c r="E61" s="42">
        <f>6*E60/(VOUT-6)</f>
        <v>132656.25</v>
      </c>
      <c r="F61" s="43" t="s">
        <v>93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</row>
    <row r="62" spans="1:75" ht="18" x14ac:dyDescent="0.35">
      <c r="A62" s="2"/>
      <c r="B62" s="37" t="s">
        <v>102</v>
      </c>
      <c r="C62" s="9" t="s">
        <v>101</v>
      </c>
      <c r="E62" s="41">
        <v>133000</v>
      </c>
      <c r="F62" s="43" t="s">
        <v>93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</row>
    <row r="63" spans="1:75" ht="18" x14ac:dyDescent="0.35">
      <c r="A63" s="2"/>
      <c r="B63" s="37" t="s">
        <v>103</v>
      </c>
      <c r="C63" s="9" t="s">
        <v>104</v>
      </c>
      <c r="E63" s="22">
        <f>6.48*(E60+E62)/E62</f>
        <v>420.1281203007519</v>
      </c>
      <c r="F63" s="29" t="s">
        <v>5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</row>
    <row r="64" spans="1:75" ht="18" x14ac:dyDescent="0.35">
      <c r="A64" s="2"/>
      <c r="B64" s="37" t="s">
        <v>114</v>
      </c>
      <c r="C64" s="9" t="s">
        <v>115</v>
      </c>
      <c r="E64" s="22">
        <f>4.87*(E56+E58)/E58</f>
        <v>490.09909090909093</v>
      </c>
      <c r="F64" s="29" t="s">
        <v>5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</row>
    <row r="65" spans="1:75" ht="18" x14ac:dyDescent="0.35">
      <c r="A65" s="2"/>
      <c r="B65" s="37"/>
      <c r="F65" s="26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</row>
    <row r="66" spans="1:75" ht="18" x14ac:dyDescent="0.35">
      <c r="A66" s="2"/>
      <c r="B66" s="37" t="s">
        <v>105</v>
      </c>
      <c r="C66" s="9" t="s">
        <v>106</v>
      </c>
      <c r="E66" s="20">
        <f>(VOUT^2)/(POUT_MAX*Efficiency*0.01)</f>
        <v>551.08695652173913</v>
      </c>
      <c r="F66" s="43" t="s">
        <v>93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</row>
    <row r="67" spans="1:75" ht="18" x14ac:dyDescent="0.35">
      <c r="A67" s="2"/>
      <c r="B67" s="37" t="s">
        <v>107</v>
      </c>
      <c r="C67" s="9" t="s">
        <v>110</v>
      </c>
      <c r="E67" s="42">
        <f>0.1/(E51*(ROUND((6/VOUT),3))*0.00005)</f>
        <v>10232.213333333331</v>
      </c>
      <c r="F67" s="43" t="s">
        <v>93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</row>
    <row r="68" spans="1:75" ht="18" x14ac:dyDescent="0.35">
      <c r="A68" s="2"/>
      <c r="B68" s="34" t="s">
        <v>108</v>
      </c>
      <c r="C68" s="9" t="s">
        <v>111</v>
      </c>
      <c r="E68" s="42">
        <f>1/(2*PI()*(47/5)*E67)</f>
        <v>1.6547130491809252E-6</v>
      </c>
      <c r="F68" s="29" t="s">
        <v>113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</row>
    <row r="69" spans="1:75" ht="18" x14ac:dyDescent="0.35">
      <c r="A69" s="2"/>
      <c r="B69" s="34" t="s">
        <v>108</v>
      </c>
      <c r="C69" s="9" t="s">
        <v>112</v>
      </c>
      <c r="E69" s="42">
        <f>1/(2*3.14*((fSWMIN*1000/2)*E67))</f>
        <v>7.7810960152222976E-10</v>
      </c>
      <c r="F69" s="29" t="s">
        <v>113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</row>
    <row r="70" spans="1:75" ht="18" x14ac:dyDescent="0.35">
      <c r="A70" s="2"/>
      <c r="B70" s="34" t="s">
        <v>109</v>
      </c>
      <c r="C70" s="9" t="s">
        <v>110</v>
      </c>
      <c r="E70" s="41">
        <v>10000</v>
      </c>
      <c r="F70" s="43" t="s">
        <v>93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</row>
    <row r="71" spans="1:75" ht="18" x14ac:dyDescent="0.35">
      <c r="A71" s="2"/>
      <c r="B71" s="34" t="s">
        <v>109</v>
      </c>
      <c r="C71" s="9" t="s">
        <v>111</v>
      </c>
      <c r="E71" s="41">
        <v>2.2000000000000001E-6</v>
      </c>
      <c r="F71" s="29" t="s">
        <v>113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</row>
    <row r="72" spans="1:75" ht="18.600000000000001" thickBot="1" x14ac:dyDescent="0.4">
      <c r="A72" s="2"/>
      <c r="B72" s="35" t="s">
        <v>109</v>
      </c>
      <c r="C72" s="27" t="s">
        <v>112</v>
      </c>
      <c r="D72" s="27"/>
      <c r="E72" s="45">
        <v>1.0000000000000001E-9</v>
      </c>
      <c r="F72" s="46" t="s">
        <v>113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</row>
    <row r="73" spans="1:75" x14ac:dyDescent="0.3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</row>
    <row r="74" spans="1:75" x14ac:dyDescent="0.3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</row>
    <row r="75" spans="1:75" x14ac:dyDescent="0.3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</row>
    <row r="76" spans="1:75" x14ac:dyDescent="0.3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</row>
    <row r="77" spans="1:75" x14ac:dyDescent="0.3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</row>
    <row r="78" spans="1:75" x14ac:dyDescent="0.3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</row>
    <row r="79" spans="1:75" x14ac:dyDescent="0.3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</row>
    <row r="80" spans="1:75" x14ac:dyDescent="0.3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</row>
    <row r="81" spans="1:75" x14ac:dyDescent="0.3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</row>
    <row r="82" spans="1:75" x14ac:dyDescent="0.3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</row>
    <row r="83" spans="1:75" x14ac:dyDescent="0.3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</row>
    <row r="84" spans="1:75" x14ac:dyDescent="0.3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</row>
    <row r="85" spans="1:75" x14ac:dyDescent="0.3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</row>
    <row r="86" spans="1:75" x14ac:dyDescent="0.3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</row>
    <row r="87" spans="1:75" x14ac:dyDescent="0.3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</row>
    <row r="88" spans="1:75" x14ac:dyDescent="0.3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</row>
    <row r="89" spans="1:75" x14ac:dyDescent="0.3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</row>
    <row r="90" spans="1:75" x14ac:dyDescent="0.3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</row>
    <row r="91" spans="1:75" x14ac:dyDescent="0.3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</row>
    <row r="92" spans="1:75" x14ac:dyDescent="0.3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</row>
    <row r="93" spans="1:75" x14ac:dyDescent="0.3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</row>
    <row r="94" spans="1:75" x14ac:dyDescent="0.3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</row>
    <row r="95" spans="1:75" x14ac:dyDescent="0.3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</row>
    <row r="96" spans="1:75" x14ac:dyDescent="0.3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</row>
    <row r="97" spans="1:75" x14ac:dyDescent="0.3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</row>
    <row r="98" spans="1:75" x14ac:dyDescent="0.3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</row>
    <row r="99" spans="1:75" x14ac:dyDescent="0.3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</row>
    <row r="100" spans="1:75" x14ac:dyDescent="0.3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</row>
    <row r="101" spans="1:75" x14ac:dyDescent="0.3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</row>
    <row r="102" spans="1:75" x14ac:dyDescent="0.3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</row>
    <row r="103" spans="1:75" x14ac:dyDescent="0.3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</row>
    <row r="104" spans="1:75" x14ac:dyDescent="0.3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</row>
    <row r="105" spans="1:75" x14ac:dyDescent="0.3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</row>
    <row r="106" spans="1:75" x14ac:dyDescent="0.3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</row>
    <row r="107" spans="1:75" x14ac:dyDescent="0.3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</row>
    <row r="108" spans="1:75" x14ac:dyDescent="0.3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</row>
    <row r="109" spans="1:75" x14ac:dyDescent="0.3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</row>
    <row r="110" spans="1:75" x14ac:dyDescent="0.3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</row>
    <row r="111" spans="1:75" x14ac:dyDescent="0.3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</row>
    <row r="112" spans="1:75" x14ac:dyDescent="0.3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</row>
    <row r="113" spans="1:75" x14ac:dyDescent="0.3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</row>
    <row r="114" spans="1:75" x14ac:dyDescent="0.3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</row>
    <row r="115" spans="1:75" x14ac:dyDescent="0.3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</row>
    <row r="116" spans="1:75" x14ac:dyDescent="0.3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</row>
    <row r="117" spans="1:75" x14ac:dyDescent="0.3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</row>
    <row r="118" spans="1:75" x14ac:dyDescent="0.3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</row>
    <row r="119" spans="1:75" x14ac:dyDescent="0.3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</row>
    <row r="120" spans="1:75" x14ac:dyDescent="0.3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</row>
    <row r="121" spans="1:75" x14ac:dyDescent="0.3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</row>
    <row r="122" spans="1:75" x14ac:dyDescent="0.3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</row>
    <row r="123" spans="1:75" x14ac:dyDescent="0.3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</row>
    <row r="124" spans="1:75" x14ac:dyDescent="0.3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</row>
    <row r="125" spans="1:75" x14ac:dyDescent="0.3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</row>
    <row r="126" spans="1:75" x14ac:dyDescent="0.3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</row>
    <row r="127" spans="1:75" x14ac:dyDescent="0.3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</row>
    <row r="128" spans="1:75" x14ac:dyDescent="0.3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</row>
    <row r="129" spans="1:75" x14ac:dyDescent="0.3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</row>
    <row r="130" spans="1:75" x14ac:dyDescent="0.3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</row>
    <row r="131" spans="1:75" x14ac:dyDescent="0.3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</row>
    <row r="132" spans="1:75" x14ac:dyDescent="0.3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</row>
    <row r="133" spans="1:75" x14ac:dyDescent="0.3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</row>
    <row r="134" spans="1:75" x14ac:dyDescent="0.3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</row>
    <row r="135" spans="1:75" x14ac:dyDescent="0.3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</row>
    <row r="136" spans="1:75" x14ac:dyDescent="0.3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</row>
    <row r="137" spans="1:75" x14ac:dyDescent="0.3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</row>
    <row r="138" spans="1:75" x14ac:dyDescent="0.3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</row>
    <row r="139" spans="1:75" x14ac:dyDescent="0.3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</row>
    <row r="140" spans="1:75" x14ac:dyDescent="0.3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</row>
    <row r="141" spans="1:75" x14ac:dyDescent="0.3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</row>
    <row r="142" spans="1:75" x14ac:dyDescent="0.3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</row>
    <row r="143" spans="1:75" x14ac:dyDescent="0.3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</row>
    <row r="144" spans="1:75" x14ac:dyDescent="0.3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</row>
    <row r="145" spans="1:75" x14ac:dyDescent="0.3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</row>
    <row r="146" spans="1:75" x14ac:dyDescent="0.3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</row>
    <row r="147" spans="1:75" x14ac:dyDescent="0.3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</row>
    <row r="148" spans="1:75" x14ac:dyDescent="0.3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</row>
    <row r="149" spans="1:75" x14ac:dyDescent="0.3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</row>
    <row r="150" spans="1:75" x14ac:dyDescent="0.3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</row>
    <row r="151" spans="1:75" x14ac:dyDescent="0.3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</row>
    <row r="152" spans="1:75" x14ac:dyDescent="0.3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</row>
    <row r="153" spans="1:75" x14ac:dyDescent="0.3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</row>
    <row r="154" spans="1:75" x14ac:dyDescent="0.3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</row>
    <row r="155" spans="1:75" x14ac:dyDescent="0.3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</row>
    <row r="156" spans="1:75" x14ac:dyDescent="0.3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</row>
    <row r="157" spans="1:75" x14ac:dyDescent="0.3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</row>
    <row r="158" spans="1:75" x14ac:dyDescent="0.3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</row>
    <row r="159" spans="1:75" x14ac:dyDescent="0.3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</row>
    <row r="160" spans="1:75" x14ac:dyDescent="0.3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</row>
    <row r="161" spans="1:75" x14ac:dyDescent="0.3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</row>
    <row r="162" spans="1:75" x14ac:dyDescent="0.3">
      <c r="A162" s="4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</row>
    <row r="163" spans="1:75" x14ac:dyDescent="0.3">
      <c r="A163" s="23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</row>
    <row r="164" spans="1:75" x14ac:dyDescent="0.3">
      <c r="A164" s="23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</row>
    <row r="165" spans="1:75" x14ac:dyDescent="0.3">
      <c r="A165" s="23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</row>
    <row r="166" spans="1:75" x14ac:dyDescent="0.3">
      <c r="A166" s="23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</row>
    <row r="167" spans="1:75" x14ac:dyDescent="0.3">
      <c r="A167" s="23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</row>
    <row r="168" spans="1:75" x14ac:dyDescent="0.3">
      <c r="A168" s="23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</row>
    <row r="169" spans="1:75" x14ac:dyDescent="0.3">
      <c r="A169" s="23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</row>
    <row r="170" spans="1:75" x14ac:dyDescent="0.3">
      <c r="A170" s="23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</row>
    <row r="171" spans="1:75" x14ac:dyDescent="0.3">
      <c r="A171" s="23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</row>
    <row r="172" spans="1:75" x14ac:dyDescent="0.3">
      <c r="A172" s="23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</row>
    <row r="173" spans="1:75" x14ac:dyDescent="0.3">
      <c r="A173" s="23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</row>
    <row r="174" spans="1:75" x14ac:dyDescent="0.3">
      <c r="A174" s="23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</row>
    <row r="175" spans="1:75" x14ac:dyDescent="0.3">
      <c r="A175" s="23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</row>
    <row r="176" spans="1:75" x14ac:dyDescent="0.3">
      <c r="A176" s="23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</row>
    <row r="177" spans="1:75" x14ac:dyDescent="0.3">
      <c r="A177" s="23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</row>
    <row r="178" spans="1:75" x14ac:dyDescent="0.3">
      <c r="A178" s="23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</row>
    <row r="179" spans="1:75" x14ac:dyDescent="0.3">
      <c r="A179" s="23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</row>
    <row r="180" spans="1:75" x14ac:dyDescent="0.3">
      <c r="A180" s="23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</row>
    <row r="181" spans="1:75" x14ac:dyDescent="0.3">
      <c r="A181" s="23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</row>
    <row r="182" spans="1:75" x14ac:dyDescent="0.3">
      <c r="A182" s="23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</row>
    <row r="183" spans="1:75" x14ac:dyDescent="0.3">
      <c r="A183" s="23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</row>
    <row r="184" spans="1:75" x14ac:dyDescent="0.3">
      <c r="A184" s="23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</row>
    <row r="185" spans="1:75" x14ac:dyDescent="0.3">
      <c r="A185" s="23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</row>
    <row r="186" spans="1:75" x14ac:dyDescent="0.3">
      <c r="A186" s="23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</row>
    <row r="187" spans="1:75" x14ac:dyDescent="0.3">
      <c r="A187" s="23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</row>
    <row r="188" spans="1:75" x14ac:dyDescent="0.3">
      <c r="A188" s="23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</row>
    <row r="189" spans="1:75" x14ac:dyDescent="0.3">
      <c r="A189" s="23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</row>
    <row r="190" spans="1:75" x14ac:dyDescent="0.3">
      <c r="A190" s="23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</row>
    <row r="191" spans="1:75" x14ac:dyDescent="0.3">
      <c r="A191" s="23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</row>
    <row r="192" spans="1:75" x14ac:dyDescent="0.3">
      <c r="A192" s="23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</row>
    <row r="193" spans="1:75" x14ac:dyDescent="0.3">
      <c r="A193" s="23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</row>
    <row r="194" spans="1:75" x14ac:dyDescent="0.3">
      <c r="A194" s="23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</row>
    <row r="195" spans="1:75" x14ac:dyDescent="0.3">
      <c r="A195" s="23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</row>
    <row r="196" spans="1:75" x14ac:dyDescent="0.3">
      <c r="A196" s="23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</row>
    <row r="197" spans="1:75" x14ac:dyDescent="0.3">
      <c r="A197" s="23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</row>
    <row r="198" spans="1:75" x14ac:dyDescent="0.3">
      <c r="A198" s="23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</row>
    <row r="199" spans="1:75" x14ac:dyDescent="0.3">
      <c r="A199" s="23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</row>
    <row r="200" spans="1:75" x14ac:dyDescent="0.3">
      <c r="A200" s="23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</row>
    <row r="201" spans="1:75" x14ac:dyDescent="0.3">
      <c r="A201" s="23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</row>
    <row r="202" spans="1:75" x14ac:dyDescent="0.3">
      <c r="A202" s="23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</row>
    <row r="203" spans="1:75" x14ac:dyDescent="0.3">
      <c r="A203" s="23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</row>
    <row r="204" spans="1:75" x14ac:dyDescent="0.3">
      <c r="A204" s="23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</row>
    <row r="205" spans="1:75" x14ac:dyDescent="0.3">
      <c r="A205" s="23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</row>
    <row r="206" spans="1:75" x14ac:dyDescent="0.3">
      <c r="B206" s="1"/>
      <c r="C206" s="1"/>
      <c r="D206" s="1"/>
      <c r="E206" s="24"/>
      <c r="F206" s="4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</row>
    <row r="207" spans="1:75" x14ac:dyDescent="0.3">
      <c r="F207" s="23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</row>
    <row r="208" spans="1:75" x14ac:dyDescent="0.3">
      <c r="F208" s="23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</row>
    <row r="209" spans="6:75" x14ac:dyDescent="0.3">
      <c r="F209" s="23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</row>
    <row r="210" spans="6:75" x14ac:dyDescent="0.3">
      <c r="F210" s="23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</row>
    <row r="211" spans="6:75" x14ac:dyDescent="0.3">
      <c r="F211" s="23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</row>
    <row r="212" spans="6:75" x14ac:dyDescent="0.3">
      <c r="F212" s="23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</row>
    <row r="213" spans="6:75" x14ac:dyDescent="0.3">
      <c r="F213" s="23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</row>
    <row r="214" spans="6:75" x14ac:dyDescent="0.3">
      <c r="F214" s="23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</row>
    <row r="215" spans="6:75" x14ac:dyDescent="0.3">
      <c r="F215" s="23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</row>
    <row r="216" spans="6:75" x14ac:dyDescent="0.3">
      <c r="F216" s="23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</row>
    <row r="217" spans="6:75" x14ac:dyDescent="0.3">
      <c r="F217" s="23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</row>
    <row r="218" spans="6:75" x14ac:dyDescent="0.3">
      <c r="F218" s="23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</row>
    <row r="219" spans="6:75" x14ac:dyDescent="0.3">
      <c r="F219" s="23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</row>
    <row r="220" spans="6:75" x14ac:dyDescent="0.3">
      <c r="F220" s="23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</row>
    <row r="221" spans="6:75" x14ac:dyDescent="0.3">
      <c r="F221" s="23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</row>
    <row r="222" spans="6:75" x14ac:dyDescent="0.3">
      <c r="F222" s="23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</row>
    <row r="223" spans="6:75" x14ac:dyDescent="0.3">
      <c r="F223" s="23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</row>
    <row r="224" spans="6:75" x14ac:dyDescent="0.3">
      <c r="F224" s="23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</row>
    <row r="225" spans="6:75" x14ac:dyDescent="0.3">
      <c r="F225" s="23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</row>
  </sheetData>
  <mergeCells count="2">
    <mergeCell ref="C6:E6"/>
    <mergeCell ref="C2:F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40" sqref="E40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Calculations</vt:lpstr>
      <vt:lpstr>Typical Application</vt:lpstr>
      <vt:lpstr>Sheet3</vt:lpstr>
      <vt:lpstr>Efficiency</vt:lpstr>
      <vt:lpstr>FLINEMIN</vt:lpstr>
      <vt:lpstr>fSWMIN</vt:lpstr>
      <vt:lpstr>LBOOST</vt:lpstr>
      <vt:lpstr>LBOOST_SEL</vt:lpstr>
      <vt:lpstr>PF</vt:lpstr>
      <vt:lpstr>POUT_MAX</vt:lpstr>
      <vt:lpstr>TOL_LB_PERCENT</vt:lpstr>
      <vt:lpstr>VINMAX</vt:lpstr>
      <vt:lpstr>VINMIN</vt:lpstr>
      <vt:lpstr>VOUT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Stracquadaini, Rosario Davide</dc:creator>
  <cp:lastModifiedBy>Windows User</cp:lastModifiedBy>
  <dcterms:created xsi:type="dcterms:W3CDTF">2017-07-04T06:46:09Z</dcterms:created>
  <dcterms:modified xsi:type="dcterms:W3CDTF">2018-05-24T10:41:14Z</dcterms:modified>
</cp:coreProperties>
</file>